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91" windowWidth="15135" windowHeight="6075" tabRatio="670" activeTab="1"/>
  </bookViews>
  <sheets>
    <sheet name="Instructions" sheetId="1" r:id="rId1"/>
    <sheet name="Nutrient Risk Assessment" sheetId="2" r:id="rId2"/>
    <sheet name="Nutrient Management Planner" sheetId="3" r:id="rId3"/>
    <sheet name="AgSolids" sheetId="4" state="hidden" r:id="rId4"/>
    <sheet name="AgLiquids" sheetId="5" state="hidden" r:id="rId5"/>
    <sheet name="Management Matrix" sheetId="6" state="hidden" r:id="rId6"/>
  </sheets>
  <externalReferences>
    <externalReference r:id="rId9"/>
  </externalReferences>
  <definedNames>
    <definedName name="\H">'AgLiquids'!$C$444</definedName>
    <definedName name="\I">'AgLiquids'!$F$444</definedName>
    <definedName name="\L">'AgSolids'!$C$349</definedName>
    <definedName name="\P" localSheetId="4">'AgLiquids'!$A$444</definedName>
    <definedName name="\P">'AgSolids'!$A$349</definedName>
    <definedName name="\S">'AgSolids'!$E$349</definedName>
    <definedName name="HAUL">'AgLiquids'!$A$196:$I$215</definedName>
    <definedName name="IRRIG">'AgLiquids'!$A$219:$I$245</definedName>
    <definedName name="LIQUID">'AgSolids'!$A$229:$I$250</definedName>
    <definedName name="PLAN" localSheetId="4">'AgLiquids'!$I$1:$I$191</definedName>
    <definedName name="PLAN">'AgSolids'!$D$1:$I$198</definedName>
    <definedName name="_xlnm.Print_Area" localSheetId="4">'AgLiquids'!$A$1:$I$264</definedName>
    <definedName name="_xlnm.Print_Area" localSheetId="3">'AgSolids'!$A$1:$I$268</definedName>
    <definedName name="_xlnm.Print_Area" localSheetId="0">'Instructions'!$A$1:$J$263</definedName>
    <definedName name="_xlnm.Print_Area" localSheetId="5">'Management Matrix'!$A$1:$C$41</definedName>
    <definedName name="_xlnm.Print_Area" localSheetId="2">'Nutrient Management Planner'!$A$1:$T$286</definedName>
    <definedName name="_xlnm.Print_Area" localSheetId="1">'Nutrient Risk Assessment'!$A$1:$H$53</definedName>
    <definedName name="Print_Area_MI" localSheetId="4">'AgLiquids'!$I$1:$I$191</definedName>
    <definedName name="Print_Area_MI" localSheetId="3">'AgSolids'!$D$1:$I$56</definedName>
    <definedName name="_xlnm.Print_Titles" localSheetId="0">'Instructions'!$1:$1</definedName>
    <definedName name="Print_Titles_MI" localSheetId="4">'AgLiquids'!$57:$57</definedName>
    <definedName name="SOLIDS">'AgSolids'!$A$207:$I$226</definedName>
    <definedName name="WARNING">'AgSolids'!$M$154:$T$159</definedName>
  </definedNames>
  <calcPr fullCalcOnLoad="1" iterate="1" iterateCount="1" iterateDelta="0.001"/>
</workbook>
</file>

<file path=xl/comments2.xml><?xml version="1.0" encoding="utf-8"?>
<comments xmlns="http://schemas.openxmlformats.org/spreadsheetml/2006/main">
  <authors>
    <author>USDA-MDIOL00000LG3A</author>
  </authors>
  <commentList>
    <comment ref="B13" authorId="0">
      <text>
        <r>
          <rPr>
            <b/>
            <sz val="8"/>
            <rFont val="Tahoma"/>
            <family val="0"/>
          </rPr>
          <t>Click on the arrow on the box at right to select from a list of soil map units for this county.</t>
        </r>
      </text>
    </comment>
    <comment ref="B41" authorId="0">
      <text>
        <r>
          <rPr>
            <b/>
            <sz val="8"/>
            <rFont val="Tahoma"/>
            <family val="0"/>
          </rPr>
          <t>Check the box to the left of any Best Management Practices that apply.</t>
        </r>
      </text>
    </comment>
  </commentList>
</comments>
</file>

<file path=xl/comments3.xml><?xml version="1.0" encoding="utf-8"?>
<comments xmlns="http://schemas.openxmlformats.org/spreadsheetml/2006/main">
  <authors>
    <author>Ted Alme</author>
  </authors>
  <commentList>
    <comment ref="B6" authorId="0">
      <text>
        <r>
          <rPr>
            <sz val="11"/>
            <rFont val="Tahoma"/>
            <family val="2"/>
          </rPr>
          <t>Select the crop(s) planned in the rotation.</t>
        </r>
      </text>
    </comment>
    <comment ref="D6" authorId="0">
      <text>
        <r>
          <rPr>
            <sz val="11"/>
            <rFont val="Tahoma"/>
            <family val="2"/>
          </rPr>
          <t>Enter the planned yield goal for each crop in the rotation.</t>
        </r>
      </text>
    </comment>
    <comment ref="F4" authorId="0">
      <text>
        <r>
          <rPr>
            <sz val="11"/>
            <rFont val="Tahoma"/>
            <family val="2"/>
          </rPr>
          <t xml:space="preserve">Nutrients values in this table are  needed to meet the planned yield goal (Lbs./Acre) by each crop. From NDSU-EXT Service Bulletins., SF-700 series. </t>
        </r>
      </text>
    </comment>
    <comment ref="D112" authorId="0">
      <text>
        <r>
          <rPr>
            <sz val="11"/>
            <rFont val="Tahoma"/>
            <family val="2"/>
          </rPr>
          <t>If needed, select crop from the choice list and enter yield information in the box to the right.</t>
        </r>
      </text>
    </comment>
    <comment ref="H115" authorId="0">
      <text>
        <r>
          <rPr>
            <sz val="11"/>
            <rFont val="Tahoma"/>
            <family val="2"/>
          </rPr>
          <t>Average credit given for the forage selected.</t>
        </r>
      </text>
    </comment>
    <comment ref="D120" authorId="0">
      <text>
        <r>
          <rPr>
            <sz val="11"/>
            <rFont val="Tahoma"/>
            <family val="2"/>
          </rPr>
          <t>If needed, select appropriate credit description and enter nutrient values in the column(s) to the right (pounds per acre).</t>
        </r>
      </text>
    </comment>
    <comment ref="R115" authorId="0">
      <text>
        <r>
          <rPr>
            <sz val="11"/>
            <rFont val="Tahoma"/>
            <family val="2"/>
          </rPr>
          <t>Average credit given for the forage selected.</t>
        </r>
      </text>
    </comment>
    <comment ref="N120" authorId="0">
      <text>
        <r>
          <rPr>
            <sz val="11"/>
            <rFont val="Tahoma"/>
            <family val="2"/>
          </rPr>
          <t>If needed, select appropriate credit description and enter nutrient values in the column(s) to the right (pounds per acre).</t>
        </r>
      </text>
    </comment>
    <comment ref="D173" authorId="0">
      <text>
        <r>
          <rPr>
            <sz val="11"/>
            <rFont val="Tahoma"/>
            <family val="2"/>
          </rPr>
          <t>If needed, select crop from the choice list and enter yield information in the box to the right.</t>
        </r>
      </text>
    </comment>
    <comment ref="H176" authorId="0">
      <text>
        <r>
          <rPr>
            <sz val="11"/>
            <rFont val="Tahoma"/>
            <family val="2"/>
          </rPr>
          <t>Average credit given for the crop or forage selected.</t>
        </r>
      </text>
    </comment>
    <comment ref="N173" authorId="0">
      <text>
        <r>
          <rPr>
            <sz val="11"/>
            <rFont val="Tahoma"/>
            <family val="2"/>
          </rPr>
          <t>If needed, select crop from the  choice list and enter yield information in the box to the right.</t>
        </r>
      </text>
    </comment>
    <comment ref="N175" authorId="0">
      <text>
        <r>
          <rPr>
            <sz val="11"/>
            <rFont val="Tahoma"/>
            <family val="2"/>
          </rPr>
          <t>If needed, select from the choice list the crop or forage that the current crop was planted into.</t>
        </r>
      </text>
    </comment>
    <comment ref="R176" authorId="0">
      <text>
        <r>
          <rPr>
            <sz val="11"/>
            <rFont val="Tahoma"/>
            <family val="2"/>
          </rPr>
          <t>Average credit given for the crop or forage selected.</t>
        </r>
      </text>
    </comment>
    <comment ref="H238" authorId="0">
      <text>
        <r>
          <rPr>
            <sz val="11"/>
            <rFont val="Tahoma"/>
            <family val="2"/>
          </rPr>
          <t>Average credit given for the crop or forage selected.</t>
        </r>
      </text>
    </comment>
    <comment ref="R238" authorId="0">
      <text>
        <r>
          <rPr>
            <sz val="11"/>
            <rFont val="Tahoma"/>
            <family val="2"/>
          </rPr>
          <t>Average credit given for the crop or forage selected.</t>
        </r>
      </text>
    </comment>
    <comment ref="H117" authorId="0">
      <text>
        <r>
          <rPr>
            <sz val="11"/>
            <rFont val="Tahoma"/>
            <family val="2"/>
          </rPr>
          <t>Average credit given for the forage selected.</t>
        </r>
      </text>
    </comment>
    <comment ref="F129" authorId="0">
      <text>
        <r>
          <rPr>
            <sz val="11"/>
            <rFont val="Tahoma"/>
            <family val="2"/>
          </rPr>
          <t>Enter the number of tons of manure planned to be applied per acre.</t>
        </r>
      </text>
    </comment>
    <comment ref="P129" authorId="0">
      <text>
        <r>
          <rPr>
            <sz val="11"/>
            <rFont val="Tahoma"/>
            <family val="2"/>
          </rPr>
          <t>Enter the number of tons of manure planned to be applied  per acre.</t>
        </r>
      </text>
    </comment>
    <comment ref="F190" authorId="0">
      <text>
        <r>
          <rPr>
            <sz val="11"/>
            <rFont val="Tahoma"/>
            <family val="2"/>
          </rPr>
          <t>Enter the number of tons of manure planned per acre.</t>
        </r>
      </text>
    </comment>
    <comment ref="P190" authorId="0">
      <text>
        <r>
          <rPr>
            <sz val="11"/>
            <rFont val="Tahoma"/>
            <family val="2"/>
          </rPr>
          <t>Enter the number of tons of manure planned per acre.</t>
        </r>
      </text>
    </comment>
    <comment ref="F252" authorId="0">
      <text>
        <r>
          <rPr>
            <sz val="11"/>
            <rFont val="Tahoma"/>
            <family val="2"/>
          </rPr>
          <t>Enter the number of tons of manure planned per acre.</t>
        </r>
      </text>
    </comment>
    <comment ref="P252" authorId="0">
      <text>
        <r>
          <rPr>
            <sz val="11"/>
            <rFont val="Tahoma"/>
            <family val="2"/>
          </rPr>
          <t>Enter the number of tons of manure planned per acre.</t>
        </r>
      </text>
    </comment>
    <comment ref="K56" authorId="0">
      <text>
        <r>
          <rPr>
            <sz val="11"/>
            <rFont val="Tahoma"/>
            <family val="2"/>
          </rPr>
          <t>From the choice list, select the soil condition and when the timing when agricultural  waste is planned to be incorporated into the soil.</t>
        </r>
      </text>
    </comment>
    <comment ref="B65" authorId="0">
      <text>
        <r>
          <rPr>
            <sz val="11"/>
            <rFont val="Tahoma"/>
            <family val="2"/>
          </rPr>
          <t>Enter a value below if the tonnage of solid agricultural waste is known.</t>
        </r>
      </text>
    </comment>
    <comment ref="D65" authorId="0">
      <text>
        <r>
          <rPr>
            <sz val="11"/>
            <rFont val="Tahoma"/>
            <family val="2"/>
          </rPr>
          <t>From the choice list, select the appropriate agricultural waste storage system.</t>
        </r>
      </text>
    </comment>
    <comment ref="J56" authorId="0">
      <text>
        <r>
          <rPr>
            <sz val="11"/>
            <rFont val="Tahoma"/>
            <family val="2"/>
          </rPr>
          <t>Enter the total pounds of bedding material added to the confinement area per day.</t>
        </r>
      </text>
    </comment>
    <comment ref="E56" authorId="0">
      <text>
        <r>
          <rPr>
            <sz val="11"/>
            <rFont val="Tahoma"/>
            <family val="2"/>
          </rPr>
          <t xml:space="preserve">If agricultural waste will not be applied to this field, leave blank. If agricultural  wastes are planned to be applied, enter the days of storage for the system.
If days of storage is different for other animal types, enter the number of days of storage. </t>
        </r>
      </text>
    </comment>
    <comment ref="D20" authorId="0">
      <text>
        <r>
          <rPr>
            <sz val="11"/>
            <rFont val="Tahoma"/>
            <family val="2"/>
          </rPr>
          <t>If soil test phosphorous exceed 20 ppm, review nutrient risk assessment for Phosphorous Index.</t>
        </r>
      </text>
    </comment>
    <comment ref="F95" authorId="0">
      <text>
        <r>
          <rPr>
            <sz val="11"/>
            <rFont val="Tahoma"/>
            <family val="2"/>
          </rPr>
          <t>Below, enter the known price per pound of each nutrient, if different than the default value.</t>
        </r>
      </text>
    </comment>
    <comment ref="F75" authorId="0">
      <text>
        <r>
          <rPr>
            <sz val="11"/>
            <rFont val="Tahoma"/>
            <family val="2"/>
          </rPr>
          <t>Below, enter the known price per pound of each nutrient, if different than the default value.</t>
        </r>
      </text>
    </comment>
    <comment ref="R117" authorId="0">
      <text>
        <r>
          <rPr>
            <sz val="11"/>
            <rFont val="Tahoma"/>
            <family val="2"/>
          </rPr>
          <t>Average credit given for the forage selected.</t>
        </r>
      </text>
    </comment>
    <comment ref="H178" authorId="0">
      <text>
        <r>
          <rPr>
            <sz val="11"/>
            <rFont val="Tahoma"/>
            <family val="2"/>
          </rPr>
          <t>Average credit given for the forage selected.</t>
        </r>
      </text>
    </comment>
    <comment ref="R178" authorId="0">
      <text>
        <r>
          <rPr>
            <sz val="11"/>
            <rFont val="Tahoma"/>
            <family val="2"/>
          </rPr>
          <t>Average credit given for the forage selected.</t>
        </r>
      </text>
    </comment>
    <comment ref="H240" authorId="0">
      <text>
        <r>
          <rPr>
            <sz val="11"/>
            <rFont val="Tahoma"/>
            <family val="2"/>
          </rPr>
          <t>Average credit given for the forage selected.</t>
        </r>
      </text>
    </comment>
    <comment ref="R240" authorId="0">
      <text>
        <r>
          <rPr>
            <sz val="11"/>
            <rFont val="Tahoma"/>
            <family val="2"/>
          </rPr>
          <t>Average credit given for the forage selected.</t>
        </r>
      </text>
    </comment>
    <comment ref="Q67" authorId="0">
      <text>
        <r>
          <rPr>
            <sz val="11"/>
            <rFont val="Tahoma"/>
            <family val="2"/>
          </rPr>
          <t>Enter the manure nutrient test values, if known.</t>
        </r>
      </text>
    </comment>
    <comment ref="Q90" authorId="0">
      <text>
        <r>
          <rPr>
            <sz val="11"/>
            <rFont val="Tahoma"/>
            <family val="2"/>
          </rPr>
          <t>Enter the manure nutrient test values, if known.</t>
        </r>
      </text>
    </comment>
    <comment ref="E135" authorId="0">
      <text>
        <r>
          <rPr>
            <sz val="11"/>
            <rFont val="Tahoma"/>
            <family val="2"/>
          </rPr>
          <t>Enter the planned application rate for liquid manure, for example, 5 equals 5,000 gallons per acre.</t>
        </r>
      </text>
    </comment>
    <comment ref="O135" authorId="0">
      <text>
        <r>
          <rPr>
            <sz val="11"/>
            <rFont val="Tahoma"/>
            <family val="2"/>
          </rPr>
          <t>Enter the planned application rate for liquid manure, for example, 5 equals 5,000 gallons per acre.</t>
        </r>
        <r>
          <rPr>
            <sz val="10"/>
            <rFont val="Tahoma"/>
            <family val="0"/>
          </rPr>
          <t xml:space="preserve">
</t>
        </r>
      </text>
    </comment>
    <comment ref="B20" authorId="0">
      <text>
        <r>
          <rPr>
            <sz val="11"/>
            <rFont val="Tahoma"/>
            <family val="2"/>
          </rPr>
          <t>Soil Test Data in this row, is linked to the first crop identified above, and so on down the column.</t>
        </r>
      </text>
    </comment>
    <comment ref="B138" authorId="0">
      <text>
        <r>
          <rPr>
            <sz val="11"/>
            <rFont val="Tahoma"/>
            <family val="2"/>
          </rPr>
          <t>Select up to 3 different fertilizer formulations planned or applied from the choice list.
NOTE: In the the blue box enter any other fertilizer formulation.</t>
        </r>
      </text>
    </comment>
    <comment ref="F138" authorId="0">
      <text>
        <r>
          <rPr>
            <sz val="11"/>
            <rFont val="Tahoma"/>
            <family val="2"/>
          </rPr>
          <t xml:space="preserve">Enter the pounds/acre applied or planned to be applied on the field. </t>
        </r>
      </text>
    </comment>
    <comment ref="H142" authorId="0">
      <text>
        <r>
          <rPr>
            <sz val="11"/>
            <rFont val="Tahoma"/>
            <family val="2"/>
          </rPr>
          <t xml:space="preserve">Enter the pounds per acre of nitrogen applied or planned to be applied, based on the formulation and application rate. </t>
        </r>
      </text>
    </comment>
    <comment ref="I142" authorId="0">
      <text>
        <r>
          <rPr>
            <sz val="11"/>
            <rFont val="Tahoma"/>
            <family val="2"/>
          </rPr>
          <t xml:space="preserve">Enter the pounds per acre of phosphorous applied or planned to be applied, based on the formulation and application rate. </t>
        </r>
      </text>
    </comment>
    <comment ref="J142" authorId="0">
      <text>
        <r>
          <rPr>
            <sz val="11"/>
            <rFont val="Tahoma"/>
            <family val="2"/>
          </rPr>
          <t xml:space="preserve">Enter the pounds per acre of potassium applied or planned to be applied, based on the formulation and application rate. </t>
        </r>
      </text>
    </comment>
    <comment ref="R142" authorId="0">
      <text>
        <r>
          <rPr>
            <sz val="11"/>
            <rFont val="Tahoma"/>
            <family val="2"/>
          </rPr>
          <t xml:space="preserve">Enter the pounds per acre of nitrogen applied or planned to be applied, based on the formulation and application rate. </t>
        </r>
      </text>
    </comment>
    <comment ref="S142" authorId="0">
      <text>
        <r>
          <rPr>
            <sz val="11"/>
            <rFont val="Tahoma"/>
            <family val="2"/>
          </rPr>
          <t xml:space="preserve">Enter the pounds per acre of phosphorous applied or planned to be applied, based on the formulation and application rate. 
</t>
        </r>
      </text>
    </comment>
    <comment ref="T142"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L138" authorId="0">
      <text>
        <r>
          <rPr>
            <sz val="11"/>
            <rFont val="Tahoma"/>
            <family val="2"/>
          </rPr>
          <t>Select up to 3 different fertilizer formulations planned or applied from the choice list.
NOTE: In the the blue box enter any other fertilizer formulation.</t>
        </r>
      </text>
    </comment>
    <comment ref="P138" authorId="0">
      <text>
        <r>
          <rPr>
            <sz val="11"/>
            <rFont val="Tahoma"/>
            <family val="2"/>
          </rPr>
          <t>Enter the pounds/acre applied or planned to be applied on the field.</t>
        </r>
      </text>
    </comment>
    <comment ref="F56" authorId="0">
      <text>
        <r>
          <rPr>
            <sz val="11"/>
            <rFont val="Tahoma"/>
            <family val="2"/>
          </rPr>
          <t>Select (up to 3 different) animal type(s) that are included in the system.</t>
        </r>
      </text>
    </comment>
    <comment ref="I56" authorId="0">
      <text>
        <r>
          <rPr>
            <sz val="11"/>
            <rFont val="Tahoma"/>
            <family val="2"/>
          </rPr>
          <t>Enter the average weight for each animal type selected.</t>
        </r>
      </text>
    </comment>
    <comment ref="H56" authorId="0">
      <text>
        <r>
          <rPr>
            <sz val="11"/>
            <rFont val="Tahoma"/>
            <family val="2"/>
          </rPr>
          <t>Enter the planned number of each animal type selected.</t>
        </r>
      </text>
    </comment>
    <comment ref="G110" authorId="0">
      <text>
        <r>
          <rPr>
            <sz val="11"/>
            <rFont val="Tahoma"/>
            <family val="2"/>
          </rPr>
          <t>Soil Test Data is taken from line 20 above.</t>
        </r>
      </text>
    </comment>
    <comment ref="P95" authorId="0">
      <text>
        <r>
          <rPr>
            <sz val="11"/>
            <rFont val="Tahoma"/>
            <family val="2"/>
          </rPr>
          <t>The application rates below are based on the number of gallons of liquid waste applied per acre (1000 gallons/acre.</t>
        </r>
      </text>
    </comment>
    <comment ref="H141" authorId="0">
      <text>
        <r>
          <rPr>
            <sz val="11"/>
            <rFont val="Tahoma"/>
            <family val="2"/>
          </rPr>
          <t xml:space="preserve">Enter the pounds per acre of nitrogen applied or planned to be applied, based on the formulation and application rate. </t>
        </r>
      </text>
    </comment>
    <comment ref="I141" authorId="0">
      <text>
        <r>
          <rPr>
            <sz val="11"/>
            <rFont val="Tahoma"/>
            <family val="2"/>
          </rPr>
          <t xml:space="preserve">Enter the pounds per acre of phosphorous applied or planned to be applied, based on the formulation and application rate. </t>
        </r>
      </text>
    </comment>
    <comment ref="J141" authorId="0">
      <text>
        <r>
          <rPr>
            <sz val="11"/>
            <rFont val="Tahoma"/>
            <family val="2"/>
          </rPr>
          <t xml:space="preserve">Enter the pounds per acre of potassium applied or planned to be applied, based on the formulation and application rate. </t>
        </r>
      </text>
    </comment>
    <comment ref="R141" authorId="0">
      <text>
        <r>
          <rPr>
            <sz val="11"/>
            <rFont val="Tahoma"/>
            <family val="2"/>
          </rPr>
          <t xml:space="preserve">Enter the pounds per acre of nitrogen applied or planned to be applied, based on the formulation and application rate. </t>
        </r>
      </text>
    </comment>
    <comment ref="S141" authorId="0">
      <text>
        <r>
          <rPr>
            <sz val="11"/>
            <rFont val="Tahoma"/>
            <family val="2"/>
          </rPr>
          <t xml:space="preserve">Enter the pounds per acre of phosphorous applied or planned to be applied, based on the formulation and application rate. 
</t>
        </r>
      </text>
    </comment>
    <comment ref="T141"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N112" authorId="0">
      <text>
        <r>
          <rPr>
            <sz val="11"/>
            <rFont val="Tahoma"/>
            <family val="2"/>
          </rPr>
          <t>If needed, select crop from the choice list and enter yield information in the box to the right.</t>
        </r>
      </text>
    </comment>
    <comment ref="D114" authorId="0">
      <text>
        <r>
          <rPr>
            <sz val="11"/>
            <rFont val="Tahoma"/>
            <family val="2"/>
          </rPr>
          <t>If needed, select from the choice list the forage that the current crop was planted into.</t>
        </r>
      </text>
    </comment>
    <comment ref="N114" authorId="0">
      <text>
        <r>
          <rPr>
            <sz val="11"/>
            <rFont val="Tahoma"/>
            <family val="2"/>
          </rPr>
          <t>If needed, select from the choice list the forage that the current crop was planted into.</t>
        </r>
      </text>
    </comment>
    <comment ref="L73" authorId="0">
      <text>
        <r>
          <rPr>
            <sz val="11"/>
            <rFont val="Tahoma"/>
            <family val="2"/>
          </rPr>
          <t>Volume of runoff or "dirty water" estimated by the AgSolids design spreadsheet.</t>
        </r>
      </text>
    </comment>
    <comment ref="R73" authorId="0">
      <text>
        <r>
          <rPr>
            <sz val="11"/>
            <rFont val="Tahoma"/>
            <family val="2"/>
          </rPr>
          <t>Amount of available Nitrogen per 1000 gal of runoff water estimated by the AgSolids design spreadsheet.</t>
        </r>
      </text>
    </comment>
    <comment ref="O73" authorId="0">
      <text>
        <r>
          <rPr>
            <sz val="11"/>
            <rFont val="Tahoma"/>
            <family val="2"/>
          </rPr>
          <t>Amount of available Nitrogen contained in runoff water, estimated by the AgSolids design spreadsheet.</t>
        </r>
      </text>
    </comment>
    <comment ref="C77" authorId="0">
      <text>
        <r>
          <rPr>
            <sz val="11"/>
            <rFont val="Tahoma"/>
            <family val="2"/>
          </rPr>
          <t>Total of Nitrogen available in both the solid and runoff components.</t>
        </r>
      </text>
    </comment>
    <comment ref="D175" authorId="0">
      <text>
        <r>
          <rPr>
            <sz val="11"/>
            <rFont val="Tahoma"/>
            <family val="2"/>
          </rPr>
          <t>If needed, select from the choice list the crop or forage that the current crop was planted into.</t>
        </r>
      </text>
    </comment>
    <comment ref="D181" authorId="0">
      <text>
        <r>
          <rPr>
            <sz val="11"/>
            <rFont val="Tahoma"/>
            <family val="2"/>
          </rPr>
          <t>If needed, select appropriate credit description and enter nutrient values in the column(s) to the right (pounds per acre).</t>
        </r>
      </text>
    </comment>
    <comment ref="N181" authorId="0">
      <text>
        <r>
          <rPr>
            <sz val="11"/>
            <rFont val="Tahoma"/>
            <family val="2"/>
          </rPr>
          <t>If needed, select appropriate credit description and enter nutrient values in the column(s) to the right (pounds per acre).</t>
        </r>
      </text>
    </comment>
    <comment ref="H202" authorId="0">
      <text>
        <r>
          <rPr>
            <sz val="11"/>
            <rFont val="Tahoma"/>
            <family val="2"/>
          </rPr>
          <t xml:space="preserve">Enter the pounds per acre of nitrogen applied or planned to be applied, based on the formulation and application rate. </t>
        </r>
      </text>
    </comment>
    <comment ref="I202" authorId="0">
      <text>
        <r>
          <rPr>
            <sz val="11"/>
            <rFont val="Tahoma"/>
            <family val="2"/>
          </rPr>
          <t xml:space="preserve">Enter the pounds per acre of phosphorous applied or planned to be applied, based on the formulation and application rate. </t>
        </r>
      </text>
    </comment>
    <comment ref="J202" authorId="0">
      <text>
        <r>
          <rPr>
            <sz val="11"/>
            <rFont val="Tahoma"/>
            <family val="2"/>
          </rPr>
          <t xml:space="preserve">Enter the pounds per acre of potassium applied or planned to be applied, based on the formulation and application rate. </t>
        </r>
      </text>
    </comment>
    <comment ref="R202" authorId="0">
      <text>
        <r>
          <rPr>
            <sz val="11"/>
            <rFont val="Tahoma"/>
            <family val="2"/>
          </rPr>
          <t xml:space="preserve">Enter the pounds per acre of nitrogen applied or planned to be applied, based on the formulation and application rate. </t>
        </r>
      </text>
    </comment>
    <comment ref="S202" authorId="0">
      <text>
        <r>
          <rPr>
            <sz val="11"/>
            <rFont val="Tahoma"/>
            <family val="2"/>
          </rPr>
          <t xml:space="preserve">Enter the pounds per acre of phosphorous applied or planned to be applied, based on the formulation and application rate. 
</t>
        </r>
      </text>
    </comment>
    <comment ref="T202"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H203" authorId="0">
      <text>
        <r>
          <rPr>
            <sz val="11"/>
            <rFont val="Tahoma"/>
            <family val="2"/>
          </rPr>
          <t xml:space="preserve">Enter the pounds per acre of nitrogen applied or planned to be applied, based on the formulation and application rate. </t>
        </r>
      </text>
    </comment>
    <comment ref="I203" authorId="0">
      <text>
        <r>
          <rPr>
            <sz val="11"/>
            <rFont val="Tahoma"/>
            <family val="2"/>
          </rPr>
          <t xml:space="preserve">Enter the pounds per acre of phosphorous applied or planned to be applied, based on the formulation and application rate. </t>
        </r>
      </text>
    </comment>
    <comment ref="J203" authorId="0">
      <text>
        <r>
          <rPr>
            <sz val="11"/>
            <rFont val="Tahoma"/>
            <family val="2"/>
          </rPr>
          <t xml:space="preserve">Enter the pounds per acre of potassium applied or planned to be applied, based on the formulation and application rate. </t>
        </r>
      </text>
    </comment>
    <comment ref="R203" authorId="0">
      <text>
        <r>
          <rPr>
            <sz val="11"/>
            <rFont val="Tahoma"/>
            <family val="2"/>
          </rPr>
          <t xml:space="preserve">Enter the pounds per acre of nitrogen applied or planned to be applied, based on the formulation and application rate. </t>
        </r>
      </text>
    </comment>
    <comment ref="S203" authorId="0">
      <text>
        <r>
          <rPr>
            <sz val="11"/>
            <rFont val="Tahoma"/>
            <family val="2"/>
          </rPr>
          <t xml:space="preserve">Enter the pounds per acre of phosphorous applied or planned to be applied, based on the formulation and application rate. 
</t>
        </r>
      </text>
    </comment>
    <comment ref="T203"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D237" authorId="0">
      <text>
        <r>
          <rPr>
            <sz val="11"/>
            <rFont val="Tahoma"/>
            <family val="2"/>
          </rPr>
          <t>If needed, select from the choice list the crop or forage that the current crop was planted into.</t>
        </r>
      </text>
    </comment>
    <comment ref="D235" authorId="0">
      <text>
        <r>
          <rPr>
            <sz val="11"/>
            <rFont val="Tahoma"/>
            <family val="2"/>
          </rPr>
          <t>If needed, select crop from the choice list and enter yield information in the box to the right.</t>
        </r>
      </text>
    </comment>
    <comment ref="D243" authorId="0">
      <text>
        <r>
          <rPr>
            <sz val="11"/>
            <rFont val="Tahoma"/>
            <family val="2"/>
          </rPr>
          <t>If needed, select appropriate credit description and enter nutrient values in the column(s) to the right (pounds per acre).</t>
        </r>
      </text>
    </comment>
    <comment ref="N243" authorId="0">
      <text>
        <r>
          <rPr>
            <sz val="11"/>
            <rFont val="Tahoma"/>
            <family val="2"/>
          </rPr>
          <t>If needed, select appropriate credit description and enter nutrient values in the column(s) to the right (pounds per acre).</t>
        </r>
      </text>
    </comment>
    <comment ref="H264" authorId="0">
      <text>
        <r>
          <rPr>
            <sz val="11"/>
            <rFont val="Tahoma"/>
            <family val="2"/>
          </rPr>
          <t xml:space="preserve">Enter the pounds per acre of nitrogen applied or planned to be applied, based on the formulation and application rate. </t>
        </r>
      </text>
    </comment>
    <comment ref="I264" authorId="0">
      <text>
        <r>
          <rPr>
            <sz val="11"/>
            <rFont val="Tahoma"/>
            <family val="2"/>
          </rPr>
          <t xml:space="preserve">Enter the pounds per acre of phosphorous applied or planned to be applied, based on the formulation and application rate. </t>
        </r>
      </text>
    </comment>
    <comment ref="J264" authorId="0">
      <text>
        <r>
          <rPr>
            <sz val="11"/>
            <rFont val="Tahoma"/>
            <family val="2"/>
          </rPr>
          <t xml:space="preserve">Enter the pounds per acre of potassium applied or planned to be applied, based on the formulation and application rate. </t>
        </r>
      </text>
    </comment>
    <comment ref="R264" authorId="0">
      <text>
        <r>
          <rPr>
            <sz val="11"/>
            <rFont val="Tahoma"/>
            <family val="2"/>
          </rPr>
          <t xml:space="preserve">Enter the pounds per acre of nitrogen applied or planned to be applied, based on the formulation and application rate. </t>
        </r>
      </text>
    </comment>
    <comment ref="S264" authorId="0">
      <text>
        <r>
          <rPr>
            <sz val="11"/>
            <rFont val="Tahoma"/>
            <family val="2"/>
          </rPr>
          <t xml:space="preserve">Enter the pounds per acre of phosphorous applied or planned to be applied, based on the formulation and application rate. 
</t>
        </r>
      </text>
    </comment>
    <comment ref="T264"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H265" authorId="0">
      <text>
        <r>
          <rPr>
            <sz val="11"/>
            <rFont val="Tahoma"/>
            <family val="2"/>
          </rPr>
          <t xml:space="preserve">Enter the pounds per acre of nitrogen applied or planned to be applied, based on the formulation and application rate. </t>
        </r>
      </text>
    </comment>
    <comment ref="I265" authorId="0">
      <text>
        <r>
          <rPr>
            <sz val="11"/>
            <rFont val="Tahoma"/>
            <family val="2"/>
          </rPr>
          <t xml:space="preserve">Enter the pounds per acre of phosphorous applied or planned to be applied, based on the formulation and application rate. </t>
        </r>
      </text>
    </comment>
    <comment ref="J265" authorId="0">
      <text>
        <r>
          <rPr>
            <sz val="11"/>
            <rFont val="Tahoma"/>
            <family val="2"/>
          </rPr>
          <t xml:space="preserve">Enter the pounds per acre of potassium applied or planned to be applied, based on the formulation and application rate. </t>
        </r>
      </text>
    </comment>
    <comment ref="R265" authorId="0">
      <text>
        <r>
          <rPr>
            <sz val="11"/>
            <rFont val="Tahoma"/>
            <family val="2"/>
          </rPr>
          <t xml:space="preserve">Enter the pounds per acre of nitrogen applied or planned to be applied, based on the formulation and application rate. </t>
        </r>
      </text>
    </comment>
    <comment ref="S265" authorId="0">
      <text>
        <r>
          <rPr>
            <sz val="11"/>
            <rFont val="Tahoma"/>
            <family val="2"/>
          </rPr>
          <t xml:space="preserve">Enter the pounds per acre of phosphorous applied or planned to be applied, based on the formulation and application rate. 
</t>
        </r>
      </text>
    </comment>
    <comment ref="T265" authorId="0">
      <text>
        <r>
          <rPr>
            <sz val="11"/>
            <rFont val="Tahoma"/>
            <family val="2"/>
          </rPr>
          <t xml:space="preserve">Enter the pounds per acre of potassium applied or planned to be applied, based on the formulation and application rate. </t>
        </r>
        <r>
          <rPr>
            <sz val="10"/>
            <rFont val="Tahoma"/>
            <family val="0"/>
          </rPr>
          <t xml:space="preserve">
</t>
        </r>
      </text>
    </comment>
    <comment ref="N237" authorId="0">
      <text>
        <r>
          <rPr>
            <sz val="11"/>
            <rFont val="Tahoma"/>
            <family val="2"/>
          </rPr>
          <t>If needed, select from the choice list the crop or forage that the current crop was planted into.</t>
        </r>
      </text>
    </comment>
    <comment ref="N235" authorId="0">
      <text>
        <r>
          <rPr>
            <sz val="11"/>
            <rFont val="Tahoma"/>
            <family val="2"/>
          </rPr>
          <t>If needed, select crop from the choice list and enter yield information in the box to the right.</t>
        </r>
      </text>
    </comment>
    <comment ref="H84" authorId="0">
      <text>
        <r>
          <rPr>
            <sz val="11"/>
            <rFont val="Tahoma"/>
            <family val="2"/>
          </rPr>
          <t>Enter the gallons of water added per day.   Use either producer information or a value from the table below, based upon the type of waste disposal system.
NOTE: For systems with multiple animal types, consult the engineering staff for the appropriate Added Water amount.</t>
        </r>
      </text>
    </comment>
    <comment ref="K85" authorId="0">
      <text>
        <r>
          <rPr>
            <sz val="11"/>
            <rFont val="Tahoma"/>
            <family val="2"/>
          </rPr>
          <t>If the holding pond is retangular, enter the top width and length.</t>
        </r>
      </text>
    </comment>
    <comment ref="Q85" authorId="0">
      <text>
        <r>
          <rPr>
            <sz val="11"/>
            <rFont val="Tahoma"/>
            <family val="2"/>
          </rPr>
          <t>If the holding pond is circular, enter the pond diameter.</t>
        </r>
      </text>
    </comment>
    <comment ref="D89" authorId="0">
      <text>
        <r>
          <rPr>
            <sz val="11"/>
            <rFont val="Tahoma"/>
            <family val="2"/>
          </rPr>
          <t xml:space="preserve">Values are computed from tables found on pages 11-3 and 11-4 in the Agricultural Waste Management Field Handbook.  </t>
        </r>
      </text>
    </comment>
    <comment ref="B7" authorId="0">
      <text>
        <r>
          <rPr>
            <sz val="11"/>
            <rFont val="Tahoma"/>
            <family val="2"/>
          </rPr>
          <t>To reset or blank out this worksheet press the Control and x keys at the same time. 
[Ctrl x]</t>
        </r>
      </text>
    </comment>
    <comment ref="Q110" authorId="0">
      <text>
        <r>
          <rPr>
            <sz val="11"/>
            <rFont val="Tahoma"/>
            <family val="2"/>
          </rPr>
          <t>Soil Test Data is taken from line 20 above.</t>
        </r>
      </text>
    </comment>
    <comment ref="Q171" authorId="0">
      <text>
        <r>
          <rPr>
            <sz val="11"/>
            <rFont val="Tahoma"/>
            <family val="2"/>
          </rPr>
          <t>Soil Test Data is taken from line 20 above.</t>
        </r>
      </text>
    </comment>
    <comment ref="G171" authorId="0">
      <text>
        <r>
          <rPr>
            <sz val="11"/>
            <rFont val="Tahoma"/>
            <family val="2"/>
          </rPr>
          <t>Soil Test Data is taken from line 20 above.</t>
        </r>
      </text>
    </comment>
    <comment ref="G233" authorId="0">
      <text>
        <r>
          <rPr>
            <sz val="11"/>
            <rFont val="Tahoma"/>
            <family val="2"/>
          </rPr>
          <t>Soil Test Data is taken from line 20 above.</t>
        </r>
      </text>
    </comment>
    <comment ref="Q233" authorId="0">
      <text>
        <r>
          <rPr>
            <sz val="11"/>
            <rFont val="Tahoma"/>
            <family val="2"/>
          </rPr>
          <t>Soil Test Data is taken from line 20 above.</t>
        </r>
      </text>
    </comment>
  </commentList>
</comments>
</file>

<file path=xl/comments4.xml><?xml version="1.0" encoding="utf-8"?>
<comments xmlns="http://schemas.openxmlformats.org/spreadsheetml/2006/main">
  <authors>
    <author>A satisfied Microsoft Office User</author>
    <author>Ted Alme</author>
  </authors>
  <commentList>
    <comment ref="X125" authorId="0">
      <text>
        <r>
          <rPr>
            <sz val="8"/>
            <rFont val="Tahoma"/>
            <family val="0"/>
          </rPr>
          <t>Formula failed to convert</t>
        </r>
      </text>
    </comment>
    <comment ref="X126" authorId="0">
      <text>
        <r>
          <rPr>
            <sz val="8"/>
            <rFont val="Tahoma"/>
            <family val="0"/>
          </rPr>
          <t>Formula failed to convert</t>
        </r>
      </text>
    </comment>
    <comment ref="X127" authorId="0">
      <text>
        <r>
          <rPr>
            <sz val="8"/>
            <rFont val="Tahoma"/>
            <family val="0"/>
          </rPr>
          <t>Formula failed to convert</t>
        </r>
      </text>
    </comment>
    <comment ref="X128" authorId="0">
      <text>
        <r>
          <rPr>
            <sz val="8"/>
            <rFont val="Tahoma"/>
            <family val="0"/>
          </rPr>
          <t>Formula failed to convert</t>
        </r>
      </text>
    </comment>
    <comment ref="X129" authorId="0">
      <text>
        <r>
          <rPr>
            <sz val="8"/>
            <rFont val="Tahoma"/>
            <family val="0"/>
          </rPr>
          <t>Formula failed to convert</t>
        </r>
      </text>
    </comment>
    <comment ref="X130" authorId="0">
      <text>
        <r>
          <rPr>
            <sz val="8"/>
            <rFont val="Tahoma"/>
            <family val="0"/>
          </rPr>
          <t>Formula failed to convert</t>
        </r>
      </text>
    </comment>
    <comment ref="X131" authorId="0">
      <text>
        <r>
          <rPr>
            <sz val="8"/>
            <rFont val="Tahoma"/>
            <family val="0"/>
          </rPr>
          <t>Formula failed to convert</t>
        </r>
      </text>
    </comment>
    <comment ref="X132" authorId="0">
      <text>
        <r>
          <rPr>
            <sz val="8"/>
            <rFont val="Tahoma"/>
            <family val="0"/>
          </rPr>
          <t>Formula failed to convert</t>
        </r>
      </text>
    </comment>
    <comment ref="X133" authorId="0">
      <text>
        <r>
          <rPr>
            <sz val="8"/>
            <rFont val="Tahoma"/>
            <family val="0"/>
          </rPr>
          <t>Formula failed to convert</t>
        </r>
      </text>
    </comment>
    <comment ref="X134" authorId="0">
      <text>
        <r>
          <rPr>
            <sz val="8"/>
            <rFont val="Tahoma"/>
            <family val="0"/>
          </rPr>
          <t>Formula failed to convert</t>
        </r>
      </text>
    </comment>
    <comment ref="X135" authorId="0">
      <text>
        <r>
          <rPr>
            <sz val="8"/>
            <rFont val="Tahoma"/>
            <family val="0"/>
          </rPr>
          <t>Formula failed to convert</t>
        </r>
      </text>
    </comment>
    <comment ref="X136" authorId="0">
      <text>
        <r>
          <rPr>
            <sz val="8"/>
            <rFont val="Tahoma"/>
            <family val="0"/>
          </rPr>
          <t>Formula failed to convert</t>
        </r>
      </text>
    </comment>
    <comment ref="X138" authorId="0">
      <text>
        <r>
          <rPr>
            <sz val="8"/>
            <rFont val="Tahoma"/>
            <family val="0"/>
          </rPr>
          <t>Formula failed to convert</t>
        </r>
      </text>
    </comment>
    <comment ref="X139" authorId="0">
      <text>
        <r>
          <rPr>
            <sz val="8"/>
            <rFont val="Tahoma"/>
            <family val="0"/>
          </rPr>
          <t>Formula failed to convert</t>
        </r>
      </text>
    </comment>
    <comment ref="X137" authorId="0">
      <text>
        <r>
          <rPr>
            <sz val="8"/>
            <rFont val="Tahoma"/>
            <family val="0"/>
          </rPr>
          <t>Formula failed to convert</t>
        </r>
      </text>
    </comment>
    <comment ref="X140" authorId="0">
      <text>
        <r>
          <rPr>
            <sz val="8"/>
            <rFont val="Tahoma"/>
            <family val="0"/>
          </rPr>
          <t>Formula failed to convert</t>
        </r>
      </text>
    </comment>
    <comment ref="X141" authorId="0">
      <text>
        <r>
          <rPr>
            <sz val="8"/>
            <rFont val="Tahoma"/>
            <family val="0"/>
          </rPr>
          <t>Formula failed to convert</t>
        </r>
      </text>
    </comment>
    <comment ref="X142" authorId="0">
      <text>
        <r>
          <rPr>
            <sz val="8"/>
            <rFont val="Tahoma"/>
            <family val="0"/>
          </rPr>
          <t>Formula failed to convert</t>
        </r>
      </text>
    </comment>
    <comment ref="X143" authorId="0">
      <text>
        <r>
          <rPr>
            <sz val="8"/>
            <rFont val="Tahoma"/>
            <family val="0"/>
          </rPr>
          <t>Formula failed to convert</t>
        </r>
      </text>
    </comment>
    <comment ref="X144" authorId="0">
      <text>
        <r>
          <rPr>
            <sz val="8"/>
            <rFont val="Tahoma"/>
            <family val="0"/>
          </rPr>
          <t>Formula failed to convert</t>
        </r>
      </text>
    </comment>
    <comment ref="X145" authorId="0">
      <text>
        <r>
          <rPr>
            <sz val="8"/>
            <rFont val="Tahoma"/>
            <family val="0"/>
          </rPr>
          <t>Formula failed to convert</t>
        </r>
      </text>
    </comment>
    <comment ref="X146" authorId="0">
      <text>
        <r>
          <rPr>
            <sz val="8"/>
            <rFont val="Tahoma"/>
            <family val="0"/>
          </rPr>
          <t>Formula failed to convert</t>
        </r>
      </text>
    </comment>
    <comment ref="X147" authorId="0">
      <text>
        <r>
          <rPr>
            <sz val="8"/>
            <rFont val="Tahoma"/>
            <family val="0"/>
          </rPr>
          <t>Formula failed to convert</t>
        </r>
      </text>
    </comment>
    <comment ref="X148" authorId="0">
      <text>
        <r>
          <rPr>
            <sz val="8"/>
            <rFont val="Tahoma"/>
            <family val="0"/>
          </rPr>
          <t>Formula failed to convert</t>
        </r>
      </text>
    </comment>
    <comment ref="X149" authorId="0">
      <text>
        <r>
          <rPr>
            <sz val="8"/>
            <rFont val="Tahoma"/>
            <family val="0"/>
          </rPr>
          <t>Formula failed to convert</t>
        </r>
      </text>
    </comment>
    <comment ref="X150" authorId="0">
      <text>
        <r>
          <rPr>
            <sz val="8"/>
            <rFont val="Tahoma"/>
            <family val="0"/>
          </rPr>
          <t>Formula failed to convert</t>
        </r>
      </text>
    </comment>
    <comment ref="X151" authorId="0">
      <text>
        <r>
          <rPr>
            <sz val="8"/>
            <rFont val="Tahoma"/>
            <family val="0"/>
          </rPr>
          <t>Formula failed to convert</t>
        </r>
      </text>
    </comment>
    <comment ref="X152" authorId="0">
      <text>
        <r>
          <rPr>
            <sz val="8"/>
            <rFont val="Tahoma"/>
            <family val="0"/>
          </rPr>
          <t>Formula failed to convert</t>
        </r>
      </text>
    </comment>
    <comment ref="U179" authorId="0">
      <text>
        <r>
          <rPr>
            <sz val="8"/>
            <rFont val="Tahoma"/>
            <family val="0"/>
          </rPr>
          <t>Formula failed to convert</t>
        </r>
      </text>
    </comment>
    <comment ref="U180" authorId="0">
      <text>
        <r>
          <rPr>
            <sz val="8"/>
            <rFont val="Tahoma"/>
            <family val="0"/>
          </rPr>
          <t>Formula failed to convert</t>
        </r>
      </text>
    </comment>
    <comment ref="CC513" authorId="0">
      <text>
        <r>
          <rPr>
            <sz val="8"/>
            <rFont val="Tahoma"/>
            <family val="0"/>
          </rPr>
          <t>Formula failed to convert</t>
        </r>
      </text>
    </comment>
    <comment ref="CC519" authorId="0">
      <text>
        <r>
          <rPr>
            <sz val="8"/>
            <rFont val="Tahoma"/>
            <family val="0"/>
          </rPr>
          <t>Formula failed to convert</t>
        </r>
      </text>
    </comment>
    <comment ref="C7" authorId="1">
      <text>
        <r>
          <rPr>
            <b/>
            <sz val="10"/>
            <rFont val="Tahoma"/>
            <family val="0"/>
          </rPr>
          <t>Ted Alme:</t>
        </r>
        <r>
          <rPr>
            <sz val="10"/>
            <rFont val="Tahoma"/>
            <family val="0"/>
          </rPr>
          <t xml:space="preserve">
Enter days of storage for the project, if solid waste management is not planned, enter a "0".</t>
        </r>
      </text>
    </comment>
  </commentList>
</comments>
</file>

<file path=xl/comments5.xml><?xml version="1.0" encoding="utf-8"?>
<comments xmlns="http://schemas.openxmlformats.org/spreadsheetml/2006/main">
  <authors>
    <author>A satisfied Microsoft Office User</author>
    <author>Ted Alme</author>
  </authors>
  <commentList>
    <comment ref="L27" authorId="0">
      <text>
        <r>
          <rPr>
            <sz val="8"/>
            <rFont val="Tahoma"/>
            <family val="0"/>
          </rPr>
          <t>Formula failed to convert</t>
        </r>
      </text>
    </comment>
    <comment ref="L28" authorId="0">
      <text>
        <r>
          <rPr>
            <sz val="8"/>
            <rFont val="Tahoma"/>
            <family val="0"/>
          </rPr>
          <t>Formula failed to convert</t>
        </r>
      </text>
    </comment>
    <comment ref="L29" authorId="0">
      <text>
        <r>
          <rPr>
            <sz val="8"/>
            <rFont val="Tahoma"/>
            <family val="0"/>
          </rPr>
          <t>Formula failed to convert</t>
        </r>
      </text>
    </comment>
    <comment ref="Y115" authorId="0">
      <text>
        <r>
          <rPr>
            <sz val="8"/>
            <rFont val="Tahoma"/>
            <family val="0"/>
          </rPr>
          <t>Formula failed to convert</t>
        </r>
      </text>
    </comment>
    <comment ref="Y116" authorId="0">
      <text>
        <r>
          <rPr>
            <sz val="8"/>
            <rFont val="Tahoma"/>
            <family val="0"/>
          </rPr>
          <t>Formula failed to convert</t>
        </r>
      </text>
    </comment>
    <comment ref="Y117" authorId="0">
      <text>
        <r>
          <rPr>
            <sz val="8"/>
            <rFont val="Tahoma"/>
            <family val="0"/>
          </rPr>
          <t>Formula failed to convert</t>
        </r>
      </text>
    </comment>
    <comment ref="Y118" authorId="0">
      <text>
        <r>
          <rPr>
            <sz val="8"/>
            <rFont val="Tahoma"/>
            <family val="0"/>
          </rPr>
          <t>Formula failed to convert</t>
        </r>
      </text>
    </comment>
    <comment ref="Y119" authorId="0">
      <text>
        <r>
          <rPr>
            <sz val="8"/>
            <rFont val="Tahoma"/>
            <family val="0"/>
          </rPr>
          <t>Formula failed to convert</t>
        </r>
      </text>
    </comment>
    <comment ref="Y120" authorId="0">
      <text>
        <r>
          <rPr>
            <sz val="8"/>
            <rFont val="Tahoma"/>
            <family val="0"/>
          </rPr>
          <t>Formula failed to convert</t>
        </r>
      </text>
    </comment>
    <comment ref="Y121" authorId="0">
      <text>
        <r>
          <rPr>
            <sz val="8"/>
            <rFont val="Tahoma"/>
            <family val="0"/>
          </rPr>
          <t>Formula failed to convert</t>
        </r>
      </text>
    </comment>
    <comment ref="Y122" authorId="0">
      <text>
        <r>
          <rPr>
            <sz val="8"/>
            <rFont val="Tahoma"/>
            <family val="0"/>
          </rPr>
          <t>Formula failed to convert</t>
        </r>
      </text>
    </comment>
    <comment ref="Y123" authorId="0">
      <text>
        <r>
          <rPr>
            <sz val="8"/>
            <rFont val="Tahoma"/>
            <family val="0"/>
          </rPr>
          <t>Formula failed to convert</t>
        </r>
      </text>
    </comment>
    <comment ref="Y124" authorId="0">
      <text>
        <r>
          <rPr>
            <sz val="8"/>
            <rFont val="Tahoma"/>
            <family val="0"/>
          </rPr>
          <t>Formula failed to convert</t>
        </r>
      </text>
    </comment>
    <comment ref="Y125" authorId="0">
      <text>
        <r>
          <rPr>
            <sz val="8"/>
            <rFont val="Tahoma"/>
            <family val="0"/>
          </rPr>
          <t>Formula failed to convert</t>
        </r>
      </text>
    </comment>
    <comment ref="Y126" authorId="0">
      <text>
        <r>
          <rPr>
            <sz val="8"/>
            <rFont val="Tahoma"/>
            <family val="0"/>
          </rPr>
          <t>Formula failed to convert</t>
        </r>
      </text>
    </comment>
    <comment ref="Y127" authorId="0">
      <text>
        <r>
          <rPr>
            <sz val="8"/>
            <rFont val="Tahoma"/>
            <family val="0"/>
          </rPr>
          <t>Formula failed to convert</t>
        </r>
      </text>
    </comment>
    <comment ref="CB127" authorId="0">
      <text>
        <r>
          <rPr>
            <sz val="8"/>
            <rFont val="Tahoma"/>
            <family val="0"/>
          </rPr>
          <t>Formula failed to convert</t>
        </r>
      </text>
    </comment>
    <comment ref="Y128" authorId="0">
      <text>
        <r>
          <rPr>
            <sz val="8"/>
            <rFont val="Tahoma"/>
            <family val="0"/>
          </rPr>
          <t>Formula failed to convert</t>
        </r>
      </text>
    </comment>
    <comment ref="Y129" authorId="0">
      <text>
        <r>
          <rPr>
            <sz val="8"/>
            <rFont val="Tahoma"/>
            <family val="0"/>
          </rPr>
          <t>Formula failed to convert</t>
        </r>
      </text>
    </comment>
    <comment ref="CB129" authorId="0">
      <text>
        <r>
          <rPr>
            <sz val="8"/>
            <rFont val="Tahoma"/>
            <family val="0"/>
          </rPr>
          <t>Formula failed to convert</t>
        </r>
      </text>
    </comment>
    <comment ref="Y130" authorId="0">
      <text>
        <r>
          <rPr>
            <sz val="8"/>
            <rFont val="Tahoma"/>
            <family val="0"/>
          </rPr>
          <t>Formula failed to convert</t>
        </r>
      </text>
    </comment>
    <comment ref="Y131" authorId="0">
      <text>
        <r>
          <rPr>
            <sz val="8"/>
            <rFont val="Tahoma"/>
            <family val="0"/>
          </rPr>
          <t>Formula failed to convert</t>
        </r>
      </text>
    </comment>
    <comment ref="Y132" authorId="0">
      <text>
        <r>
          <rPr>
            <sz val="8"/>
            <rFont val="Tahoma"/>
            <family val="0"/>
          </rPr>
          <t>Formula failed to convert</t>
        </r>
      </text>
    </comment>
    <comment ref="Y133" authorId="0">
      <text>
        <r>
          <rPr>
            <sz val="8"/>
            <rFont val="Tahoma"/>
            <family val="0"/>
          </rPr>
          <t>Formula failed to convert</t>
        </r>
      </text>
    </comment>
    <comment ref="CB133" authorId="0">
      <text>
        <r>
          <rPr>
            <sz val="8"/>
            <rFont val="Tahoma"/>
            <family val="0"/>
          </rPr>
          <t>Formula failed to convert</t>
        </r>
      </text>
    </comment>
    <comment ref="Y134" authorId="0">
      <text>
        <r>
          <rPr>
            <sz val="8"/>
            <rFont val="Tahoma"/>
            <family val="0"/>
          </rPr>
          <t>Formula failed to convert</t>
        </r>
      </text>
    </comment>
    <comment ref="Y135" authorId="0">
      <text>
        <r>
          <rPr>
            <sz val="8"/>
            <rFont val="Tahoma"/>
            <family val="0"/>
          </rPr>
          <t>Formula failed to convert</t>
        </r>
      </text>
    </comment>
    <comment ref="Y136" authorId="0">
      <text>
        <r>
          <rPr>
            <sz val="8"/>
            <rFont val="Tahoma"/>
            <family val="0"/>
          </rPr>
          <t>Formula failed to convert</t>
        </r>
      </text>
    </comment>
    <comment ref="Y137" authorId="0">
      <text>
        <r>
          <rPr>
            <sz val="8"/>
            <rFont val="Tahoma"/>
            <family val="0"/>
          </rPr>
          <t>Formula failed to convert</t>
        </r>
      </text>
    </comment>
    <comment ref="Y138" authorId="0">
      <text>
        <r>
          <rPr>
            <sz val="8"/>
            <rFont val="Tahoma"/>
            <family val="0"/>
          </rPr>
          <t>Formula failed to convert</t>
        </r>
      </text>
    </comment>
    <comment ref="Y139" authorId="0">
      <text>
        <r>
          <rPr>
            <sz val="8"/>
            <rFont val="Tahoma"/>
            <family val="0"/>
          </rPr>
          <t>Formula failed to convert</t>
        </r>
      </text>
    </comment>
    <comment ref="Y140" authorId="0">
      <text>
        <r>
          <rPr>
            <sz val="8"/>
            <rFont val="Tahoma"/>
            <family val="0"/>
          </rPr>
          <t>Formula failed to convert</t>
        </r>
      </text>
    </comment>
    <comment ref="Y141" authorId="0">
      <text>
        <r>
          <rPr>
            <sz val="8"/>
            <rFont val="Tahoma"/>
            <family val="0"/>
          </rPr>
          <t>Formula failed to convert</t>
        </r>
      </text>
    </comment>
    <comment ref="Y142" authorId="0">
      <text>
        <r>
          <rPr>
            <sz val="8"/>
            <rFont val="Tahoma"/>
            <family val="0"/>
          </rPr>
          <t>Formula failed to convert</t>
        </r>
      </text>
    </comment>
    <comment ref="C7" authorId="1">
      <text>
        <r>
          <rPr>
            <b/>
            <sz val="10"/>
            <rFont val="Tahoma"/>
            <family val="0"/>
          </rPr>
          <t>Ted Alme:</t>
        </r>
        <r>
          <rPr>
            <sz val="10"/>
            <rFont val="Tahoma"/>
            <family val="0"/>
          </rPr>
          <t xml:space="preserve">
Enter days of storage for project, if liquid waste management is not planned enter a "0".</t>
        </r>
      </text>
    </comment>
  </commentList>
</comments>
</file>

<file path=xl/sharedStrings.xml><?xml version="1.0" encoding="utf-8"?>
<sst xmlns="http://schemas.openxmlformats.org/spreadsheetml/2006/main" count="4119" uniqueCount="1606">
  <si>
    <t>Mehlich III 100-200 ppm</t>
  </si>
  <si>
    <t>Mehlich III &gt;200 ppm</t>
  </si>
  <si>
    <t>Olsen &lt;20 ppm</t>
  </si>
  <si>
    <t>Olsen 20-40 ppm</t>
  </si>
  <si>
    <t>Olsen 41-80 ppm</t>
  </si>
  <si>
    <t>Olsen &gt;80 ppm</t>
  </si>
  <si>
    <t>30-90 pounds/acre</t>
  </si>
  <si>
    <t>91-150 pounds/acre</t>
  </si>
  <si>
    <t>2-5 tons/acre/year</t>
  </si>
  <si>
    <t>5-10 tons/acre/year</t>
  </si>
  <si>
    <t>10-15 tons/acre/year</t>
  </si>
  <si>
    <t>200-1000 feet</t>
  </si>
  <si>
    <t>100-200 feet</t>
  </si>
  <si>
    <t>20-100 feet</t>
  </si>
  <si>
    <t>Cover or Green Manure Crop</t>
  </si>
  <si>
    <t>Filter Strip</t>
  </si>
  <si>
    <t>Contour Buffer Strips</t>
  </si>
  <si>
    <t>Established No-till System</t>
  </si>
  <si>
    <t>P Index Rating (linked to Management Recommendations) from Nutrient Man. P -Index</t>
  </si>
  <si>
    <r>
      <t>P</t>
    </r>
    <r>
      <rPr>
        <b/>
        <vertAlign val="subscript"/>
        <sz val="11"/>
        <rFont val="Arial"/>
        <family val="2"/>
      </rPr>
      <t>2</t>
    </r>
    <r>
      <rPr>
        <b/>
        <sz val="11"/>
        <rFont val="Arial"/>
        <family val="2"/>
      </rPr>
      <t>O</t>
    </r>
    <r>
      <rPr>
        <b/>
        <vertAlign val="subscript"/>
        <sz val="11"/>
        <rFont val="Arial"/>
        <family val="2"/>
      </rPr>
      <t>5</t>
    </r>
  </si>
  <si>
    <t>Management Considerations to address a</t>
  </si>
  <si>
    <t>Qualifier</t>
  </si>
  <si>
    <t>Wetness</t>
  </si>
  <si>
    <t>Management Considerations to address Phosphorous Concerns:</t>
  </si>
  <si>
    <t>Flooding</t>
  </si>
  <si>
    <t>Management Considerations to address Soil Surface Runoff or Leaching Concerns:</t>
  </si>
  <si>
    <t>This field has a HIGH potential for off-site P movement.  Organic nutrient application rates should be calculated according to crop phosphorus requirements.</t>
  </si>
  <si>
    <t>This field has a VERY HIGH potential for off-site P movement.  Organic nutrients should not be applied to this field.</t>
  </si>
  <si>
    <t>Solid Agricultural Waste</t>
  </si>
  <si>
    <t>Liquid Agricultural Waste</t>
  </si>
  <si>
    <t>lbs/acre</t>
  </si>
  <si>
    <t>Recommended Nutrients Lbs. / acre based on yield goal</t>
  </si>
  <si>
    <t>This field has a MEDIUM potential for off-site P movement.  Organic nutrient application rates may be calculated according to crop nitrogen requirements.</t>
  </si>
  <si>
    <t>This field has a LOW potential for off-site P movement.  Organic nutrient application rates may be calculated according to crop nitrogen requirements.</t>
  </si>
  <si>
    <t>Leaching and Soil Surface Runoff Potential</t>
  </si>
  <si>
    <t xml:space="preserve"> Tract / Field(s)</t>
  </si>
  <si>
    <t>Soil Map Unit Name</t>
  </si>
  <si>
    <t>ppm</t>
  </si>
  <si>
    <t>Phosphorous fertilizer application method</t>
  </si>
  <si>
    <t>Phosphorous Index Rating</t>
  </si>
  <si>
    <t>Nutrient Thresholds</t>
  </si>
  <si>
    <t>Additional Planning Remarks</t>
  </si>
  <si>
    <t>Producer</t>
  </si>
  <si>
    <t>Date</t>
  </si>
  <si>
    <t>Maximum accumulation of P 125 ppm</t>
  </si>
  <si>
    <t>Maximum accumulation of P 100 ppm</t>
  </si>
  <si>
    <t>Maximum accumulation of N 180 lbs./ac</t>
  </si>
  <si>
    <t>Maximum accumulation of N 100 lbs./ac</t>
  </si>
  <si>
    <t>Maximum accumulation of N 160 lbs./ac</t>
  </si>
  <si>
    <t>Maximum accumulation of N 150 lbs./ac</t>
  </si>
  <si>
    <t>See  "Management Considerations to Address Soil Surface Runoff or Leaching Concerns" on the "Nutrient Management Planner" sheet by clicking on the  "Nutrient Management Planner" tab below.  Complete the Phosphorous Index below if agricultural waste will be applied to this field.</t>
  </si>
  <si>
    <r>
      <t>Phosphorous fertilizer application rate (pounds P</t>
    </r>
    <r>
      <rPr>
        <b/>
        <vertAlign val="subscript"/>
        <sz val="10"/>
        <rFont val="Arial"/>
        <family val="2"/>
      </rPr>
      <t>2</t>
    </r>
    <r>
      <rPr>
        <b/>
        <sz val="10"/>
        <rFont val="Arial"/>
        <family val="2"/>
      </rPr>
      <t>O</t>
    </r>
    <r>
      <rPr>
        <b/>
        <vertAlign val="subscript"/>
        <sz val="10"/>
        <rFont val="Arial"/>
        <family val="2"/>
      </rPr>
      <t>5</t>
    </r>
    <r>
      <rPr>
        <b/>
        <sz val="10"/>
        <rFont val="Arial"/>
        <family val="2"/>
      </rPr>
      <t>/acre)</t>
    </r>
  </si>
  <si>
    <t>Animal Type</t>
  </si>
  <si>
    <t>Weight (lbs.)</t>
  </si>
  <si>
    <t>Uncovered, Rectangular Stucture</t>
  </si>
  <si>
    <t>Covered, Rectangular Structure</t>
  </si>
  <si>
    <t>Covered, Circular Structure</t>
  </si>
  <si>
    <t>Shape</t>
  </si>
  <si>
    <t>Cover</t>
  </si>
  <si>
    <t xml:space="preserve">AGRICULTURAL WASTE INFORMATION </t>
  </si>
  <si>
    <t>Estimated amount of Solid Agricultural Waste available for application</t>
  </si>
  <si>
    <t>Value of Solid Agricultural Waste as a Fertilizer Source</t>
  </si>
  <si>
    <t>Estimated amount of Liquid Agricultural Waste available for application</t>
  </si>
  <si>
    <t>Solid Agricultural Waste Nutrient Book Values (Lbs./Ton)</t>
  </si>
  <si>
    <t>Solid Agricultural Waste Information</t>
  </si>
  <si>
    <t>Solid Agricultural Waste Test Values (Lbs./Ton)</t>
  </si>
  <si>
    <t>Havre</t>
  </si>
  <si>
    <t>Grassna</t>
  </si>
  <si>
    <t>Grassna variant</t>
  </si>
  <si>
    <t>Cabbart</t>
  </si>
  <si>
    <t>Brandenburg</t>
  </si>
  <si>
    <t>Hanly</t>
  </si>
  <si>
    <t>Baahish</t>
  </si>
  <si>
    <t>Cherry</t>
  </si>
  <si>
    <t>Dimmick</t>
  </si>
  <si>
    <t>Golva</t>
  </si>
  <si>
    <t>Glendive</t>
  </si>
  <si>
    <t>Korchea</t>
  </si>
  <si>
    <t>Wanagan</t>
  </si>
  <si>
    <t>Absher</t>
  </si>
  <si>
    <t>ND033</t>
  </si>
  <si>
    <t>9C</t>
  </si>
  <si>
    <t>9D</t>
  </si>
  <si>
    <t>14F</t>
  </si>
  <si>
    <t>21C</t>
  </si>
  <si>
    <t>24C</t>
  </si>
  <si>
    <t>35F</t>
  </si>
  <si>
    <t>37B</t>
  </si>
  <si>
    <t>52B</t>
  </si>
  <si>
    <t>55B</t>
  </si>
  <si>
    <t>57C</t>
  </si>
  <si>
    <t>76B</t>
  </si>
  <si>
    <t>81F</t>
  </si>
  <si>
    <t>83F</t>
  </si>
  <si>
    <t>84B</t>
  </si>
  <si>
    <t>88B</t>
  </si>
  <si>
    <t>89B</t>
  </si>
  <si>
    <t>97B</t>
  </si>
  <si>
    <t>97C</t>
  </si>
  <si>
    <t>99C</t>
  </si>
  <si>
    <t>109B</t>
  </si>
  <si>
    <t>109C</t>
  </si>
  <si>
    <t>GRASSNA SILT LOAM, 1 TO 3 PERCENT SLOPES</t>
  </si>
  <si>
    <t>GRASSNA VARIANT SILT LOAM</t>
  </si>
  <si>
    <t>CABBA-CHAMA SILT LOAMS, 3 TO 9 PERCENT SLOPES</t>
  </si>
  <si>
    <t>CABBA-CHAMA SILT LOAMS, 9 TO 15 PERCENT SLOPES</t>
  </si>
  <si>
    <t>CABBART-BADLAND COMPLEX, 15 TO 50 PERCENT SLOPES</t>
  </si>
  <si>
    <t>BRANDENBURG-CABBART COMPLEX, 6 TO 50 PERCENT SLOPES</t>
  </si>
  <si>
    <t>HANLY FINE SANDY LOAM, 0 TO 3 PERCENT SLOPES</t>
  </si>
  <si>
    <t>BAAHISH-CABBART LOAMS, 6 TO 25 PERCENT SLOPES</t>
  </si>
  <si>
    <t>CABBART-CHERRY SILT LOAMS, 9 TO 35 PERCENT SLOPES</t>
  </si>
  <si>
    <t>CHAMA SILT LOAM, 1 TO 3 PERCENT SLOPES</t>
  </si>
  <si>
    <t>CHAMA SILT LOAM, 3 TO 6 PERCENT SLOPES</t>
  </si>
  <si>
    <t>CHAMA-CABBA SILT LOAMS, 3 TO 9 PERCENT SLOPES</t>
  </si>
  <si>
    <t>CHERRY SILT LOAM, 3 TO 6 PERCENT SLOPES</t>
  </si>
  <si>
    <t>CHERRY SILT LOAM, 6 TO 9 PERCENT SLOPES</t>
  </si>
  <si>
    <t>DIMMICK SILTY CLAY, LOAMY SUBSTRATUM</t>
  </si>
  <si>
    <t>FLASHER LOAMY SAND, 15 TO 45 PERCENT SLOPES</t>
  </si>
  <si>
    <t>GOLVA SILT LOAM, 1 TO 3 PERCENT SLOPES</t>
  </si>
  <si>
    <t>GOLVA SILT LOAM, 3 TO 6 PERCENT SLOPES</t>
  </si>
  <si>
    <t>HAVRE SILT LOAM, 0 TO 3 PERCENT SLOPES</t>
  </si>
  <si>
    <t>GLENDIVE FINE SANDY LOAM, 0 TO 3 PERCENT SLOPES</t>
  </si>
  <si>
    <t>KORCHEA SILT LOAM, 0 TO 3 PERCENT SLOPES</t>
  </si>
  <si>
    <t>BELFIELD LOAM, 1 TO 6 PERCENT SLOPES</t>
  </si>
  <si>
    <t>WANAGAN LOAM, 1 TO 3 PERCENT SLOPES</t>
  </si>
  <si>
    <t>WANAGAN LOAM, 3 TO 6 PERCENT SLOPES</t>
  </si>
  <si>
    <t>MOREAU-WAYDEN-ABSHER COMPLEX, 3 TO 9 PERCENT SLOPES</t>
  </si>
  <si>
    <t>PARSHALL FINE SANDY LOAM, 0 TO 3 PERCENT SLOPES</t>
  </si>
  <si>
    <t>ABSHER LOAM, 1 TO 6 PERCENT SLOPES</t>
  </si>
  <si>
    <t>CABBART-ROCK OUTCROP COMPLEX, 15 TO 120 PERCENT SLOPES</t>
  </si>
  <si>
    <t>BADLAND-CHERRY COMPLEX, 6 TO 75 PERCENT SLOPES</t>
  </si>
  <si>
    <t>LAWTHER SILTY CLAY LOAM, 1 TO 3 PERCENT SLOPES</t>
  </si>
  <si>
    <t>LAWTHER SILTY CLAY LOAM, 3 TO 6 PERCENT SLOPES</t>
  </si>
  <si>
    <t>SEN SILT LOAM, 1 TO 3 PERCENT SLOPES</t>
  </si>
  <si>
    <t>VEBAR FINE SANDY LOAM, 1 TO 6 PERCENT SLOPES</t>
  </si>
  <si>
    <t>BEISIGL-FLASHER-VEBAR COMPLEX, 3 TO 9 PERCENT SLOPES</t>
  </si>
  <si>
    <t>BEISIGL-FLASHER LOAMY SANDS, 9 TO 15 PERCENT SLOPES</t>
  </si>
  <si>
    <t>GRAIL-GRASSNA COMPLEX, SALINE</t>
  </si>
  <si>
    <t>Somewhat Poor</t>
  </si>
  <si>
    <t>Somewhat Excessive</t>
  </si>
  <si>
    <t>Value of Liquid Agricultural Waste as a Fertilizer Source</t>
  </si>
  <si>
    <t xml:space="preserve">Liquid Agricultural Waste Information </t>
  </si>
  <si>
    <t>Nitrogen:</t>
  </si>
  <si>
    <t>Phosphorous:</t>
  </si>
  <si>
    <t>Days of Storage</t>
  </si>
  <si>
    <t>Roofed storage - manure pack - solids spreading</t>
  </si>
  <si>
    <t xml:space="preserve">MANAGEMENT CONSIDERATIONS </t>
  </si>
  <si>
    <t>General Management Statements</t>
  </si>
  <si>
    <t>Site Specific Nutrient Management Considerations</t>
  </si>
  <si>
    <t>Shallow open manure pit - solids spreading</t>
  </si>
  <si>
    <t>Stacking - solids spreading</t>
  </si>
  <si>
    <r>
      <t xml:space="preserve">THE PHOSPHORUS INDEX IS </t>
    </r>
    <r>
      <rPr>
        <b/>
        <i/>
        <u val="single"/>
        <sz val="11"/>
        <rFont val="Arial"/>
        <family val="2"/>
      </rPr>
      <t>NOT</t>
    </r>
    <r>
      <rPr>
        <b/>
        <i/>
        <sz val="11"/>
        <rFont val="Arial"/>
        <family val="2"/>
      </rPr>
      <t xml:space="preserve"> INTENDED TO BE AN EVALUATION SCALE FOR DETERMINING WHETHER LANDUSERS ARE ABIDING WITHIN WATER QUALITY OR NUTRIENT MANAGEMENT STANDARDS THAT HAVE BEEN ESTABLISHED BY LOCAL, STATE, OR FEDERAL AGENCIES.</t>
    </r>
  </si>
  <si>
    <r>
      <t xml:space="preserve">If agricultural waste will be applied to this soil map unit, </t>
    </r>
    <r>
      <rPr>
        <b/>
        <i/>
        <sz val="13"/>
        <rFont val="Arial"/>
        <family val="2"/>
      </rPr>
      <t>and</t>
    </r>
    <r>
      <rPr>
        <b/>
        <sz val="13"/>
        <rFont val="Arial"/>
        <family val="2"/>
      </rPr>
      <t xml:space="preserve"> soil test Phosphorous is &gt; 20 ppm Olsen (or  &gt; 20 ppm Mehlich 3 or, &gt; 30 ppm Bray) </t>
    </r>
    <r>
      <rPr>
        <b/>
        <i/>
        <sz val="13"/>
        <rFont val="Arial"/>
        <family val="2"/>
      </rPr>
      <t>and</t>
    </r>
    <r>
      <rPr>
        <b/>
        <sz val="13"/>
        <rFont val="Arial"/>
        <family val="2"/>
      </rPr>
      <t xml:space="preserve"> runoff water reaches surface water, complete the Phosphorous Index below. </t>
    </r>
  </si>
  <si>
    <t>STP Factor</t>
  </si>
  <si>
    <t>Annual Crop / Nutrient Analysis</t>
  </si>
  <si>
    <t>Daily spreading - solids spreading</t>
  </si>
  <si>
    <t>Collection, Storage and Spreading System</t>
  </si>
  <si>
    <t>NUTRIENT RISK ASSESSMENT INFORMATION</t>
  </si>
  <si>
    <t>Best Management Practices Planned</t>
  </si>
  <si>
    <t>Soil Conditions and Timing of Waste Incorporation</t>
  </si>
  <si>
    <t>result -&gt;</t>
  </si>
  <si>
    <t>Cool moist soil, incorporation within 1 day</t>
  </si>
  <si>
    <t>Cool moist soil, incorporation within 2-6 days</t>
  </si>
  <si>
    <t>Warm dry soil, incorporation within 1 day</t>
  </si>
  <si>
    <t>Warm dry soil, incorporation within 2-6 days</t>
  </si>
  <si>
    <t>Warm dry soil, incorporation after 7 or more days</t>
  </si>
  <si>
    <t>Warm moist soil, incorporation within 2-6 days</t>
  </si>
  <si>
    <t>Warm moist soil, incorporation within 1 day</t>
  </si>
  <si>
    <t>Warm moist soil, incorporation after 7 or more days</t>
  </si>
  <si>
    <t>Cool moist soil, incorporation after 7 or more days</t>
  </si>
  <si>
    <r>
      <t>P</t>
    </r>
    <r>
      <rPr>
        <b/>
        <vertAlign val="subscript"/>
        <sz val="12"/>
        <rFont val="Arial"/>
        <family val="2"/>
      </rPr>
      <t>2</t>
    </r>
    <r>
      <rPr>
        <b/>
        <sz val="12"/>
        <rFont val="Arial"/>
        <family val="2"/>
      </rPr>
      <t>O</t>
    </r>
    <r>
      <rPr>
        <b/>
        <vertAlign val="subscript"/>
        <sz val="12"/>
        <rFont val="Arial"/>
        <family val="2"/>
      </rPr>
      <t>5</t>
    </r>
  </si>
  <si>
    <t>Threshold Levels</t>
  </si>
  <si>
    <t>Total  Estimated Value of Nutrients</t>
  </si>
  <si>
    <t>Total Lbs. Of Nutrients Available</t>
  </si>
  <si>
    <t>Planned Application Rate</t>
  </si>
  <si>
    <t>0-24 in.</t>
  </si>
  <si>
    <t>0-6 in.</t>
  </si>
  <si>
    <t>The potential for runoff and leaching is not a concern for this soil map unit.  Complete the Phosphorous Index below if agricultural waste will be applied to this field.</t>
  </si>
  <si>
    <t>Soil Map Unit</t>
  </si>
  <si>
    <t>(Runoff)</t>
  </si>
  <si>
    <t>(Leaching)</t>
  </si>
  <si>
    <t>N</t>
  </si>
  <si>
    <t>P2O5</t>
  </si>
  <si>
    <t>Residual from long-term manure application</t>
  </si>
  <si>
    <t>Irrigation water</t>
  </si>
  <si>
    <t>Other (O.M., rainwater, etc.)</t>
  </si>
  <si>
    <t>E.C.</t>
  </si>
  <si>
    <t>O.M.%</t>
  </si>
  <si>
    <t>K</t>
  </si>
  <si>
    <t>P</t>
  </si>
  <si>
    <t>CROPS</t>
  </si>
  <si>
    <t>Open the Nutrient Risk Assessment Sheet.</t>
  </si>
  <si>
    <t>Surface Water Risk is automatically displayed based on the soil information.</t>
  </si>
  <si>
    <t>Select the proper category to represent the application rate of all sources of phosphorous from the choice list provided.</t>
  </si>
  <si>
    <t>Select the proper category for the amount of phosphorous as determined by a soil test taken from the top six inches of soil.  Then make a selection from the choice list provided.</t>
  </si>
  <si>
    <t>The Phosphorous Index score and rating will be automatically calculated and displayed at the bottom of the Phosphorous Index box and on the nutrient management planner sheet.</t>
  </si>
  <si>
    <t>Enter date and “assisted by” name or initials.</t>
  </si>
  <si>
    <t>Crops and yields</t>
  </si>
  <si>
    <t>Soil Test Information</t>
  </si>
  <si>
    <t>Soil Mapping Unit Information</t>
  </si>
  <si>
    <t>Soil Mapping Unit Information is automatically displayed from information entered on the nutrient risk assessment sheet.</t>
  </si>
  <si>
    <t>Guidance on the management of fertilizer and agricultural waste is displayed based on information that was entered on the nutrient risk assessment sheet.  Additional information can be entered in the “Additional Planning Remarks” box below.</t>
  </si>
  <si>
    <t>Agricultural Waste Information</t>
  </si>
  <si>
    <t>North Dakota Animal Waste Design - Feedlots</t>
  </si>
  <si>
    <t xml:space="preserve">Runoff and Solid Waste Management </t>
  </si>
  <si>
    <t>cf/day</t>
  </si>
  <si>
    <t>%</t>
  </si>
  <si>
    <t>lbs</t>
  </si>
  <si>
    <t>NDSTATE</t>
  </si>
  <si>
    <t>AU's</t>
  </si>
  <si>
    <t>Collection</t>
  </si>
  <si>
    <t>Cooperator:</t>
  </si>
  <si>
    <t>Curve Number:</t>
  </si>
  <si>
    <t>(1)</t>
  </si>
  <si>
    <t>1000lb</t>
  </si>
  <si>
    <t>solids</t>
  </si>
  <si>
    <t>cf</t>
  </si>
  <si>
    <t>Lbs/Ton</t>
  </si>
  <si>
    <t>AU'S</t>
  </si>
  <si>
    <t>% Solids</t>
  </si>
  <si>
    <t>Table 4/</t>
  </si>
  <si>
    <t>&amp; Storage</t>
  </si>
  <si>
    <t>Total</t>
  </si>
  <si>
    <t>County:</t>
  </si>
  <si>
    <t>LaMoure</t>
  </si>
  <si>
    <t>Bedding/lb/day:</t>
  </si>
  <si>
    <t>Lbs.</t>
  </si>
  <si>
    <t>Dairy</t>
  </si>
  <si>
    <t>Lbs N/Ton</t>
  </si>
  <si>
    <t>Table 4</t>
  </si>
  <si>
    <t>Table 3</t>
  </si>
  <si>
    <t>Table 5</t>
  </si>
  <si>
    <t>Table 6</t>
  </si>
  <si>
    <t>Table 7</t>
  </si>
  <si>
    <t>Table 8</t>
  </si>
  <si>
    <t>Tons</t>
  </si>
  <si>
    <t>Lbs N</t>
  </si>
  <si>
    <t>Legal Description:</t>
  </si>
  <si>
    <t>Watershed:</t>
  </si>
  <si>
    <t>Acres</t>
  </si>
  <si>
    <t>Beef</t>
  </si>
  <si>
    <t>Project:</t>
  </si>
  <si>
    <t>Holding Pond</t>
  </si>
  <si>
    <t>Feedlot Slope:</t>
  </si>
  <si>
    <t>Nursery</t>
  </si>
  <si>
    <t>Confinement Period:</t>
  </si>
  <si>
    <t>Days</t>
  </si>
  <si>
    <t>Date:</t>
  </si>
  <si>
    <t>Growing</t>
  </si>
  <si>
    <t>Runoff Holding Pond Dimensions</t>
  </si>
  <si>
    <t>Version 5.03.2001</t>
  </si>
  <si>
    <t>Finish</t>
  </si>
  <si>
    <t>Embankment</t>
  </si>
  <si>
    <t>Reservoir Storage Capacity</t>
  </si>
  <si>
    <t>Sow &amp; Litter</t>
  </si>
  <si>
    <t xml:space="preserve">Storage = </t>
  </si>
  <si>
    <t>of Required.</t>
  </si>
  <si>
    <t>Contour</t>
  </si>
  <si>
    <t>Area</t>
  </si>
  <si>
    <t>Acre</t>
  </si>
  <si>
    <t>Cumulative</t>
  </si>
  <si>
    <t>Gestate</t>
  </si>
  <si>
    <t>Pool Elevation :</t>
  </si>
  <si>
    <t>Feet</t>
  </si>
  <si>
    <t>Elevation</t>
  </si>
  <si>
    <t>(acres)</t>
  </si>
  <si>
    <t>Acre Feet</t>
  </si>
  <si>
    <t>Boar</t>
  </si>
  <si>
    <t>Top of Embankment :</t>
  </si>
  <si>
    <t>Layers</t>
  </si>
  <si>
    <t xml:space="preserve"> Emergency Spillway :</t>
  </si>
  <si>
    <t>Broilers</t>
  </si>
  <si>
    <t>Maximum Depth :</t>
  </si>
  <si>
    <t>Turkeys</t>
  </si>
  <si>
    <t>Estimated Storage :</t>
  </si>
  <si>
    <t>Acre Ft.</t>
  </si>
  <si>
    <t>Sheep</t>
  </si>
  <si>
    <t>or :</t>
  </si>
  <si>
    <t>Cu.Yds.</t>
  </si>
  <si>
    <t>Optional Information for Documentation Only</t>
  </si>
  <si>
    <t>Soil Test Date or Field Number</t>
  </si>
  <si>
    <t>Liquid Agricultural Waste test results (Lbs./1000 Gallons)</t>
  </si>
  <si>
    <t>Sw.Clover (unharvested) &gt;5 plant/sqft</t>
  </si>
  <si>
    <t>Sw.Clover (unharvested),&lt;1 plant/sqft</t>
  </si>
  <si>
    <t>Sw.Clover (unharvested),1-2 plant/sqft</t>
  </si>
  <si>
    <t>Sw.Clover (unharvested),3-4 plant/sqft</t>
  </si>
  <si>
    <t>Other Nutrient Credits</t>
  </si>
  <si>
    <t>Current Crop</t>
  </si>
  <si>
    <t>Crop Nitrogen needs</t>
  </si>
  <si>
    <t>Crop Phosphorous needs</t>
  </si>
  <si>
    <t>Solid Agricultural Waste Application Rates</t>
  </si>
  <si>
    <t>Liquid Agricultural Waste Application Rates</t>
  </si>
  <si>
    <t>Estimated rates to meet the:</t>
  </si>
  <si>
    <t>First Year Nitrogen Credits for:</t>
  </si>
  <si>
    <t>Second Year Nitrogen Credits for:</t>
  </si>
  <si>
    <t>Horses</t>
  </si>
  <si>
    <t>Solids Accumulation :</t>
  </si>
  <si>
    <t>Years</t>
  </si>
  <si>
    <t>-</t>
  </si>
  <si>
    <t>Pumpout Storage :</t>
  </si>
  <si>
    <t>Live Wt</t>
  </si>
  <si>
    <t>TOTAL</t>
  </si>
  <si>
    <t>WEIGHT</t>
  </si>
  <si>
    <t>Total AU's</t>
  </si>
  <si>
    <t>Pumpout Elevation :</t>
  </si>
  <si>
    <t>days</t>
  </si>
  <si>
    <t>C.F.</t>
  </si>
  <si>
    <t>TONS</t>
  </si>
  <si>
    <t>Lbs</t>
  </si>
  <si>
    <t>NRCS</t>
  </si>
  <si>
    <t>Total lbs/N available to crop</t>
  </si>
  <si>
    <t>Commercial Fertilizer</t>
  </si>
  <si>
    <t>Remarks:</t>
  </si>
  <si>
    <t xml:space="preserve">First Year Nitrogen Credits </t>
  </si>
  <si>
    <t>Corn, Sweet</t>
  </si>
  <si>
    <t>Sudangrass</t>
  </si>
  <si>
    <t>ppm (Olsen)</t>
  </si>
  <si>
    <t>Rectangular</t>
  </si>
  <si>
    <t>Length (ft)</t>
  </si>
  <si>
    <t>Width (ft)</t>
  </si>
  <si>
    <t>Area (Ac)</t>
  </si>
  <si>
    <t>TABLE 4</t>
  </si>
  <si>
    <t>TABLE 5</t>
  </si>
  <si>
    <t>Daily</t>
  </si>
  <si>
    <t>Top =</t>
  </si>
  <si>
    <t>% SOLIDS</t>
  </si>
  <si>
    <t>% N remain</t>
  </si>
  <si>
    <t>% Mineral</t>
  </si>
  <si>
    <t>Bottom =</t>
  </si>
  <si>
    <t>Depth (ft) =</t>
  </si>
  <si>
    <t>(Without Freeboard)</t>
  </si>
  <si>
    <t>SideSlope=</t>
  </si>
  <si>
    <t xml:space="preserve"> </t>
  </si>
  <si>
    <t>Volume =</t>
  </si>
  <si>
    <t>GoTo (F5) Cell D300 for Interval computations</t>
  </si>
  <si>
    <t xml:space="preserve">or </t>
  </si>
  <si>
    <t>Cubic Yards</t>
  </si>
  <si>
    <t>Feedlot Runoff Storage Requirements :</t>
  </si>
  <si>
    <t>Circular</t>
  </si>
  <si>
    <t>Top (ft)</t>
  </si>
  <si>
    <t>Bottom (ft)</t>
  </si>
  <si>
    <t>Sideslope</t>
  </si>
  <si>
    <t>25 yr rainfall event =</t>
  </si>
  <si>
    <t>Inches (2)</t>
  </si>
  <si>
    <t>SowLitter</t>
  </si>
  <si>
    <t>Diameter (ft) =</t>
  </si>
  <si>
    <t>Over winter Runoff =</t>
  </si>
  <si>
    <t>Inches (3)</t>
  </si>
  <si>
    <t>Area (acres) =</t>
  </si>
  <si>
    <t>25 year Runoff=</t>
  </si>
  <si>
    <t>Inches</t>
  </si>
  <si>
    <t>Volume (CY ) =</t>
  </si>
  <si>
    <t>Feedlot Runoff =</t>
  </si>
  <si>
    <t>Cu Yds</t>
  </si>
  <si>
    <t>Earthwork Estimator  :</t>
  </si>
  <si>
    <t xml:space="preserve">   {V=((CS+B)C(L))/27}</t>
  </si>
  <si>
    <t>Solids Accumulation =</t>
  </si>
  <si>
    <t>Top/Bott Width=</t>
  </si>
  <si>
    <t>Storage Required =</t>
  </si>
  <si>
    <t>CuYd/AcFt</t>
  </si>
  <si>
    <t>Avg. Cut / Fill =</t>
  </si>
  <si>
    <t>(1).Use 90 for unpaved lots, 95 paved or ND-ENG-12.</t>
  </si>
  <si>
    <t>Total CF</t>
  </si>
  <si>
    <t>Total Tons</t>
  </si>
  <si>
    <t>Total  lbs/N</t>
  </si>
  <si>
    <t>Total P</t>
  </si>
  <si>
    <t>Total K</t>
  </si>
  <si>
    <t>Length =</t>
  </si>
  <si>
    <t>(2) From Figure 1-6, N.D. Hydrology Manual</t>
  </si>
  <si>
    <t>SideSlopes =</t>
  </si>
  <si>
    <t>:1</t>
  </si>
  <si>
    <t>(3) From page 425-6 Sec. IV FOTG</t>
  </si>
  <si>
    <t>sum of acres</t>
  </si>
  <si>
    <t>contour inter</t>
  </si>
  <si>
    <t>Excav./Fill =</t>
  </si>
  <si>
    <t>(4) Note: See page 633-7, Section IV, FOTG &amp; chap. 4, AWMFH</t>
  </si>
  <si>
    <t>solids/acre</t>
  </si>
  <si>
    <t>Ac Ft</t>
  </si>
  <si>
    <t>Animal (4)</t>
  </si>
  <si>
    <t>Code</t>
  </si>
  <si>
    <t>Animal</t>
  </si>
  <si>
    <t>Number</t>
  </si>
  <si>
    <t>Weight</t>
  </si>
  <si>
    <t>C.Y.</t>
  </si>
  <si>
    <t>[1]</t>
  </si>
  <si>
    <t xml:space="preserve">Enter Code # </t>
  </si>
  <si>
    <t>[2]</t>
  </si>
  <si>
    <t>for Animal</t>
  </si>
  <si>
    <t xml:space="preserve"> Tract / Field Number(s):</t>
  </si>
  <si>
    <t>Field</t>
  </si>
  <si>
    <t>25 year Runoff =</t>
  </si>
  <si>
    <t>[3]</t>
  </si>
  <si>
    <t>from Table at</t>
  </si>
  <si>
    <t>[4]</t>
  </si>
  <si>
    <t>at left.  12</t>
  </si>
  <si>
    <t>[5]</t>
  </si>
  <si>
    <t>entries maximum.</t>
  </si>
  <si>
    <t>[6]</t>
  </si>
  <si>
    <t>[7]</t>
  </si>
  <si>
    <t>Code, Number &amp;</t>
  </si>
  <si>
    <t>[8]</t>
  </si>
  <si>
    <t>Weight must be</t>
  </si>
  <si>
    <t xml:space="preserve">CAUTION!! </t>
  </si>
  <si>
    <t>[9]</t>
  </si>
  <si>
    <t>entered. Days</t>
  </si>
  <si>
    <t xml:space="preserve">  </t>
  </si>
  <si>
    <t>Does this Waste Management Plan utilize</t>
  </si>
  <si>
    <t>[10]</t>
  </si>
  <si>
    <t>will default</t>
  </si>
  <si>
    <t>all of the waste produced annually ?</t>
  </si>
  <si>
    <t>[11]</t>
  </si>
  <si>
    <t>to Confinement</t>
  </si>
  <si>
    <t>[12]</t>
  </si>
  <si>
    <t>Period if left</t>
  </si>
  <si>
    <t>[13]</t>
  </si>
  <si>
    <t>blank.</t>
  </si>
  <si>
    <t>N.D. State Health Dept. =</t>
  </si>
  <si>
    <t>Animal Units</t>
  </si>
  <si>
    <t>N.R.C.S. =</t>
  </si>
  <si>
    <t>Designed By:__________</t>
  </si>
  <si>
    <t>Checked By:_________Approved By:__________Date:____________</t>
  </si>
  <si>
    <t>Solids Spreading</t>
  </si>
  <si>
    <t>Volume Remaining for application</t>
  </si>
  <si>
    <t>Excreted Volume</t>
  </si>
  <si>
    <t>Cubic Yards or</t>
  </si>
  <si>
    <t>Ag Waste=</t>
  </si>
  <si>
    <t>Bushels or</t>
  </si>
  <si>
    <t xml:space="preserve"> Bedding=</t>
  </si>
  <si>
    <t>Cubic Feet or</t>
  </si>
  <si>
    <t xml:space="preserve">   Total=</t>
  </si>
  <si>
    <t>Reduction in fertilizer content due to storage and application. (5)</t>
  </si>
  <si>
    <t>Fertilizer Value</t>
  </si>
  <si>
    <t>Collection, Storage and Spreading System  =</t>
  </si>
  <si>
    <t>Price / lb.</t>
  </si>
  <si>
    <t>1. Open lot surface storage - solids spreading (6)</t>
  </si>
  <si>
    <t>N @</t>
  </si>
  <si>
    <t>(7)</t>
  </si>
  <si>
    <t>2. Roofed storage - manure pack - solids spreading</t>
  </si>
  <si>
    <t>P @</t>
  </si>
  <si>
    <t>3. Shallow open manure pit - solids spreading</t>
  </si>
  <si>
    <t>K @</t>
  </si>
  <si>
    <r>
      <t xml:space="preserve">SubTotal of </t>
    </r>
    <r>
      <rPr>
        <b/>
        <sz val="10"/>
        <rFont val="Arial"/>
        <family val="2"/>
      </rPr>
      <t>Available Nutrients  Lbs.</t>
    </r>
  </si>
  <si>
    <t>Area required for ag. waste application based on Nitrogen requirements</t>
  </si>
  <si>
    <t>Area required for ag. waste application based on Phosphorous requirements</t>
  </si>
  <si>
    <t>UAN Liquid (28-0-0)</t>
  </si>
  <si>
    <t>Available Nutrients Lbs. / Acre</t>
  </si>
  <si>
    <t>Area required for ag. waste application based on Nitrogen Requirements</t>
  </si>
  <si>
    <t>Area required for ag. waste application based on Phosphorous Requriements</t>
  </si>
  <si>
    <t xml:space="preserve">Second Year Nitrogen Credits for: </t>
  </si>
  <si>
    <t>4. Stacking - solids spreading</t>
  </si>
  <si>
    <t>Total =</t>
  </si>
  <si>
    <t>5. Daily spreading - solids spreading</t>
  </si>
  <si>
    <t>Soil drainage class =</t>
  </si>
  <si>
    <t>1.</t>
  </si>
  <si>
    <t>Excessively drained</t>
  </si>
  <si>
    <t>4.</t>
  </si>
  <si>
    <t>Somewhat poorly drained</t>
  </si>
  <si>
    <t>2.</t>
  </si>
  <si>
    <t>Well Drained</t>
  </si>
  <si>
    <t>5.</t>
  </si>
  <si>
    <t>Poorly drained</t>
  </si>
  <si>
    <t>3.</t>
  </si>
  <si>
    <t>Moderately well drained</t>
  </si>
  <si>
    <t>6.</t>
  </si>
  <si>
    <t>Very Poorly drained</t>
  </si>
  <si>
    <t>Application -  Enter a value, ( 0.5 to 1.0) from chart below  =</t>
  </si>
  <si>
    <t>Days between</t>
  </si>
  <si>
    <t>application and</t>
  </si>
  <si>
    <t>Warm,</t>
  </si>
  <si>
    <t>Cool,</t>
  </si>
  <si>
    <t>Incorporation</t>
  </si>
  <si>
    <t>dry soil</t>
  </si>
  <si>
    <t>moist soil</t>
  </si>
  <si>
    <t>1</t>
  </si>
  <si>
    <t>Bottom Width too NARROW!!</t>
  </si>
  <si>
    <t>4</t>
  </si>
  <si>
    <t>Bottom Length too SHORT!!</t>
  </si>
  <si>
    <t>7 or more</t>
  </si>
  <si>
    <t>Estimated nutrients available for application in Lbs. per unit from Solid Wastes.</t>
  </si>
  <si>
    <t xml:space="preserve">  Total</t>
  </si>
  <si>
    <t>Ton</t>
  </si>
  <si>
    <t>Bushel</t>
  </si>
  <si>
    <t>Cubic Ft</t>
  </si>
  <si>
    <t xml:space="preserve"> ?????</t>
  </si>
  <si>
    <t>Nitrogen</t>
  </si>
  <si>
    <t>Phosphorus</t>
  </si>
  <si>
    <t>Potassium</t>
  </si>
  <si>
    <t>Soil Test</t>
  </si>
  <si>
    <t>Phosphorous</t>
  </si>
  <si>
    <t>STK Factor</t>
  </si>
  <si>
    <t>Crambe</t>
  </si>
  <si>
    <t>Manure, Tons</t>
  </si>
  <si>
    <t>CROP</t>
  </si>
  <si>
    <t>Nitrogen accumulation exceeds the established threshold</t>
  </si>
  <si>
    <t>Phosphorous accumulation exceeds the established threshold</t>
  </si>
  <si>
    <t>Maximum accumulation of P 150ppm</t>
  </si>
  <si>
    <t>Nitrogen accumulation is less than or meets the established threshold</t>
  </si>
  <si>
    <t>Phosphorous accumulation is less than or meets the established threshold</t>
  </si>
  <si>
    <t>Bedding, Tons</t>
  </si>
  <si>
    <t>Estimated Nitrogen available for application from Feedlot Runoff. (8)</t>
  </si>
  <si>
    <t>Per 1000 Gal.</t>
  </si>
  <si>
    <t>Gallons of runoff</t>
  </si>
  <si>
    <t xml:space="preserve">   N available =</t>
  </si>
  <si>
    <t>Fertilizer requirements are based on data published in NDSU Extension Service circulars,</t>
  </si>
  <si>
    <t>SF-700 series.</t>
  </si>
  <si>
    <t>Nutrient requirements of a crop depend on the total production of that crop.  Establish realistic</t>
  </si>
  <si>
    <t>yield goals before attempting to use this spreadsheet.  The applied/used table gives rates</t>
  </si>
  <si>
    <t xml:space="preserve">based on plant requirements. </t>
  </si>
  <si>
    <t>Soil tests and nutrient tests of the animal waste must be used to establish application rates.</t>
  </si>
  <si>
    <t>Application rates for the manure listed in the table are designed to utilize all of the</t>
  </si>
  <si>
    <t>phosphorus, except for Alfalfa and Sweet Clover, which will use all of the potassium.</t>
  </si>
  <si>
    <t>CAUTION !!</t>
  </si>
  <si>
    <t>A buildup of heavy metals may result after many years of manure application on</t>
  </si>
  <si>
    <t>on the same fields.  Never spread manure on frozen soil, in waterways, natural</t>
  </si>
  <si>
    <t>or man made channels.</t>
  </si>
  <si>
    <t>(5) See Section IV, FOTG, page 633-3 &amp; 4, 633-7 to 633-9.</t>
  </si>
  <si>
    <t>(7) Includes runoff pond</t>
  </si>
  <si>
    <t>edible beans</t>
  </si>
  <si>
    <t>(6) Volume reduced, see Table 4-9 AWMFH</t>
  </si>
  <si>
    <t>(8) From AWMFH, page 4-11, table 4-10a</t>
  </si>
  <si>
    <t>ANIMAL WASTE UTILIZATION</t>
  </si>
  <si>
    <t xml:space="preserve">Soil Test (9) </t>
  </si>
  <si>
    <t>Lbs/Acre</t>
  </si>
  <si>
    <t>SPELLING???</t>
  </si>
  <si>
    <t xml:space="preserve">Manure Test (9) </t>
  </si>
  <si>
    <t>(9) Enter zero if test data is not available</t>
  </si>
  <si>
    <t xml:space="preserve">    Waste application</t>
  </si>
  <si>
    <t xml:space="preserve">  Supplement</t>
  </si>
  <si>
    <t xml:space="preserve">       Fertilizer required by Crops</t>
  </si>
  <si>
    <t xml:space="preserve">       in units per acre</t>
  </si>
  <si>
    <t xml:space="preserve">      Lbs/Acre</t>
  </si>
  <si>
    <t>SOIL TEST RATE</t>
  </si>
  <si>
    <t>FULL RATE</t>
  </si>
  <si>
    <t>lbs of fertilizer required</t>
  </si>
  <si>
    <t xml:space="preserve">                      Apply Lbs/Acre</t>
  </si>
  <si>
    <t>Supplement</t>
  </si>
  <si>
    <t>Manure Applied</t>
  </si>
  <si>
    <t>Crop</t>
  </si>
  <si>
    <t>Yield</t>
  </si>
  <si>
    <t>Bushels</t>
  </si>
  <si>
    <t>Inches/Acre</t>
  </si>
  <si>
    <t>to supplement</t>
  </si>
  <si>
    <t>Alfalfa  (tons)</t>
  </si>
  <si>
    <t>Barley, Feed  (bu)</t>
  </si>
  <si>
    <t>Barley,Malting  (bu)</t>
  </si>
  <si>
    <t>Buckwheat  (bu)</t>
  </si>
  <si>
    <t>Canary Seed  (lbs)</t>
  </si>
  <si>
    <t>Canola  (lbs)</t>
  </si>
  <si>
    <t>Corn, Grain  (bu)</t>
  </si>
  <si>
    <t>Corn, Silage  (tons)</t>
  </si>
  <si>
    <t>Durum  (bu)</t>
  </si>
  <si>
    <t>Edible Beans  (lbs)</t>
  </si>
  <si>
    <t>Field Peas  (lbs)</t>
  </si>
  <si>
    <t>Flax  (bu)</t>
  </si>
  <si>
    <t>Grass, Native (tons)</t>
  </si>
  <si>
    <t>Grass, Native</t>
  </si>
  <si>
    <t>Grass, Tame (tons)</t>
  </si>
  <si>
    <t>Grass, Tame</t>
  </si>
  <si>
    <t>Grass, Irrigated (tons)</t>
  </si>
  <si>
    <t>Grass, Irrigated</t>
  </si>
  <si>
    <t>Lentils (lbs)</t>
  </si>
  <si>
    <t>Millet  (lbs)</t>
  </si>
  <si>
    <t>Mustard  (lbs)</t>
  </si>
  <si>
    <t>Oats  (bu)</t>
  </si>
  <si>
    <t>Potatoes  (hwt)</t>
  </si>
  <si>
    <t>Potatoes  (hundred wt.)</t>
  </si>
  <si>
    <t>Rapeseed  (lbs)</t>
  </si>
  <si>
    <t>Rye  (bu)</t>
  </si>
  <si>
    <t>Safflower  (lbs)</t>
  </si>
  <si>
    <t>Soybeans  (bu)</t>
  </si>
  <si>
    <t>Sugarbeets  (tons)</t>
  </si>
  <si>
    <t>Sunflowers  (lbs)</t>
  </si>
  <si>
    <t>Sweet Clover (tons)</t>
  </si>
  <si>
    <t>Wheat  (bu)</t>
  </si>
  <si>
    <t xml:space="preserve">CAUTION !!  This Ag Waste System  is designed to contain less than </t>
  </si>
  <si>
    <t>one years waste production.  Additional acreage may be</t>
  </si>
  <si>
    <t>needed to properly utilize all of the waste produced annually.</t>
  </si>
  <si>
    <t>Note**</t>
  </si>
  <si>
    <t xml:space="preserve">This chart is designed to utilize 100% of the phosporus, except </t>
  </si>
  <si>
    <t>for Alfalfa and Sweetclover which will utilize 100% of the potassium.</t>
  </si>
  <si>
    <t>This method requires the application of supplemental commercial</t>
  </si>
  <si>
    <t>fertilizer to obtain yield goals.</t>
  </si>
  <si>
    <t xml:space="preserve">Fertilizer value of waste applied and nutrients required in pounds per </t>
  </si>
  <si>
    <t>acre to produce yields indicated above.</t>
  </si>
  <si>
    <t xml:space="preserve">                      N</t>
  </si>
  <si>
    <t xml:space="preserve">                  P2O5</t>
  </si>
  <si>
    <t xml:space="preserve">              K20</t>
  </si>
  <si>
    <t xml:space="preserve">        Lbs Per Acre</t>
  </si>
  <si>
    <t>STEELE</t>
  </si>
  <si>
    <t>pH</t>
  </si>
  <si>
    <r>
      <t>K</t>
    </r>
    <r>
      <rPr>
        <b/>
        <vertAlign val="subscript"/>
        <sz val="11"/>
        <rFont val="Arial"/>
        <family val="2"/>
      </rPr>
      <t>2</t>
    </r>
    <r>
      <rPr>
        <b/>
        <sz val="11"/>
        <rFont val="Arial"/>
        <family val="2"/>
      </rPr>
      <t>0</t>
    </r>
  </si>
  <si>
    <t>Distance to Surface Water (feet)</t>
  </si>
  <si>
    <t>Welcome to North Dakota NRCS Nutrient Management Workbook</t>
  </si>
  <si>
    <t xml:space="preserve"> Enter name, tract/field number(s), and acres.  This information will also be displayed on the nutrient management planner sheet.  This workbook is county specific</t>
  </si>
  <si>
    <t>HELP</t>
  </si>
  <si>
    <t>Return to the Phosphorous Index</t>
  </si>
  <si>
    <t>Return to the Nutrient Risk Assessment</t>
  </si>
  <si>
    <t>Return to the Nutrient Management Planner</t>
  </si>
  <si>
    <t>Return to the Annual Crop / Nutrient Analysis</t>
  </si>
  <si>
    <t>Return to the Agricultural Waste Information</t>
  </si>
  <si>
    <t xml:space="preserve">Determine soil map unit and select it from the list in the soil information box.  Surface and ground water risk potentials will be displayed.  Soils information is county specific, if the soils data is incorrect, contact your Area Agronomist. </t>
  </si>
  <si>
    <t>Date and Assisted By</t>
  </si>
  <si>
    <t>Return to Liquid Agricultural Waste Info.</t>
  </si>
  <si>
    <t>Return to Solid Agricultural Waste Info.</t>
  </si>
  <si>
    <t>RETURN</t>
  </si>
  <si>
    <t>Other (Organic Matter., rainwater, etc.)</t>
  </si>
  <si>
    <t>subtotal  Nutrients Applied   Lbs.</t>
  </si>
  <si>
    <t>gal./ac.</t>
  </si>
  <si>
    <t>Use to make any comments or statements regarding the application, follow-up, etc.</t>
  </si>
  <si>
    <t>a)</t>
  </si>
  <si>
    <t>b)</t>
  </si>
  <si>
    <t>c)</t>
  </si>
  <si>
    <t>d)</t>
  </si>
  <si>
    <t>e)</t>
  </si>
  <si>
    <t>f)</t>
  </si>
  <si>
    <t>g)</t>
  </si>
  <si>
    <t>h)</t>
  </si>
  <si>
    <t>&gt;</t>
  </si>
  <si>
    <t>This is the area to account for inorganic or commercial fertilizers applied to the field.  There are three rows with that have a choice list of common fertilizer blends used in North Dakota.  Two additional rows (in blue) to enter custom nutrient blends as needed.  Below is the list of common fertilizers blends used in North Dakota.</t>
  </si>
  <si>
    <t>Second year nitrogen credits are available for forages only.  If a forage legume was grown on the field two growing seasons prior to the current crop, select the forage from the choice list.  Below is the list of forages available for selection.</t>
  </si>
  <si>
    <r>
      <t xml:space="preserve">NOTE:  Use the following entries to account for crop/forage nitrogen credits if </t>
    </r>
    <r>
      <rPr>
        <b/>
        <sz val="10"/>
        <rFont val="Arial"/>
        <family val="2"/>
      </rPr>
      <t>not</t>
    </r>
    <r>
      <rPr>
        <sz val="10"/>
        <rFont val="Arial"/>
        <family val="0"/>
      </rPr>
      <t xml:space="preserve"> included in known soil test data for the field.  Nitrogen credits are dependent on the crop grown (current crop), whether it is a long-season or short-season crop. </t>
    </r>
  </si>
  <si>
    <t>If the previous crop was one of the following, select from the choice list.  To the right enter the bushels harvested for the crop.  The nitrogen credit is calculated and shows up to the right.</t>
  </si>
  <si>
    <t>This workbook contains three worksheets; Instructions, Nutrient Risk Assessment, and Nutrient Management Planner.</t>
  </si>
  <si>
    <t>Select the proper category for the distance where phosphorous will be applied to the nearest surface water from the choice list provided.</t>
  </si>
  <si>
    <t>Phosphorous Index /1 (if required)</t>
  </si>
  <si>
    <t>Select the proper category for the method of application that would present the greatest  risk to surface water quality of all the nutrient application methods used from the choice list provided.</t>
  </si>
  <si>
    <t>Check all best management practices that apply. Each practice selected is worth 1, a maximum of 2 will be credited in the index.</t>
  </si>
  <si>
    <t>Select the proper category for the total of all forms of wind and water erosion from the choice list provided.  If left blank, the Phosphorous Index will remain blank.</t>
  </si>
  <si>
    <t xml:space="preserve">Technical Service Provider </t>
  </si>
  <si>
    <t>This worksheet is intended to provide nutrient and resource assessments.  This worksheet is NOT intended to provide crop / fertilizer recommendations.  The Natural Resources Conservation Service assumes no liability for any use of this worksheet outside of the intended purpose.</t>
  </si>
  <si>
    <t>A buildup of heavy metals may result after many years of manure application on the same fields. Avoid spreading manure on frozen soil, never in waterways, natural or man made channels.</t>
  </si>
  <si>
    <r>
      <t>K</t>
    </r>
    <r>
      <rPr>
        <vertAlign val="subscript"/>
        <sz val="11"/>
        <rFont val="Arial"/>
        <family val="2"/>
      </rPr>
      <t>2</t>
    </r>
    <r>
      <rPr>
        <sz val="11"/>
        <rFont val="Arial"/>
        <family val="2"/>
      </rPr>
      <t>0</t>
    </r>
  </si>
  <si>
    <t xml:space="preserve">           Lbs Per Acre</t>
  </si>
  <si>
    <t xml:space="preserve">    Lbs Per Acre</t>
  </si>
  <si>
    <t>Applied</t>
  </si>
  <si>
    <t>Used</t>
  </si>
  <si>
    <t>TAME</t>
  </si>
  <si>
    <t>NATIVE</t>
  </si>
  <si>
    <t>MANAGEMENT PLAN FOR SOLID WASTE DISPOSAL</t>
  </si>
  <si>
    <t>This plan assumes that the waste will be stored in a solid waste storage structure and will be</t>
  </si>
  <si>
    <t xml:space="preserve">conventionally spread.  </t>
  </si>
  <si>
    <t>cubic feet of solid waste may be stored in this facility for a maximum storage</t>
  </si>
  <si>
    <t>period of</t>
  </si>
  <si>
    <t>days.  The liquid portion of the waste (including wash water and lot</t>
  </si>
  <si>
    <t xml:space="preserve">runoff) will have to be stored in a holding pond, tank or other engineering practice.  Bedding </t>
  </si>
  <si>
    <t>may need to be added to the waste in order for it to stack to the design height.  If all of</t>
  </si>
  <si>
    <t>the stored waste were spread using a</t>
  </si>
  <si>
    <t>bushel spreader, it would take approximately</t>
  </si>
  <si>
    <t xml:space="preserve">               Dryland</t>
  </si>
  <si>
    <t xml:space="preserve">             Irrigated</t>
  </si>
  <si>
    <t>loads.  Assuming</t>
  </si>
  <si>
    <t>Soil testing should be completed at least every other year to monitor nitrogen and at least once every five years to monitor phosphorus levels.  Soil samples should be taken to the rooting depth of each crop in the rotation to reduce the risk of leaching nitrate nitrogen out of the root zone.</t>
  </si>
  <si>
    <t>Fall application of anhydrous ammonia and urea should be delayed until soil temperature is less than 45 degrees Fahrenheit.  When soil temperatures are above 45 degrees Fahrenheit, microbial activity increases, converting ammonia to nitrate-nitrogen (NO3).  Nitrate-nitrogen is a very mobile form of nitrogen and can leach below the crop root zone.</t>
  </si>
  <si>
    <t>loads per hour, it would require</t>
  </si>
  <si>
    <t>statewide</t>
  </si>
  <si>
    <t>hours to spread the waste.</t>
  </si>
  <si>
    <t>Ground conditions must be evaluated prior to spreading.  Compaction problems and damage to</t>
  </si>
  <si>
    <t>underground drainage systems may result from the excessive weight of a loaded spreader.</t>
  </si>
  <si>
    <t>ADAMS</t>
  </si>
  <si>
    <t>Caution should be exercised to insure that waste does not run or wash off from the land.</t>
  </si>
  <si>
    <t>BARNES</t>
  </si>
  <si>
    <t>Animal wastes should never be spread on frozen ground or in natural or constructed waterways.</t>
  </si>
  <si>
    <t>BENSON</t>
  </si>
  <si>
    <t>Adequate steps must be taken to prevent excessive odors from land application of animal</t>
  </si>
  <si>
    <t>BILLINGS</t>
  </si>
  <si>
    <t>wastes.</t>
  </si>
  <si>
    <t>BOTTINEAU</t>
  </si>
  <si>
    <t>BOWMAN</t>
  </si>
  <si>
    <t>BURKE</t>
  </si>
  <si>
    <t>BURLEIGH</t>
  </si>
  <si>
    <t>MANAGEMENT PLAN FOR LIQUID RUNOFF DISPOSAL</t>
  </si>
  <si>
    <t>CASS</t>
  </si>
  <si>
    <t>CAVALIER</t>
  </si>
  <si>
    <t>gallons of liquid runoff may be stored in the holding pond.  In order to maintain</t>
  </si>
  <si>
    <t>DICKEY</t>
  </si>
  <si>
    <t>capacity for a 25 year runoff event, the holding pond should be emptied whenever significant</t>
  </si>
  <si>
    <t>DIVIDE</t>
  </si>
  <si>
    <t>runoff occurs.  A marker will be placed in the pond to indicate the maximum pool elevation.</t>
  </si>
  <si>
    <t>DUNN</t>
  </si>
  <si>
    <t>EDDY</t>
  </si>
  <si>
    <t xml:space="preserve">   Over time solids will accumulate in the holding pond.  These should be removed after each</t>
  </si>
  <si>
    <t>EMMONS</t>
  </si>
  <si>
    <t>significant runoff event to maintain the design capacity of the holding pond.</t>
  </si>
  <si>
    <t>FOSTER</t>
  </si>
  <si>
    <t>GOLDEN VALLEY</t>
  </si>
  <si>
    <t xml:space="preserve">   Ground conditions must be evaluated prior to emptying the pond.  Compaction problems and</t>
  </si>
  <si>
    <t>GRAND FORKS</t>
  </si>
  <si>
    <t>damage to underground drainage systems may result from the excessive weight of machinery.</t>
  </si>
  <si>
    <t>GRANT</t>
  </si>
  <si>
    <t>GRIGGS</t>
  </si>
  <si>
    <t>HETTINGER</t>
  </si>
  <si>
    <t>or constructed waterways.  Adequate steps must be taken to prevent excessive odors from land</t>
  </si>
  <si>
    <t>KIDDER</t>
  </si>
  <si>
    <t>application of animal wastes.</t>
  </si>
  <si>
    <t>LAMOURE</t>
  </si>
  <si>
    <t>Approximately</t>
  </si>
  <si>
    <t>pounds of Nitrogen may be present in the runoff water when the</t>
  </si>
  <si>
    <t>LOGAN</t>
  </si>
  <si>
    <t>holding pond is full to capacity.  Spreading this runoff by pumping or other methods on</t>
  </si>
  <si>
    <t>MCHENRY</t>
  </si>
  <si>
    <t>acres of cropland, pasture or hayland will utilize this valuable resource.  This</t>
  </si>
  <si>
    <t>MCINTOSH</t>
  </si>
  <si>
    <t>Phosphorus Risk Screening Tool</t>
  </si>
  <si>
    <t>PHOSPHOROUS INDEX</t>
  </si>
  <si>
    <t>Phosphorous Index was not calculated for this field.  Refer to the Nutrient Management Planner for nutrient management considerations.</t>
  </si>
  <si>
    <t>application rate of about 1/2" inch per acre will allow most soils to absorb the nutrients without</t>
  </si>
  <si>
    <t>MCKENZIE</t>
  </si>
  <si>
    <t>causing erosion or pollution problems.</t>
  </si>
  <si>
    <t>MCLEAN</t>
  </si>
  <si>
    <t>MERCER</t>
  </si>
  <si>
    <t>MORTON</t>
  </si>
  <si>
    <t>MOUNTRAIL</t>
  </si>
  <si>
    <t>NUTRIENT MANAGEMENT</t>
  </si>
  <si>
    <t>NELSON</t>
  </si>
  <si>
    <t xml:space="preserve">Another tool, besides this spreadsheet to use to help balance nutrients contained in agricultural </t>
  </si>
  <si>
    <t>OLIVER</t>
  </si>
  <si>
    <t>animal waste with soil tests is NDSU Extension Service SF-961, 14 AGR8-1.  This Standard Form</t>
  </si>
  <si>
    <t>PEMBINA</t>
  </si>
  <si>
    <t>AMOR LOAM, 3 TO 6 PERCENT SLOPES</t>
  </si>
  <si>
    <t>Amor</t>
  </si>
  <si>
    <t>AMOR LOAM, 6 TO 9 PERCENT SLOPES</t>
  </si>
  <si>
    <t>Moderate</t>
  </si>
  <si>
    <t>10F</t>
  </si>
  <si>
    <t>Cabba</t>
  </si>
  <si>
    <t>11F</t>
  </si>
  <si>
    <t>Chama</t>
  </si>
  <si>
    <t>Badland</t>
  </si>
  <si>
    <t>Moderately Well</t>
  </si>
  <si>
    <t>19F</t>
  </si>
  <si>
    <t>20B</t>
  </si>
  <si>
    <t>Flasher</t>
  </si>
  <si>
    <t>GRAIL SILTY CLAY LOAM, 1 TO 3 PERCENT SLOPES</t>
  </si>
  <si>
    <t>Grail</t>
  </si>
  <si>
    <t>Lawther</t>
  </si>
  <si>
    <t>Very Poor</t>
  </si>
  <si>
    <t>Moreau</t>
  </si>
  <si>
    <t>REGENT SILTY CLAY LOAM, 3 TO 6 PERCENT SLOPES</t>
  </si>
  <si>
    <t>Regent</t>
  </si>
  <si>
    <t>SHAMBO LOAM, 1 TO 3 PERCENT SLOPES</t>
  </si>
  <si>
    <t>Shambo</t>
  </si>
  <si>
    <t>SHAMBO LOAM, 3 TO 6 PERCENT SLOPES</t>
  </si>
  <si>
    <t>Parshall</t>
  </si>
  <si>
    <t>Beisigl</t>
  </si>
  <si>
    <t>SEN SILT LOAM, 3 TO 6 PERCENT SLOPES</t>
  </si>
  <si>
    <t>Sen</t>
  </si>
  <si>
    <t>80B</t>
  </si>
  <si>
    <t>Vebar</t>
  </si>
  <si>
    <t>VEBAR FINE SANDY LOAM, 6 TO 9 PERCENT SLOPES</t>
  </si>
  <si>
    <t>Belfield</t>
  </si>
  <si>
    <t>99D</t>
  </si>
  <si>
    <t>is available at your local County Agent office.</t>
  </si>
  <si>
    <t>PIERCE</t>
  </si>
  <si>
    <t xml:space="preserve">RAMSEY </t>
  </si>
  <si>
    <t>NUTRIENT MANAGEMENT APPLICATION RECORD KEEPING</t>
  </si>
  <si>
    <t>RANSOM</t>
  </si>
  <si>
    <t>NDSU Extension Service A-1058, available at your local County Agents Office, would be a good</t>
  </si>
  <si>
    <t>RENVILLE</t>
  </si>
  <si>
    <t>tool for keeping track of the field number, crop, acres, yield, and manure application rates plus</t>
  </si>
  <si>
    <r>
      <t>Optional information</t>
    </r>
    <r>
      <rPr>
        <sz val="10"/>
        <rFont val="Arial"/>
        <family val="0"/>
      </rPr>
      <t xml:space="preserve"> includes soil test potassium, pH, percent organic matter, and soil electrical conductivity.  This information is optional for a nutrient management plan, however, knowledge of these levels in the soil can be important to crop rotation and fertilitizer application decisions be the client.</t>
    </r>
  </si>
  <si>
    <r>
      <t>Note the conditions described in the rose colored box that serve as the phosphorus risk-screening tool.   If the conditions apply to the planning situation, the Phosphorous Index needs to be completed to determine if agricultural waste should be applied to supply crop nitrogen or phosphorous needs.</t>
    </r>
    <r>
      <rPr>
        <b/>
        <sz val="10"/>
        <rFont val="Arial"/>
        <family val="2"/>
      </rPr>
      <t xml:space="preserve"> /1</t>
    </r>
  </si>
  <si>
    <t>RICHLAND</t>
  </si>
  <si>
    <t xml:space="preserve">Establish realistic yield goals before attempting to use this spreadsheet.  Nutrient requirements of a crop depend on the total production of that crop.  </t>
  </si>
  <si>
    <t>Open lot surface storage - solids spreading</t>
  </si>
  <si>
    <t>additional commercial fertilizer applications on a yearly basis.  One booklet can provide up to ten</t>
  </si>
  <si>
    <t>ROLETTE</t>
  </si>
  <si>
    <t>years of documentation for each field.</t>
  </si>
  <si>
    <t>SARGENT</t>
  </si>
  <si>
    <t>SHERIDAN</t>
  </si>
  <si>
    <t>MORTALITY</t>
  </si>
  <si>
    <t>SIOUX</t>
  </si>
  <si>
    <t>North Dakota Century Code chapter 36-14-9 and North Dakota State Health Department ND</t>
  </si>
  <si>
    <t>SLOPE</t>
  </si>
  <si>
    <t xml:space="preserve">Administrative Code 33-20 provides guidance for the disposal of dead animals.  A copy of </t>
  </si>
  <si>
    <t>STARK</t>
  </si>
  <si>
    <t>these state laws can be obtained by contacting the ND Ag. Department at 701-328-2654</t>
  </si>
  <si>
    <t>STEEL</t>
  </si>
  <si>
    <t>and the ND State Health Dept. at 701-328-5210 respectively.</t>
  </si>
  <si>
    <t>STUTSMAN</t>
  </si>
  <si>
    <t>TOWNER</t>
  </si>
  <si>
    <t>TRAILL</t>
  </si>
  <si>
    <t>WALSH</t>
  </si>
  <si>
    <t>WARD</t>
  </si>
  <si>
    <t>WELLS</t>
  </si>
  <si>
    <t>WILLIAMS</t>
  </si>
  <si>
    <t>Adams</t>
  </si>
  <si>
    <t>Barnes</t>
  </si>
  <si>
    <t>Benson</t>
  </si>
  <si>
    <t>Billings</t>
  </si>
  <si>
    <t>Bottineau</t>
  </si>
  <si>
    <t>Bowman</t>
  </si>
  <si>
    <t>Burke</t>
  </si>
  <si>
    <t>Burleigh</t>
  </si>
  <si>
    <t>Cass</t>
  </si>
  <si>
    <t>Cavalier</t>
  </si>
  <si>
    <t>Dickey</t>
  </si>
  <si>
    <t>Divide</t>
  </si>
  <si>
    <t>Dunn</t>
  </si>
  <si>
    <t>Eddy</t>
  </si>
  <si>
    <t>Emmons</t>
  </si>
  <si>
    <t>Foster</t>
  </si>
  <si>
    <t>Golden Valley</t>
  </si>
  <si>
    <t>Grand Forks</t>
  </si>
  <si>
    <t>Grant</t>
  </si>
  <si>
    <t>Griggs</t>
  </si>
  <si>
    <t>Hettinger</t>
  </si>
  <si>
    <t xml:space="preserve">           Given :</t>
  </si>
  <si>
    <t xml:space="preserve">         Interpolated</t>
  </si>
  <si>
    <t>Kidder</t>
  </si>
  <si>
    <t>Elev.</t>
  </si>
  <si>
    <t>Beginning Contour Elevation :</t>
  </si>
  <si>
    <t>Logan</t>
  </si>
  <si>
    <t>Ending Contour Elevation :</t>
  </si>
  <si>
    <t>McHenry</t>
  </si>
  <si>
    <t>Mean :</t>
  </si>
  <si>
    <t>McIntosh</t>
  </si>
  <si>
    <t>McKenzie</t>
  </si>
  <si>
    <t>Interval :</t>
  </si>
  <si>
    <t>McLean</t>
  </si>
  <si>
    <t>Mercer</t>
  </si>
  <si>
    <t>Morton</t>
  </si>
  <si>
    <t>Mountrail</t>
  </si>
  <si>
    <t>Nelson</t>
  </si>
  <si>
    <t>Oliver</t>
  </si>
  <si>
    <t>Pembina</t>
  </si>
  <si>
    <t>Pierce</t>
  </si>
  <si>
    <t>Ramsey</t>
  </si>
  <si>
    <t>Ransom</t>
  </si>
  <si>
    <t>Renville</t>
  </si>
  <si>
    <t>Richland</t>
  </si>
  <si>
    <t>Rolette</t>
  </si>
  <si>
    <t>Sargent</t>
  </si>
  <si>
    <t>Sheridan</t>
  </si>
  <si>
    <t>Sioux</t>
  </si>
  <si>
    <t>Slope</t>
  </si>
  <si>
    <t>Stark</t>
  </si>
  <si>
    <t>Steel</t>
  </si>
  <si>
    <t>Stutsman</t>
  </si>
  <si>
    <t>Towner</t>
  </si>
  <si>
    <t>Traill</t>
  </si>
  <si>
    <t>Walsh</t>
  </si>
  <si>
    <t>Ward</t>
  </si>
  <si>
    <t>Wells</t>
  </si>
  <si>
    <t>Williams</t>
  </si>
  <si>
    <t>adams</t>
  </si>
  <si>
    <t>barnes</t>
  </si>
  <si>
    <t>benson</t>
  </si>
  <si>
    <t>billings</t>
  </si>
  <si>
    <t>bottineau</t>
  </si>
  <si>
    <t>bowman</t>
  </si>
  <si>
    <t>burke</t>
  </si>
  <si>
    <t>burleigh</t>
  </si>
  <si>
    <t>cass</t>
  </si>
  <si>
    <t>cavalier</t>
  </si>
  <si>
    <t>dickey</t>
  </si>
  <si>
    <t>Basic workbook appearance</t>
  </si>
  <si>
    <t>Areas of the workbook that include drop-down choice lists or are shaded in light yellow are necessary entries to perform computations for that particular section of the workbook.  If a selection is not made from a choice list or data is not entered in a yellow-shaded area, the computations will not be complete for that section of the workbook.</t>
  </si>
  <si>
    <t>Areas shaded in light blue are optional entries for information purposes, or to specify data acquired from soil or manure testing.</t>
  </si>
  <si>
    <t>Some areas of the workbook change color based on entries to alert the user of important limits for that particular item.  When an area turns red, it indicates that a value is outside of acceptable limits for that item.  If an area turns yellow, it indicates that a value is still within acceptable limits but is approaching an unacceptable limit.  If an area turns green, it indicates that a value is within acceptable limits for that item.</t>
  </si>
  <si>
    <t>Nutrient Leaching and Soil Surface Runoff Potential</t>
  </si>
  <si>
    <r>
      <t>Nutrients Needed to meet</t>
    </r>
    <r>
      <rPr>
        <sz val="10"/>
        <rFont val="Arial"/>
        <family val="2"/>
      </rPr>
      <t xml:space="preserve"> desired Yield Goal</t>
    </r>
    <r>
      <rPr>
        <b/>
        <sz val="10"/>
        <rFont val="Arial"/>
        <family val="2"/>
      </rPr>
      <t xml:space="preserve"> (Lbs./Acre)</t>
    </r>
  </si>
  <si>
    <t xml:space="preserve"> Indicates if total planned/applied nutrients are (SHORT) or in (EXCESS) </t>
  </si>
  <si>
    <t>Nutrient application should avoid areas sensitive to surface and ground water contamination.  Follow federal, state and local guidelines for specific setbacks need to minimize impacts to sensitive areas.  Schedule manure applications to minimize offsite impacts by potenially offensive odors.  Drainage (surface and subsurface) should be considered when evaluating distance to water.</t>
  </si>
  <si>
    <t>lb/acre</t>
  </si>
  <si>
    <t>Well</t>
  </si>
  <si>
    <t>See management statements above.</t>
  </si>
  <si>
    <t>Enter information to estimate Agricultural Waste volume and nutrient content for either Solids or Liquids:  Leave days of storage blank, if agricultural waste application is not planned.  Soil tests and nutrient tests of the agricultural waste must be used to establish accurate application rates.  Data generated is NOT to be used for ag waste system design specifications, rather it provides waste volumes and nutrient values to develop waste utilization plans.  Refer to the AgSolids or AgLiquids EXCEL worksheets (or other approved design methods) for ag waste system design specifications.</t>
  </si>
  <si>
    <t>Lbs. N Available</t>
  </si>
  <si>
    <t>Lbs Nitrogen / 1000 gal</t>
  </si>
  <si>
    <t xml:space="preserve">Application of collected Feedlot Runoff </t>
  </si>
  <si>
    <r>
      <t>SubTotal of</t>
    </r>
    <r>
      <rPr>
        <b/>
        <sz val="10"/>
        <rFont val="Arial"/>
        <family val="2"/>
      </rPr>
      <t xml:space="preserve"> Available Nutrients  Lbs.</t>
    </r>
  </si>
  <si>
    <t>Diameter (Ft)</t>
  </si>
  <si>
    <t>Top Width (Ft)</t>
  </si>
  <si>
    <t>Top Length (Ft)</t>
  </si>
  <si>
    <t>Ag Waste pond design information from the AgLiquid spreadsheet</t>
  </si>
  <si>
    <t>Curve Number</t>
  </si>
  <si>
    <t>Acres in Watershed</t>
  </si>
  <si>
    <t>Feedlot Slope %</t>
  </si>
  <si>
    <t>Years of Solids Accumulation</t>
  </si>
  <si>
    <t>Enter data from the AgSolids Design Spreadsheet</t>
  </si>
  <si>
    <t>Feedlot Runoff - Liquid and Nitrogen Amounts for application</t>
  </si>
  <si>
    <t>NOTE:  Leave all boxes blank, if Solid Agricultural Waste application is not planned.</t>
  </si>
  <si>
    <r>
      <t>Help links are found along the left hand margin of the Nutrient Risk Assessment and Nutrient Management Planner.  These are linked to this worksheet.  To return to the worksheet area, click the "</t>
    </r>
    <r>
      <rPr>
        <sz val="10"/>
        <color indexed="12"/>
        <rFont val="Arial"/>
        <family val="2"/>
      </rPr>
      <t>Return to…</t>
    </r>
    <r>
      <rPr>
        <sz val="10"/>
        <rFont val="Arial"/>
        <family val="0"/>
      </rPr>
      <t>" link for that section.</t>
    </r>
  </si>
  <si>
    <t xml:space="preserve">Enter specific Solid Agricultural Waste System information; type of collection/handling system, curve number, watershed acres, feedlot slope (%) and years of accumulation.  If known, enter solid agricultural waste test values, number of tons of manure available to apply.  </t>
  </si>
  <si>
    <t>Uncovered, Circular Stucture</t>
  </si>
  <si>
    <t>Collection and Storage System</t>
  </si>
  <si>
    <t>1/ Additional information on the phosphorous risk assessment is available in the ND Phosphorous Risk Assessment located in section 1 of the Field Office Technical Guide.</t>
  </si>
  <si>
    <t>Nutrient Management Planner</t>
  </si>
  <si>
    <t>2/ Agricultural Waste Handbook</t>
  </si>
  <si>
    <t xml:space="preserve">Under each crop year make selections from the drop-down lists or enter information and/or values in the yellow-shaded cells.  Several cells have comment boxes with tips about the type of entry that should be made in a cell.  The comment boxes will appear when you place and hold your mouse pointer over the cell (cells with comment boxes have a small red triangle in the upper right corner of the cell).  </t>
  </si>
  <si>
    <t>Fall application is not recommended if residue cover is less than 30%</t>
  </si>
  <si>
    <t>Spring incorporation is necessary (within 1 day) if residue cover is less than 30% after application.</t>
  </si>
  <si>
    <t>Consider split nitrogen applications to include a preplant application and later application during early vegetative growth.</t>
  </si>
  <si>
    <t xml:space="preserve">Fall application is not recommended if residue cover is less than 40%.  </t>
  </si>
  <si>
    <t>Spring incorportation is necessary (within 1 day) if residue cover will be less than 40% after application.</t>
  </si>
  <si>
    <t>Surface application in the fall is not recommended.  Incorporation or injection is required.</t>
  </si>
  <si>
    <t>All spring applications should be delayed until after spring runoff and/or flooding.</t>
  </si>
  <si>
    <t xml:space="preserve">Fall application not recommended.  </t>
  </si>
  <si>
    <t>Spring application should be delayed until after the soil is completely thawed.  Consider split nitrogen applications to include a preplant application and later application during early vegetative growth.</t>
  </si>
  <si>
    <t xml:space="preserve">Management considerations are displayed at the bottom of each crop year after information for that crop has been entered.  The light blue box is available for remarks that help describe the specific nutrient management information for each crop year. </t>
  </si>
  <si>
    <t>divide</t>
  </si>
  <si>
    <t>dunn</t>
  </si>
  <si>
    <t>eddy</t>
  </si>
  <si>
    <t>Soil Erosion by wind and water (tons/acre/year)</t>
  </si>
  <si>
    <t>emmons</t>
  </si>
  <si>
    <t>foster</t>
  </si>
  <si>
    <t>golden valley</t>
  </si>
  <si>
    <t>grand forks</t>
  </si>
  <si>
    <t>grant</t>
  </si>
  <si>
    <t>griggs</t>
  </si>
  <si>
    <t>/pprplan~agpq</t>
  </si>
  <si>
    <t>/pprLIQUID~agpq</t>
  </si>
  <si>
    <t>/pprSOLIDS~agpq</t>
  </si>
  <si>
    <t>hettinger</t>
  </si>
  <si>
    <t>kidder</t>
  </si>
  <si>
    <t>lamoure</t>
  </si>
  <si>
    <t>logan</t>
  </si>
  <si>
    <t>mchenry</t>
  </si>
  <si>
    <t>mcintosh</t>
  </si>
  <si>
    <t>mckenzie</t>
  </si>
  <si>
    <t>mclean</t>
  </si>
  <si>
    <t>mercer</t>
  </si>
  <si>
    <t>morton</t>
  </si>
  <si>
    <t>mountrail</t>
  </si>
  <si>
    <t>nelson</t>
  </si>
  <si>
    <t>oliver</t>
  </si>
  <si>
    <t>pembina</t>
  </si>
  <si>
    <t>Lbs/1000 Gallons</t>
  </si>
  <si>
    <t>Soil test P</t>
  </si>
  <si>
    <t>Liquid Agricultural Waste Nutrient Book Values (Lbs./1000 Gallons)</t>
  </si>
  <si>
    <t>Surface Application with Incorporation after 3 months</t>
  </si>
  <si>
    <t>Surface Application on Native Range or Pasture, no Incorporation</t>
  </si>
  <si>
    <t>Distance to Permanent Surface Water or Water Course</t>
  </si>
  <si>
    <r>
      <t>Phosphorous Fertilizer Application Rate (pounds P</t>
    </r>
    <r>
      <rPr>
        <vertAlign val="subscript"/>
        <sz val="10"/>
        <rFont val="Arial"/>
        <family val="2"/>
      </rPr>
      <t>2</t>
    </r>
    <r>
      <rPr>
        <sz val="10"/>
        <rFont val="Arial"/>
        <family val="0"/>
      </rPr>
      <t>O</t>
    </r>
    <r>
      <rPr>
        <vertAlign val="subscript"/>
        <sz val="10"/>
        <rFont val="Arial"/>
        <family val="2"/>
      </rPr>
      <t>5</t>
    </r>
    <r>
      <rPr>
        <sz val="10"/>
        <rFont val="Arial"/>
        <family val="0"/>
      </rPr>
      <t>/acre) from all Sources</t>
    </r>
  </si>
  <si>
    <t>Soil Erosion by Wind and Water in (tons/acre/year)</t>
  </si>
  <si>
    <t>pierce</t>
  </si>
  <si>
    <t>ramsey</t>
  </si>
  <si>
    <t>ransom</t>
  </si>
  <si>
    <t>renville</t>
  </si>
  <si>
    <t>richland</t>
  </si>
  <si>
    <t>rolette</t>
  </si>
  <si>
    <t>sargent</t>
  </si>
  <si>
    <t>sheridan</t>
  </si>
  <si>
    <t>sioux</t>
  </si>
  <si>
    <t>slope</t>
  </si>
  <si>
    <t>stark</t>
  </si>
  <si>
    <t>steel</t>
  </si>
  <si>
    <t>stutsman</t>
  </si>
  <si>
    <t>towner</t>
  </si>
  <si>
    <t>traill</t>
  </si>
  <si>
    <t>walsh</t>
  </si>
  <si>
    <t>ward</t>
  </si>
  <si>
    <t>wells</t>
  </si>
  <si>
    <t>williams</t>
  </si>
  <si>
    <t>McHENRY</t>
  </si>
  <si>
    <t>McINTOSH</t>
  </si>
  <si>
    <t>McKENZIE</t>
  </si>
  <si>
    <t>McLEAN</t>
  </si>
  <si>
    <t>(AF8)*(AF344*F90*AF348*N357)</t>
  </si>
  <si>
    <t>(Final Design)</t>
  </si>
  <si>
    <t>Pond</t>
  </si>
  <si>
    <t>Cubic</t>
  </si>
  <si>
    <t>Dimensions</t>
  </si>
  <si>
    <t>Length</t>
  </si>
  <si>
    <t>Width</t>
  </si>
  <si>
    <t>Yards</t>
  </si>
  <si>
    <t>Top</t>
  </si>
  <si>
    <t>top</t>
  </si>
  <si>
    <t>Bott.</t>
  </si>
  <si>
    <t>bott</t>
  </si>
  <si>
    <t>S.S.</t>
  </si>
  <si>
    <t>4am</t>
  </si>
  <si>
    <t>Depth</t>
  </si>
  <si>
    <t>total</t>
  </si>
  <si>
    <t xml:space="preserve">  (Calculate)</t>
  </si>
  <si>
    <t>with 25 yr</t>
  </si>
  <si>
    <t>less 25 yr</t>
  </si>
  <si>
    <t xml:space="preserve">         and freeboard</t>
  </si>
  <si>
    <t>initial storage req'd</t>
  </si>
  <si>
    <t>25 YR RAINFALL DEPTH IN FEET</t>
  </si>
  <si>
    <t>25 YEAR RAINFALL IN CY</t>
  </si>
  <si>
    <t>freeboard in cy</t>
  </si>
  <si>
    <t>total storage req'd</t>
  </si>
  <si>
    <t>25 yr</t>
  </si>
  <si>
    <t>Annual</t>
  </si>
  <si>
    <t>Runoff</t>
  </si>
  <si>
    <t>Name:</t>
  </si>
  <si>
    <t>001</t>
  </si>
  <si>
    <t>003</t>
  </si>
  <si>
    <t>005</t>
  </si>
  <si>
    <t>007</t>
  </si>
  <si>
    <t>009</t>
  </si>
  <si>
    <t>011</t>
  </si>
  <si>
    <t>013</t>
  </si>
  <si>
    <t>015</t>
  </si>
  <si>
    <t>017</t>
  </si>
  <si>
    <t>019</t>
  </si>
  <si>
    <t>021</t>
  </si>
  <si>
    <t>023</t>
  </si>
  <si>
    <t xml:space="preserve">Dunn </t>
  </si>
  <si>
    <t>025</t>
  </si>
  <si>
    <t xml:space="preserve">Eddy </t>
  </si>
  <si>
    <t>027</t>
  </si>
  <si>
    <t>029</t>
  </si>
  <si>
    <t>031</t>
  </si>
  <si>
    <t>035</t>
  </si>
  <si>
    <t>033</t>
  </si>
  <si>
    <t>037</t>
  </si>
  <si>
    <t>039</t>
  </si>
  <si>
    <t>041</t>
  </si>
  <si>
    <t>043</t>
  </si>
  <si>
    <t>045</t>
  </si>
  <si>
    <t>047</t>
  </si>
  <si>
    <t>049</t>
  </si>
  <si>
    <t>051</t>
  </si>
  <si>
    <t>053</t>
  </si>
  <si>
    <t>055</t>
  </si>
  <si>
    <t>057</t>
  </si>
  <si>
    <t>059</t>
  </si>
  <si>
    <t>061</t>
  </si>
  <si>
    <t>063</t>
  </si>
  <si>
    <t>065</t>
  </si>
  <si>
    <t>067</t>
  </si>
  <si>
    <t>069</t>
  </si>
  <si>
    <t>071</t>
  </si>
  <si>
    <t>073</t>
  </si>
  <si>
    <t>075</t>
  </si>
  <si>
    <t>077</t>
  </si>
  <si>
    <t>079</t>
  </si>
  <si>
    <t>081</t>
  </si>
  <si>
    <t>083</t>
  </si>
  <si>
    <t>085</t>
  </si>
  <si>
    <t>087</t>
  </si>
  <si>
    <t>089</t>
  </si>
  <si>
    <t>093</t>
  </si>
  <si>
    <t>Steele</t>
  </si>
  <si>
    <t>091</t>
  </si>
  <si>
    <t>095</t>
  </si>
  <si>
    <t>097</t>
  </si>
  <si>
    <t>099</t>
  </si>
  <si>
    <t>101</t>
  </si>
  <si>
    <t>103</t>
  </si>
  <si>
    <t>105</t>
  </si>
  <si>
    <t>FIPS</t>
  </si>
  <si>
    <t>COUNTY</t>
  </si>
  <si>
    <t xml:space="preserve">Barley, Feed </t>
  </si>
  <si>
    <t>bushels</t>
  </si>
  <si>
    <t>Buckwheat</t>
  </si>
  <si>
    <t>pounds</t>
  </si>
  <si>
    <t>tons</t>
  </si>
  <si>
    <t>hundredwt</t>
  </si>
  <si>
    <t>Canola</t>
  </si>
  <si>
    <t>Edible Beans</t>
  </si>
  <si>
    <t>Lentils</t>
  </si>
  <si>
    <t>Rye</t>
  </si>
  <si>
    <t>Sunflowers</t>
  </si>
  <si>
    <t>Sweet Clover</t>
  </si>
  <si>
    <t>Yield Goal</t>
  </si>
  <si>
    <t>Units</t>
  </si>
  <si>
    <t>Rotation / Crops</t>
  </si>
  <si>
    <t>Cu. Yds.</t>
  </si>
  <si>
    <t>tons/acre</t>
  </si>
  <si>
    <t>FERTILIZERS</t>
  </si>
  <si>
    <t>S</t>
  </si>
  <si>
    <t>lbs./ac.</t>
  </si>
  <si>
    <t>Barley,Malting</t>
  </si>
  <si>
    <t>Alfalfa</t>
  </si>
  <si>
    <t>Canary Seed</t>
  </si>
  <si>
    <t>Corn, Grain</t>
  </si>
  <si>
    <t>Corn, Silage</t>
  </si>
  <si>
    <t>Field Peas</t>
  </si>
  <si>
    <t>Required Nutrients for Yield Goal</t>
  </si>
  <si>
    <t>Oats</t>
  </si>
  <si>
    <t>Durum</t>
  </si>
  <si>
    <t>Flax</t>
  </si>
  <si>
    <t>Millet</t>
  </si>
  <si>
    <t>Mustard</t>
  </si>
  <si>
    <t>Potatoes</t>
  </si>
  <si>
    <t>Rapeseed</t>
  </si>
  <si>
    <t>Safflower</t>
  </si>
  <si>
    <t>Soybeans</t>
  </si>
  <si>
    <t>Sugarbeets</t>
  </si>
  <si>
    <t>Wheat</t>
  </si>
  <si>
    <t xml:space="preserve">Commercial Fertilizer </t>
  </si>
  <si>
    <t>EXCESS</t>
  </si>
  <si>
    <t>SHORT</t>
  </si>
  <si>
    <t>$/Lb</t>
  </si>
  <si>
    <t>Acres:</t>
  </si>
  <si>
    <t>Assisted By:</t>
  </si>
  <si>
    <t>Reviewed By:</t>
  </si>
  <si>
    <t>North Dakota Animal Waste Design</t>
  </si>
  <si>
    <t>Liquid Waste Management</t>
  </si>
  <si>
    <t>Cooperator :</t>
  </si>
  <si>
    <t>Water added/day :</t>
  </si>
  <si>
    <t>Gal.</t>
  </si>
  <si>
    <t>County :</t>
  </si>
  <si>
    <t>Bedding/lb/day  :</t>
  </si>
  <si>
    <t>Project :</t>
  </si>
  <si>
    <t>Annual rainfall :</t>
  </si>
  <si>
    <t>Inches (1)</t>
  </si>
  <si>
    <t>Agricultural Waste</t>
  </si>
  <si>
    <t>less than 30 pounds/acre</t>
  </si>
  <si>
    <t>more than 150 pounds/acre</t>
  </si>
  <si>
    <t>less than 2 tons/acre/year</t>
  </si>
  <si>
    <t>more than 15 tons/acre/year</t>
  </si>
  <si>
    <t>greater than 1000 feet</t>
  </si>
  <si>
    <t>less than 20 feet</t>
  </si>
  <si>
    <t>Legal Description :</t>
  </si>
  <si>
    <t>NW-24-131-61</t>
  </si>
  <si>
    <t>25 year/24 hour :</t>
  </si>
  <si>
    <t>Storage Period :</t>
  </si>
  <si>
    <t>Annual Evaporation :</t>
  </si>
  <si>
    <t>Sow&amp;Litter</t>
  </si>
  <si>
    <t>Approximate Minimum Water Requirements, Gal./Day (4)</t>
  </si>
  <si>
    <t>Disposal System :</t>
  </si>
  <si>
    <t>Swine</t>
  </si>
  <si>
    <t>Poultry</t>
  </si>
  <si>
    <t xml:space="preserve">Irrigation </t>
  </si>
  <si>
    <t xml:space="preserve">Pump ,Inject </t>
  </si>
  <si>
    <t>Animal (5)</t>
  </si>
  <si>
    <t xml:space="preserve">  Enter Code # </t>
  </si>
  <si>
    <t xml:space="preserve">  for Animal</t>
  </si>
  <si>
    <t xml:space="preserve">  from Table at</t>
  </si>
  <si>
    <t>Total N available to crop</t>
  </si>
  <si>
    <t xml:space="preserve">  at left.  12</t>
  </si>
  <si>
    <t xml:space="preserve">  entries maximum.</t>
  </si>
  <si>
    <t xml:space="preserve">  Code, Number &amp;</t>
  </si>
  <si>
    <t>?????</t>
  </si>
  <si>
    <t>% Mineralized</t>
  </si>
  <si>
    <t xml:space="preserve">  Weight must be</t>
  </si>
  <si>
    <t xml:space="preserve">  entered. Days</t>
  </si>
  <si>
    <t>IRR.</t>
  </si>
  <si>
    <t>PUMP</t>
  </si>
  <si>
    <t xml:space="preserve">  will default</t>
  </si>
  <si>
    <t>DAIRY</t>
  </si>
  <si>
    <t xml:space="preserve">  to the Storage </t>
  </si>
  <si>
    <t>SWINE</t>
  </si>
  <si>
    <t xml:space="preserve">  Period if left</t>
  </si>
  <si>
    <t>BEEF</t>
  </si>
  <si>
    <t xml:space="preserve">  blank.</t>
  </si>
  <si>
    <t>POULTRY</t>
  </si>
  <si>
    <t>SHEEP</t>
  </si>
  <si>
    <t xml:space="preserve"> (1) Open   or   (2) Covered</t>
  </si>
  <si>
    <t>HORSES</t>
  </si>
  <si>
    <t>Enter</t>
  </si>
  <si>
    <t>Poultry (Hens)</t>
  </si>
  <si>
    <t>W/FREEBD</t>
  </si>
  <si>
    <t>W/O</t>
  </si>
  <si>
    <t>Open</t>
  </si>
  <si>
    <t>Poultry (Broilers, Turkeys)</t>
  </si>
  <si>
    <t>D=</t>
  </si>
  <si>
    <t>Covered</t>
  </si>
  <si>
    <t>Total N</t>
  </si>
  <si>
    <t>Diameter</t>
  </si>
  <si>
    <t>d=</t>
  </si>
  <si>
    <t>diameter squared</t>
  </si>
  <si>
    <t xml:space="preserve">   Top=</t>
  </si>
  <si>
    <t>d2=</t>
  </si>
  <si>
    <t>depth squared</t>
  </si>
  <si>
    <t>&lt;With Freeboard&gt;</t>
  </si>
  <si>
    <t>Bottom=</t>
  </si>
  <si>
    <t>h=</t>
  </si>
  <si>
    <t>sideslope squared</t>
  </si>
  <si>
    <t>&lt;&lt; Storage (less freeboard) &gt;&gt;</t>
  </si>
  <si>
    <t>Depth=</t>
  </si>
  <si>
    <t>Feet (6)</t>
  </si>
  <si>
    <t>Depth =</t>
  </si>
  <si>
    <t>SS=</t>
  </si>
  <si>
    <t>depth cubed</t>
  </si>
  <si>
    <t xml:space="preserve">      (Calculate)</t>
  </si>
  <si>
    <t>D2=</t>
  </si>
  <si>
    <t>V=</t>
  </si>
  <si>
    <t xml:space="preserve"> &lt;&lt;Storage with Freeboard &gt;&gt;</t>
  </si>
  <si>
    <t>Increase top diameter!!</t>
  </si>
  <si>
    <t>initial cy</t>
  </si>
  <si>
    <t xml:space="preserve">    **4</t>
  </si>
  <si>
    <t xml:space="preserve">   **2</t>
  </si>
  <si>
    <t>Water added=</t>
  </si>
  <si>
    <t>water added,gpd</t>
  </si>
  <si>
    <t>Rainfall=</t>
  </si>
  <si>
    <t>Precip for storage period (Ft)</t>
  </si>
  <si>
    <t>Evaporation=</t>
  </si>
  <si>
    <t>25 Yr/24Hr Ft.</t>
  </si>
  <si>
    <t>of Annual Precip. used.</t>
  </si>
  <si>
    <t>Bedding=</t>
  </si>
  <si>
    <t>TOTAL Precip. feet</t>
  </si>
  <si>
    <t>Freeboard=</t>
  </si>
  <si>
    <t>Total Precipitation in Cubic Yards</t>
  </si>
  <si>
    <t>Rainfall =</t>
  </si>
  <si>
    <t>Rectangular=</t>
  </si>
  <si>
    <t>Circular=</t>
  </si>
  <si>
    <t>Storage (less freeboard)=</t>
  </si>
  <si>
    <t>Precip Gal/Day</t>
  </si>
  <si>
    <t>Freeboard =</t>
  </si>
  <si>
    <t>freeboard=</t>
  </si>
  <si>
    <t>Evaporation/Feet</t>
  </si>
  <si>
    <t>N.D. State Health Dept.  =</t>
  </si>
  <si>
    <t>Net Precip. (feet)</t>
  </si>
  <si>
    <t>of Annual Evap. used.</t>
  </si>
  <si>
    <t>N.R.C.S.  =</t>
  </si>
  <si>
    <t>TOTAL Precip. C.Y.</t>
  </si>
  <si>
    <t>Well output required   =</t>
  </si>
  <si>
    <t>G.P.M. (based on 24 hrs pumping per day)</t>
  </si>
  <si>
    <t xml:space="preserve">  Note:   Freeboard</t>
  </si>
  <si>
    <t xml:space="preserve">    is not used on</t>
  </si>
  <si>
    <t>Designed By:_________   Checked By:__________   Approved By:_________   Date:_________</t>
  </si>
  <si>
    <t xml:space="preserve">  covered systems</t>
  </si>
  <si>
    <t>(1) ND Hydrology Manual, page 1-2, figure 1-1</t>
  </si>
  <si>
    <t>(4) AWMFH, pages 11-3 &amp; 11-4</t>
  </si>
  <si>
    <t xml:space="preserve">Cumulative </t>
  </si>
  <si>
    <t>Solid Agricultural Waste Information 2/</t>
  </si>
  <si>
    <t>Solid agricultural waste test results (if known)</t>
  </si>
  <si>
    <t xml:space="preserve"> Liquid Agricultural Waste Information 2/</t>
  </si>
  <si>
    <t>Liquid agricultural waste test results (if known)</t>
  </si>
  <si>
    <t>If no holding pond for feedlot runoff is in place, leave blank.</t>
  </si>
  <si>
    <t>Acres in the Feedlot Watershed</t>
  </si>
  <si>
    <t>Percent Slope in the Feedlot</t>
  </si>
  <si>
    <t>Management Considerations</t>
  </si>
  <si>
    <t>Enter up to four different animal types (from the choice list)</t>
  </si>
  <si>
    <t>Numbers</t>
  </si>
  <si>
    <t xml:space="preserve">Select soil conditions and timing of waste incorporation (from the choice list) </t>
  </si>
  <si>
    <t>Average Weight of each animal type (in pounds)</t>
  </si>
  <si>
    <t>Days of Storage (may be different for each animal type)</t>
  </si>
  <si>
    <t xml:space="preserve">Tons (optional), Enter a known or estimated amount in tons of an existing pile of manure.  The value will show up in the green block and will also convert to Cubic Yards and Bushels.  </t>
  </si>
  <si>
    <t>Value of solid agricultural waste as a fertilizer source (optional)</t>
  </si>
  <si>
    <t>Total pounds of bedding added per day for the feeding area (optional)</t>
  </si>
  <si>
    <t>To compute the volume of grey water runoff for a feedlot holding pond.  Enter the following data from the AgSolids or other design worksheet.</t>
  </si>
  <si>
    <t>Enter information or select from the lists in the yellow or light blue cells to calculate annual waste production and nutrient value.</t>
  </si>
  <si>
    <t>Select the collection, storage and spreading system from the choice list</t>
  </si>
  <si>
    <t xml:space="preserve">Enter the top width and length for rectangular pond </t>
  </si>
  <si>
    <t>OR the diameter of a circular pond (in feet)</t>
  </si>
  <si>
    <t>Value of liquid agricultural waste as a fertilizer source (optional)</t>
  </si>
  <si>
    <t>Added water per day in gallons (Reference AWMFH; pages 11-3,11-4)</t>
  </si>
  <si>
    <t>Nutrient Risk Assessment and Phosphorous Index information is displayed from information entered on the nutrient risk assessment sheet.</t>
  </si>
  <si>
    <t>Nutrient Risk Assessment and Phosphorous Index</t>
  </si>
  <si>
    <t>Select the waste collection, storage and spreading system (from the choice list)</t>
  </si>
  <si>
    <t>Soil Test Phosphorous (STP)</t>
  </si>
  <si>
    <t>The next option is to determine a nitrogen credit for a previous legume crop or forage.  Select the crop or forage from the choice list and the appropriate nitrogen credit will show up in the column to the right.</t>
  </si>
  <si>
    <t>Second year nitrogen credits</t>
  </si>
  <si>
    <t>This is the section where you can account for more site specific nutrient issues.  There is a choice with the following options.</t>
  </si>
  <si>
    <t xml:space="preserve">Select the option and enter the nutrient values in pounds per acre (N, P2O5, K2O).  </t>
  </si>
  <si>
    <t>Example:</t>
  </si>
  <si>
    <t>2.2 X 9 = 19.8 pounds Nitrogen per acre</t>
  </si>
  <si>
    <t xml:space="preserve">If solid agricultural waste will be a component of the nutrient management plan, application rates based on crop nitrogen and crop phosphorous requirements for the planned crop are provided.  Enter the amount of solid waste to be applied (in tons/acre). </t>
  </si>
  <si>
    <t xml:space="preserve">If liquid agricultural waste will be a component of the nutrient management plan, application rates based on crop nitrogen and crop phosphorous requirements for the planned crop are provided.  Enter the amount of liquid waste to be applied (in 1000 gallons/acre). </t>
  </si>
  <si>
    <t>Feedlot runoff containing 2.2 pounds of Nitrogen per 1000 gallons, the waste will be applied at 9,000 gallons per acre, so</t>
  </si>
  <si>
    <t>Commercial Fertilizers</t>
  </si>
  <si>
    <t xml:space="preserve">Drainage </t>
  </si>
  <si>
    <t xml:space="preserve">      Phosphorous Fertilizer / Manure Application Method</t>
  </si>
  <si>
    <t>When entering a custom blend not found on the choice list, you will need to compute the actual pounds of Nitrogen, Phosphate and Potassium applied per acre.</t>
  </si>
  <si>
    <t>Totals and Summations</t>
  </si>
  <si>
    <t>This is the total nutrients of any agricultural waste application and commercial fertilizers in pounds per acre.</t>
  </si>
  <si>
    <t>Total Nutrients: (Applied + Available)   Lbs.</t>
  </si>
  <si>
    <t>The total of all available and applied nutrients for the field, in pounds per acre.</t>
  </si>
  <si>
    <t>Nutrients Needed to meet desired Yield Goal (Lbs./Acre)</t>
  </si>
  <si>
    <t>This is a cumulative amount (positive or negative), if positive the Total Nutrients exceeds the Nutrients Needed to meet the yield goal.  If negative, this indicates that Total Nutrients is less than the Nutrients Needed to meet the yield goal.</t>
  </si>
  <si>
    <t>Area Needed for Agricultural Waste Application</t>
  </si>
  <si>
    <t>The acres needed to spread ag. Waste by both crop nitrogen use and crop phosphorous use are computed.</t>
  </si>
  <si>
    <t>When either a Solid or Liquid waste application rate is selected above, the blank is filled in and the acres needed to spread the waste is computed.</t>
  </si>
  <si>
    <t>Threshold Statements</t>
  </si>
  <si>
    <t>Statements will appear that indicate if the applied nutrients and any carryover are within or in excess of the established limits for both nitrogen and phosphorous.</t>
  </si>
  <si>
    <t>Remarks</t>
  </si>
  <si>
    <t>Sorghum Grain</t>
  </si>
  <si>
    <t>Sorghum Forage</t>
  </si>
  <si>
    <r>
      <t>Soil Test Phosphorous (P</t>
    </r>
    <r>
      <rPr>
        <b/>
        <sz val="10"/>
        <rFont val="Arial"/>
        <family val="2"/>
      </rPr>
      <t>) ppm</t>
    </r>
  </si>
  <si>
    <t>North Dakota Nutrient Management Planner Workbook Instructions</t>
  </si>
  <si>
    <t>(2) ND Hydrology Manual, page 1-8, figure 1-6</t>
  </si>
  <si>
    <t>(5) Section IV, FOTG, page 633-7 &amp; AWMFH, chapter 4</t>
  </si>
  <si>
    <t>Monthly</t>
  </si>
  <si>
    <t>(3) ND Hydrology Manual, page 8-5, figure 8-3</t>
  </si>
  <si>
    <t>(6) With 1 foot Freeboard</t>
  </si>
  <si>
    <t>Reduction in fertilizer content due to storage and application (7)</t>
  </si>
  <si>
    <t>Evap.</t>
  </si>
  <si>
    <t>County</t>
  </si>
  <si>
    <t>% of Mean</t>
  </si>
  <si>
    <t xml:space="preserve">    Rate **</t>
  </si>
  <si>
    <t>Precip.</t>
  </si>
  <si>
    <t>Type of Storage Structure :</t>
  </si>
  <si>
    <t xml:space="preserve">  1. Rectangular</t>
  </si>
  <si>
    <t>Month</t>
  </si>
  <si>
    <t xml:space="preserve">      % of Mean Annual</t>
  </si>
  <si>
    <t xml:space="preserve">  2. Circular</t>
  </si>
  <si>
    <t>Oct</t>
  </si>
  <si>
    <t>Nov</t>
  </si>
  <si>
    <t>Dec</t>
  </si>
  <si>
    <t>Soil drainage class  =</t>
  </si>
  <si>
    <t>(8)</t>
  </si>
  <si>
    <t>Jan</t>
  </si>
  <si>
    <t>Added Water per day (gallons)</t>
  </si>
  <si>
    <t>1 Excessively drained</t>
  </si>
  <si>
    <t>4 Somewhat poorly drained</t>
  </si>
  <si>
    <t>Feb</t>
  </si>
  <si>
    <t>2 Well Drained</t>
  </si>
  <si>
    <t>5 Poorly drained</t>
  </si>
  <si>
    <t>Mar</t>
  </si>
  <si>
    <t>3 Moderately well drained</t>
  </si>
  <si>
    <t>6 Very poorly drained</t>
  </si>
  <si>
    <t>Apr</t>
  </si>
  <si>
    <t>May</t>
  </si>
  <si>
    <t>Jun</t>
  </si>
  <si>
    <t>Application -  Enter a value (0.5 to 1.0) from chart below   =</t>
  </si>
  <si>
    <t>Jul</t>
  </si>
  <si>
    <t>Aug</t>
  </si>
  <si>
    <t>Sep</t>
  </si>
  <si>
    <t>Use</t>
  </si>
  <si>
    <t>Previous  Crop</t>
  </si>
  <si>
    <t xml:space="preserve">  of Annual Evaporation</t>
  </si>
  <si>
    <t xml:space="preserve">  of Annual Precip.</t>
  </si>
  <si>
    <t>Error--- Enter 0.5 to 1</t>
  </si>
  <si>
    <t>Nutrients available for application in Lbs. per unit</t>
  </si>
  <si>
    <t>** From page 8-5 ND Hydrology Manual</t>
  </si>
  <si>
    <t xml:space="preserve">  Per C.F.</t>
  </si>
  <si>
    <t>Per 1000 Gal</t>
  </si>
  <si>
    <t>Per Acre In</t>
  </si>
  <si>
    <t>Mean Annual Evaporation from shallow</t>
  </si>
  <si>
    <t>lakes and reservoirs.</t>
  </si>
  <si>
    <t>Cubic Feet</t>
  </si>
  <si>
    <t>Acre Inches</t>
  </si>
  <si>
    <t>Gallons</t>
  </si>
  <si>
    <t>on the same fields.</t>
  </si>
  <si>
    <t>Never spread manure on frozen soil, in waterways or natural</t>
  </si>
  <si>
    <t>(7) Section IV, FOTG, page 633-3 &amp; 4, 633-7 to 633-9</t>
  </si>
  <si>
    <t>(8) Soil Survey</t>
  </si>
  <si>
    <t>|::</t>
  </si>
  <si>
    <t>Soil Test (9)</t>
  </si>
  <si>
    <t>Manure Test (9)</t>
  </si>
  <si>
    <t xml:space="preserve">     Supplemental</t>
  </si>
  <si>
    <t xml:space="preserve">       Animal Waste application</t>
  </si>
  <si>
    <t xml:space="preserve">          fertilizer</t>
  </si>
  <si>
    <t>units per acre</t>
  </si>
  <si>
    <t xml:space="preserve">        Lbs/Acre</t>
  </si>
  <si>
    <t>Ac.Inch</t>
  </si>
  <si>
    <t>Barley,Malting (bu)</t>
  </si>
  <si>
    <t>Corn, Silage (tons)</t>
  </si>
  <si>
    <t>Grass, Irrig. (tons)</t>
  </si>
  <si>
    <t>CAUTION !!  This Holding Pond is designed to contain less</t>
  </si>
  <si>
    <t>than one years storage.  Additional acreage will be needed</t>
  </si>
  <si>
    <t>Note **</t>
  </si>
  <si>
    <t>This chart is designed to utilize 100% of the phosporus, except</t>
  </si>
  <si>
    <t>to properly utilize all of the waste produced annually.</t>
  </si>
  <si>
    <t>for Alfalfa and Sweetclover which will use 100% of the</t>
  </si>
  <si>
    <t>potassium.  This method requires the application of</t>
  </si>
  <si>
    <t>supplemental commercial fertilizer to obtain yield goals.</t>
  </si>
  <si>
    <t xml:space="preserve"> K20</t>
  </si>
  <si>
    <t xml:space="preserve">  Lbs Per Acre</t>
  </si>
  <si>
    <t xml:space="preserve">   Lbs Per Acre</t>
  </si>
  <si>
    <t>Barley, Feed (bu)</t>
  </si>
  <si>
    <t>MANAGEMENT PLAN FOR LIQUID WASTE DISPOSAL (HAUL)</t>
  </si>
  <si>
    <t>This plan assumes that the waste will transportated to the</t>
  </si>
  <si>
    <t>disposal site in a honey wagon or portable tank.</t>
  </si>
  <si>
    <t>short</t>
  </si>
  <si>
    <t>long</t>
  </si>
  <si>
    <t>This storage facility has been designed to contain a maximum of</t>
  </si>
  <si>
    <t>gallons of animal waste and water.  Prior to empyting the</t>
  </si>
  <si>
    <t>facility it should be initially agitated for at least 1 day.</t>
  </si>
  <si>
    <t>Additional agitation may be needed during the emptying process.</t>
  </si>
  <si>
    <t>To dispose of the waste using a</t>
  </si>
  <si>
    <t xml:space="preserve">  gallon tank spreader,</t>
  </si>
  <si>
    <t>loads</t>
  </si>
  <si>
    <t>will be required.  At</t>
  </si>
  <si>
    <t>loads per hour approximately</t>
  </si>
  <si>
    <t>hours would be required to empty the storage facility at</t>
  </si>
  <si>
    <t>maximum capacity.</t>
  </si>
  <si>
    <t>Ground conditions must be evaluated prior to waste disposal.</t>
  </si>
  <si>
    <t>Compaction problems and damage to underground drainage systems may</t>
  </si>
  <si>
    <t>result from the excessive weight of loaded equipment.  Caution should</t>
  </si>
  <si>
    <t>be exercised to insure that waste does not run or wash off from the</t>
  </si>
  <si>
    <t>land.  Animal wastes should never be spread on frozen ground or in</t>
  </si>
  <si>
    <t>CROPS &amp; YIELDS</t>
  </si>
  <si>
    <t>natural or constructed waterways.  Adequate steps must be taken to prevent</t>
  </si>
  <si>
    <t>excessive odors from land application of animal wastes.</t>
  </si>
  <si>
    <t>MANAGEMENT PLAN FOR LIQUID WASTE DISPOSAL (IRRIGATE)</t>
  </si>
  <si>
    <t xml:space="preserve">This plan assumes that the waste will be stored and disposed of </t>
  </si>
  <si>
    <t>using an irrigation system.</t>
  </si>
  <si>
    <t>Surface Water Risk</t>
  </si>
  <si>
    <t>Ground Water Risk</t>
  </si>
  <si>
    <t>Ground</t>
  </si>
  <si>
    <t>Water</t>
  </si>
  <si>
    <t>Poor Filter</t>
  </si>
  <si>
    <t>Lateral Flow</t>
  </si>
  <si>
    <t>Area Symbol</t>
  </si>
  <si>
    <t>MU SYM</t>
  </si>
  <si>
    <t>MU Name</t>
  </si>
  <si>
    <t>Comp Name</t>
  </si>
  <si>
    <t>Comp %</t>
  </si>
  <si>
    <r>
      <t xml:space="preserve">Total Nutrients: </t>
    </r>
    <r>
      <rPr>
        <b/>
        <sz val="10"/>
        <rFont val="Arial"/>
        <family val="2"/>
      </rPr>
      <t>(Applied + Available)   Lbs.</t>
    </r>
  </si>
  <si>
    <r>
      <t xml:space="preserve">SubTotal  </t>
    </r>
    <r>
      <rPr>
        <b/>
        <sz val="10"/>
        <rFont val="Arial"/>
        <family val="2"/>
      </rPr>
      <t>Nutrients Applied   Lbs.</t>
    </r>
  </si>
  <si>
    <r>
      <t xml:space="preserve">SubTotal of </t>
    </r>
    <r>
      <rPr>
        <b/>
        <sz val="10"/>
        <rFont val="Arial"/>
        <family val="2"/>
      </rPr>
      <t>Available Nutrients   Lbs.</t>
    </r>
  </si>
  <si>
    <t xml:space="preserve">Enter appropriate information for prior crop or forage credits, agricultural waste and / or commercial fertilizers planned or applied to meet the specified yield goal for each crop.  </t>
  </si>
  <si>
    <t>Area required for ag. waste application based on crop Nitrogen requirements</t>
  </si>
  <si>
    <t>Area required for ag. waste application based on crop Phosphorous requirements</t>
  </si>
  <si>
    <t xml:space="preserve"> Agricultural Waste </t>
  </si>
  <si>
    <t>depth</t>
  </si>
  <si>
    <t>Disposal System</t>
  </si>
  <si>
    <t>Approximate Minimum Water Requirements, gal./day *</t>
  </si>
  <si>
    <t>* AWMFH, pages 11-3 &amp; 11-4</t>
  </si>
  <si>
    <t xml:space="preserve">Additional information needed to compute waste volume and nutrient content for Liquid Agricultural Waste System.   Enter information regarding the Collection and Storage System, Added Water per Day, the Ag Waste pond dimensions, and Liquid Ag Waste nutrient test values.  </t>
  </si>
  <si>
    <r>
      <t>K</t>
    </r>
    <r>
      <rPr>
        <b/>
        <vertAlign val="subscript"/>
        <sz val="12"/>
        <rFont val="Arial"/>
        <family val="2"/>
      </rPr>
      <t>2</t>
    </r>
    <r>
      <rPr>
        <b/>
        <sz val="12"/>
        <rFont val="Arial"/>
        <family val="2"/>
      </rPr>
      <t>0</t>
    </r>
  </si>
  <si>
    <t>NOTE:  Leave these boxes blank, if Liquid Agricultural Waste application is not planned.</t>
  </si>
  <si>
    <t>Surface</t>
  </si>
  <si>
    <t>This storage structure has been designed to contain a maximum of</t>
  </si>
  <si>
    <t>gallons of animal waste and water.  Prior to emptying, the</t>
  </si>
  <si>
    <t>waste should be agitated for at least 1 day. Additional agitation may</t>
  </si>
  <si>
    <t>be needed during the emptying process.</t>
  </si>
  <si>
    <t>Ground conditions need to be evaluated prior to beginning irrigation.</t>
  </si>
  <si>
    <t>Animal wastes should never be spread on frozen ground or in natural or</t>
  </si>
  <si>
    <t>constructed waterways.  Excessively wet conditions or excessively dry</t>
  </si>
  <si>
    <t>conditions should be avoided, since wastes may either run off or flow</t>
  </si>
  <si>
    <t>thru cracks to subsurface drainage systems.  Wind conditions should be</t>
  </si>
  <si>
    <t xml:space="preserve">observed to avoid drift and odor problems.  Subsurface outlets and </t>
  </si>
  <si>
    <t>downstream drainage should be constantly monitored.</t>
  </si>
  <si>
    <t>Adequate steps must be taken to prevent excessive odors from land</t>
  </si>
  <si>
    <t xml:space="preserve">Previous Forage Legume or Crop  </t>
  </si>
  <si>
    <t>Previous Forage Legume or Crop</t>
  </si>
  <si>
    <t>Maximum application rates should consider the intake capability of</t>
  </si>
  <si>
    <t>the particular soils that the waste is applied on.  For most soils,</t>
  </si>
  <si>
    <t>a recommended maximum application rate is 1/2 inch.</t>
  </si>
  <si>
    <t>Using irrigation equipment pumping</t>
  </si>
  <si>
    <t>gallons per minute, emptying</t>
  </si>
  <si>
    <t>the storage facility would require about</t>
  </si>
  <si>
    <t>hours of pumping</t>
  </si>
  <si>
    <t>Lbs./acre</t>
  </si>
  <si>
    <t>time (not including agitation or moving equipment).</t>
  </si>
  <si>
    <t>/PPRPLAN~AGPQ</t>
  </si>
  <si>
    <t>/PPRHAUL~AGPQ</t>
  </si>
  <si>
    <t>/PPRIRRIG~AGPQ</t>
  </si>
  <si>
    <t>25 YEAR in feet</t>
  </si>
  <si>
    <t>25 YEAR in cy</t>
  </si>
  <si>
    <t xml:space="preserve">  &lt;&lt;  Check Spelling</t>
  </si>
  <si>
    <t>ERROR</t>
  </si>
  <si>
    <t>ALT P to print this spreadsheet</t>
  </si>
  <si>
    <t>/pprpage~agpq</t>
  </si>
  <si>
    <t>Evaporation</t>
  </si>
  <si>
    <t>1000 gal/acre</t>
  </si>
  <si>
    <t>CREDITS</t>
  </si>
  <si>
    <t>UAN Liquid (28-0-0)  - assuming product weighs 10.65 lbs/gal</t>
  </si>
  <si>
    <t>After selecting a blend from the choice list, enter the amount of bulk product applied (or planned) in the column to the right.  The actual nutrients applied will be computed.</t>
  </si>
  <si>
    <r>
      <t>The values, if positive will be colored red,</t>
    </r>
    <r>
      <rPr>
        <sz val="10"/>
        <color indexed="10"/>
        <rFont val="Arial"/>
        <family val="2"/>
      </rPr>
      <t xml:space="preserve"> (excess)</t>
    </r>
    <r>
      <rPr>
        <sz val="10"/>
        <rFont val="Arial"/>
        <family val="0"/>
      </rPr>
      <t xml:space="preserve">, if negative will be colored blue </t>
    </r>
    <r>
      <rPr>
        <sz val="10"/>
        <color indexed="12"/>
        <rFont val="Arial"/>
        <family val="2"/>
      </rPr>
      <t>(short)</t>
    </r>
    <r>
      <rPr>
        <sz val="10"/>
        <rFont val="Arial"/>
        <family val="0"/>
      </rPr>
      <t xml:space="preserve">.  Keep in mind that 0.1 pounds / acre excess or short be noted.  </t>
    </r>
  </si>
  <si>
    <t>Agricultural Waste Application Information</t>
  </si>
  <si>
    <t xml:space="preserve">Area required for Planned Application Rate of </t>
  </si>
  <si>
    <t>To clear or reset the Nutrient Management Planner Worksheet press [Ctrl x] or click on the grey button located at the upper right-hand corner of the worksheet.</t>
  </si>
  <si>
    <t xml:space="preserve">Enter the planned crop rotation including yield goal for each crop.  N, P, and K requirements will be estimated according to NDSU Extension Service information, SF-700 series.  </t>
  </si>
  <si>
    <t>Enter information from current soil test by field(s) or planning unit(s).</t>
  </si>
  <si>
    <t xml:space="preserve">Soil test data may be entered for up to six different fields.  Standard soil test depth for Nitrogen is 24 inches, standard testing depth for phosphorous and potassium is approximately 6 inches.  Most common testing method for phosphorous and potassium in North Dakota is the Olsen method.  If the soil test report indicates a different method, contact the Area Agronomist.  The first row in this section is linked with the first crop selected in the crop section.  The crop and soil test information is transferred to the first Annual Crop / Nutrient Analysis section below. This is repeated for each crop and soil test entered.  </t>
  </si>
  <si>
    <t>Soybean</t>
  </si>
  <si>
    <t>per bushel</t>
  </si>
  <si>
    <t>Edible beans</t>
  </si>
  <si>
    <t>per  acre</t>
  </si>
  <si>
    <t>Peas</t>
  </si>
  <si>
    <t>Sweet Clover (harvested)</t>
  </si>
  <si>
    <t>per acre</t>
  </si>
  <si>
    <t>Alfalfa,&gt;5 plant/sqft</t>
  </si>
  <si>
    <t>Alfalfa,3-4 plant/sqft</t>
  </si>
  <si>
    <t>Alfalfa,1-2 plant/sqft</t>
  </si>
  <si>
    <t>Alfalfa,&lt;1 plant/sqft</t>
  </si>
  <si>
    <t>Red Clover (harvested)</t>
  </si>
  <si>
    <t>Sugarbeet,yellow leaves</t>
  </si>
  <si>
    <t>Sugarbeet,yellow-green leaves</t>
  </si>
  <si>
    <t>Sugarbeet,dark-green leaves</t>
  </si>
  <si>
    <t>FORAGE CROPS - PER ACRE</t>
  </si>
  <si>
    <t>LEGUME CROPS - PER BUSHEL</t>
  </si>
  <si>
    <t>Linked to crop and nitrogen credit</t>
  </si>
  <si>
    <t>Fall Application</t>
  </si>
  <si>
    <t>Spring Application</t>
  </si>
  <si>
    <t>Bedding Lbs./day</t>
  </si>
  <si>
    <t xml:space="preserve">SOIL TEST INFORMATION </t>
  </si>
  <si>
    <t>Ammonium Sulfate (21-0-0-24)</t>
  </si>
  <si>
    <t>Potash, KCl (0-0-60)</t>
  </si>
  <si>
    <t>Monoammonium Phosphate (11-52-0)</t>
  </si>
  <si>
    <t>Urea (46-0-0)</t>
  </si>
  <si>
    <t>Diammonium Phosphate (18-46-0)</t>
  </si>
  <si>
    <t>Anhydrous Ammonia (82-0-0)</t>
  </si>
  <si>
    <t>Ammonium Nitrate (34-0-0)</t>
  </si>
  <si>
    <t>Ammonium Polyphosphate (10-34-0)</t>
  </si>
  <si>
    <t>Antler</t>
  </si>
  <si>
    <t>Severe: wetness</t>
  </si>
  <si>
    <t>Slight</t>
  </si>
  <si>
    <t>Southam</t>
  </si>
  <si>
    <t>Parnell</t>
  </si>
  <si>
    <t>Tonka</t>
  </si>
  <si>
    <t>Hamerly</t>
  </si>
  <si>
    <t>Hamerly-Parnell</t>
  </si>
  <si>
    <t>Hamerly-Tonka</t>
  </si>
  <si>
    <t>Hamerly-Vallers-Colvin</t>
  </si>
  <si>
    <t>Hamerly-Wyard</t>
  </si>
  <si>
    <t>Hamerly-Svea</t>
  </si>
  <si>
    <t>23B</t>
  </si>
  <si>
    <t>Barnes-Svea</t>
  </si>
  <si>
    <t>Moderate: low adsorption</t>
  </si>
  <si>
    <t>23C</t>
  </si>
  <si>
    <t>Barnes-Buse</t>
  </si>
  <si>
    <t>23D</t>
  </si>
  <si>
    <t>23F</t>
  </si>
  <si>
    <t>Moderate: wetness</t>
  </si>
  <si>
    <t>Svea-Barnes</t>
  </si>
  <si>
    <t>24B</t>
  </si>
  <si>
    <t>Svea-Buse</t>
  </si>
  <si>
    <t>24E</t>
  </si>
  <si>
    <t>Barnes-Svea-Buse</t>
  </si>
  <si>
    <t>25E</t>
  </si>
  <si>
    <t>30C</t>
  </si>
  <si>
    <t>Svea-Sioux</t>
  </si>
  <si>
    <t>30E</t>
  </si>
  <si>
    <t>Sioux-Barnes</t>
  </si>
  <si>
    <t>Severe: poor filter</t>
  </si>
  <si>
    <t>39F</t>
  </si>
  <si>
    <t>Kloten-Buse</t>
  </si>
  <si>
    <t>Moderate: seepage</t>
  </si>
  <si>
    <t>Divide-Marysland</t>
  </si>
  <si>
    <t>Severe: wetness/poor filter</t>
  </si>
  <si>
    <t>Fordville-Renshaw</t>
  </si>
  <si>
    <t>Moderate: low adsorption/poor filter</t>
  </si>
  <si>
    <t>41B</t>
  </si>
  <si>
    <t>Arvilla-Sioux</t>
  </si>
  <si>
    <t>44C</t>
  </si>
  <si>
    <t>Sioux-Arvilla</t>
  </si>
  <si>
    <t>Maximum accumulation of P 150 ppm</t>
  </si>
  <si>
    <t>Severe: low adsorption/poor filter</t>
  </si>
  <si>
    <t>44E</t>
  </si>
  <si>
    <t>47B</t>
  </si>
  <si>
    <t>Renshaw-Sioux</t>
  </si>
  <si>
    <t>48B</t>
  </si>
  <si>
    <t>Maddock</t>
  </si>
  <si>
    <t>48D</t>
  </si>
  <si>
    <t>Wyndmere</t>
  </si>
  <si>
    <t>Fossum</t>
  </si>
  <si>
    <t>Arveson</t>
  </si>
  <si>
    <t>Hecla-Ulen</t>
  </si>
  <si>
    <t>54B</t>
  </si>
  <si>
    <t>Hecla-Towner</t>
  </si>
  <si>
    <t>Swenoda</t>
  </si>
  <si>
    <t>56B</t>
  </si>
  <si>
    <t>Swenoda-Buse</t>
  </si>
  <si>
    <t>56C</t>
  </si>
  <si>
    <t>57B</t>
  </si>
  <si>
    <t>Embden</t>
  </si>
  <si>
    <t>58B</t>
  </si>
  <si>
    <t>Clontarf</t>
  </si>
  <si>
    <t>Hamerly-Cresbard</t>
  </si>
  <si>
    <t>Moderate: poor filter</t>
  </si>
  <si>
    <t>61B</t>
  </si>
  <si>
    <t>Swenoda-Larson</t>
  </si>
  <si>
    <t>Svea-Cresbard</t>
  </si>
  <si>
    <t>62B</t>
  </si>
  <si>
    <t>Barnes-Cresbard</t>
  </si>
  <si>
    <t>Cresbard-Cavour</t>
  </si>
  <si>
    <t>Cavour-Miranda</t>
  </si>
  <si>
    <t>Exline</t>
  </si>
  <si>
    <t>Colvin</t>
  </si>
  <si>
    <t>Minnewaukan</t>
  </si>
  <si>
    <t>Moderate: flooding</t>
  </si>
  <si>
    <t>Overly-Bearden</t>
  </si>
  <si>
    <t>73B</t>
  </si>
  <si>
    <t>Great Bend-Overly</t>
  </si>
  <si>
    <t>Aberdeen</t>
  </si>
  <si>
    <t>Fargo-Colvin</t>
  </si>
  <si>
    <t>79B</t>
  </si>
  <si>
    <t>Sinai</t>
  </si>
  <si>
    <t>88C</t>
  </si>
  <si>
    <t>Seelyeville</t>
  </si>
  <si>
    <t>Lamoure</t>
  </si>
  <si>
    <t>La Prairie</t>
  </si>
  <si>
    <t>Severe: flooding</t>
  </si>
  <si>
    <t>La Prairie-Lamoure</t>
  </si>
  <si>
    <t>Darnen</t>
  </si>
  <si>
    <t>94B</t>
  </si>
  <si>
    <t>Pits, Sand and Gravel</t>
  </si>
  <si>
    <t>SOIL MAPPING UNIT INFORMATION</t>
  </si>
  <si>
    <t>Moderate: runoff</t>
  </si>
  <si>
    <t>Severe: runoff</t>
  </si>
  <si>
    <t>2 = long season crop</t>
  </si>
  <si>
    <t>1 = short season crop</t>
  </si>
  <si>
    <t>None Applied</t>
  </si>
  <si>
    <t>Injected or Subsurface Applied</t>
  </si>
  <si>
    <t>Spring Applied &amp; Incorporated within 2 weeks</t>
  </si>
  <si>
    <t>Fall/Winter Applied and Incorporated within 2 weeks</t>
  </si>
  <si>
    <t>Surface Applied with No Incorporation, or Fall/Winter Applied with Spring Incorporation</t>
  </si>
  <si>
    <t>Soil Information</t>
  </si>
  <si>
    <t>Organic Source Application Method</t>
  </si>
  <si>
    <t>Score</t>
  </si>
  <si>
    <t>Inputs</t>
  </si>
  <si>
    <t>Check all Best Management Practices that apply:</t>
  </si>
  <si>
    <t>&lt; .06 in./hr.</t>
  </si>
  <si>
    <t>High</t>
  </si>
  <si>
    <t>Very High</t>
  </si>
  <si>
    <t>.06 - .2 in./hr.</t>
  </si>
  <si>
    <t>Medium</t>
  </si>
  <si>
    <t>0.2 - 0.6 in./hr.</t>
  </si>
  <si>
    <t>Low</t>
  </si>
  <si>
    <t>0.6 - 2.0 in./hr.</t>
  </si>
  <si>
    <t>Best Management Practice Credit Total</t>
  </si>
  <si>
    <t>2.0 - 6.0 in./hr.</t>
  </si>
  <si>
    <t>&gt; 6 in./hr.</t>
  </si>
  <si>
    <t>Phosphorous Index</t>
  </si>
  <si>
    <t>Depression</t>
  </si>
  <si>
    <t>0-1%</t>
  </si>
  <si>
    <t>1-5%</t>
  </si>
  <si>
    <t>5-10%</t>
  </si>
  <si>
    <t>10-20%</t>
  </si>
  <si>
    <t>&gt;20%</t>
  </si>
  <si>
    <t>Bray P1 &lt;30 ppm</t>
  </si>
  <si>
    <t>Bray P1 30-60 ppm</t>
  </si>
  <si>
    <t>Bray P1 61-120 ppm</t>
  </si>
  <si>
    <t>1000 gallons/acre</t>
  </si>
  <si>
    <t>Bray P1 &gt;120 ppm</t>
  </si>
  <si>
    <t>Mehlich III &lt;30 ppm</t>
  </si>
  <si>
    <t>Mehlich III 30-100 ppm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</si>
</sst>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0_)"/>
    <numFmt numFmtId="167" formatCode="0_)"/>
    <numFmt numFmtId="168" formatCode="mmm\-yy_)"/>
    <numFmt numFmtId="169" formatCode="#,##0.0_);\(#,##0.0\)"/>
    <numFmt numFmtId="170" formatCode=";;;"/>
    <numFmt numFmtId="171" formatCode="0.0"/>
    <numFmt numFmtId="172" formatCode="#,##0.0000_);\(#,##0.0000\)"/>
    <numFmt numFmtId="173" formatCode="0.000"/>
    <numFmt numFmtId="174" formatCode="#,##0.000_);\(#,##0.000\)"/>
    <numFmt numFmtId="175" formatCode="0.0000"/>
    <numFmt numFmtId="176" formatCode="_(* #,##0.000_);_(* \(#,##0.000\);_(* &quot;-&quot;??_);_(@_)"/>
    <numFmt numFmtId="177" formatCode="mm/dd/yy"/>
    <numFmt numFmtId="178" formatCode="mmmm\ d\,\ yyyy"/>
    <numFmt numFmtId="179" formatCode="#\ ?/8"/>
    <numFmt numFmtId="180" formatCode="#\ ?/10"/>
    <numFmt numFmtId="181" formatCode="#\ ??/16"/>
    <numFmt numFmtId="182" formatCode="#\ ?/4"/>
    <numFmt numFmtId="183" formatCode="_(&quot;$&quot;* #,##0.0_);_(&quot;$&quot;* \(#,##0.0\);_(&quot;$&quot;* &quot;-&quot;??_);_(@_)"/>
    <numFmt numFmtId="184" formatCode="_(&quot;$&quot;* #,##0_);_(&quot;$&quot;* \(#,##0\);_(&quot;$&quot;* &quot;-&quot;??_);_(@_)"/>
    <numFmt numFmtId="185" formatCode="&quot;$&quot;#,##0"/>
    <numFmt numFmtId="186" formatCode="&quot;$&quot;#,##0.00"/>
    <numFmt numFmtId="187" formatCode="0.0000000"/>
    <numFmt numFmtId="188" formatCode="0.00000000"/>
    <numFmt numFmtId="189" formatCode="0.000000"/>
    <numFmt numFmtId="190" formatCode="0.00000"/>
    <numFmt numFmtId="191" formatCode="0.0000000000000"/>
    <numFmt numFmtId="192" formatCode="0.000000000000"/>
    <numFmt numFmtId="193" formatCode="0.00000000000000"/>
    <numFmt numFmtId="194" formatCode="0.00000000000"/>
    <numFmt numFmtId="195" formatCode="0.0000000000"/>
    <numFmt numFmtId="196" formatCode="0.000000000"/>
    <numFmt numFmtId="197" formatCode="mm/dd/yy_)"/>
    <numFmt numFmtId="198" formatCode="0.0000_)"/>
    <numFmt numFmtId="199" formatCode="00000"/>
    <numFmt numFmtId="200" formatCode="_(* #,##0.0_);_(* \(#,##0.0\);_(* &quot;-&quot;??_);_(@_)"/>
    <numFmt numFmtId="201" formatCode="_(* #,##0_);_(* \(#,##0\);_(* &quot;-&quot;??_);_(@_)"/>
    <numFmt numFmtId="202" formatCode="_(* #,##0.0000_);_(* \(#,##0.0000\);_(* &quot;-&quot;??_);_(@_)"/>
  </numFmts>
  <fonts count="61">
    <font>
      <sz val="10"/>
      <name val="Arial"/>
      <family val="0"/>
    </font>
    <font>
      <b/>
      <sz val="10"/>
      <name val="Arial"/>
      <family val="2"/>
    </font>
    <font>
      <sz val="12"/>
      <name val="Arial"/>
      <family val="0"/>
    </font>
    <font>
      <b/>
      <sz val="12"/>
      <name val="Arial"/>
      <family val="2"/>
    </font>
    <font>
      <b/>
      <sz val="12"/>
      <color indexed="12"/>
      <name val="Arial"/>
      <family val="2"/>
    </font>
    <font>
      <b/>
      <sz val="12"/>
      <color indexed="10"/>
      <name val="Arial"/>
      <family val="2"/>
    </font>
    <font>
      <sz val="10"/>
      <color indexed="12"/>
      <name val="Courier"/>
      <family val="0"/>
    </font>
    <font>
      <b/>
      <u val="single"/>
      <sz val="12"/>
      <name val="Arial"/>
      <family val="2"/>
    </font>
    <font>
      <u val="single"/>
      <sz val="12"/>
      <name val="Arial"/>
      <family val="2"/>
    </font>
    <font>
      <u val="single"/>
      <sz val="11"/>
      <name val="Arial"/>
      <family val="2"/>
    </font>
    <font>
      <u val="single"/>
      <sz val="10"/>
      <name val="Arial"/>
      <family val="2"/>
    </font>
    <font>
      <sz val="11"/>
      <name val="Arial"/>
      <family val="2"/>
    </font>
    <font>
      <sz val="8"/>
      <color indexed="10"/>
      <name val="Arial"/>
      <family val="2"/>
    </font>
    <font>
      <sz val="10"/>
      <name val="LetterGothic"/>
      <family val="3"/>
    </font>
    <font>
      <sz val="12"/>
      <name val="LetterGothic"/>
      <family val="3"/>
    </font>
    <font>
      <sz val="12"/>
      <name val="Arial MT"/>
      <family val="2"/>
    </font>
    <font>
      <b/>
      <u val="single"/>
      <sz val="14"/>
      <name val="Courier New"/>
      <family val="3"/>
    </font>
    <font>
      <sz val="8"/>
      <name val="Tahoma"/>
      <family val="0"/>
    </font>
    <font>
      <b/>
      <sz val="9"/>
      <color indexed="10"/>
      <name val="Arial"/>
      <family val="2"/>
    </font>
    <font>
      <b/>
      <sz val="11"/>
      <name val="Arial"/>
      <family val="2"/>
    </font>
    <font>
      <sz val="10"/>
      <name val="Tahoma"/>
      <family val="0"/>
    </font>
    <font>
      <b/>
      <sz val="10"/>
      <name val="Tahoma"/>
      <family val="0"/>
    </font>
    <font>
      <b/>
      <sz val="12"/>
      <color indexed="8"/>
      <name val="Arial"/>
      <family val="2"/>
    </font>
    <font>
      <sz val="12"/>
      <color indexed="10"/>
      <name val="Arial"/>
      <family val="2"/>
    </font>
    <font>
      <sz val="12"/>
      <color indexed="8"/>
      <name val="Arial"/>
      <family val="2"/>
    </font>
    <font>
      <sz val="12"/>
      <name val="Courier New"/>
      <family val="3"/>
    </font>
    <font>
      <b/>
      <i/>
      <sz val="10"/>
      <name val="Arial"/>
      <family val="2"/>
    </font>
    <font>
      <i/>
      <sz val="10"/>
      <name val="Arial"/>
      <family val="2"/>
    </font>
    <font>
      <u val="single"/>
      <sz val="10"/>
      <color indexed="12"/>
      <name val="Arial"/>
      <family val="0"/>
    </font>
    <font>
      <sz val="10"/>
      <name val="Arial Narrow"/>
      <family val="2"/>
    </font>
    <font>
      <b/>
      <sz val="10"/>
      <color indexed="58"/>
      <name val="Arial"/>
      <family val="2"/>
    </font>
    <font>
      <b/>
      <vertAlign val="subscript"/>
      <sz val="11"/>
      <name val="Arial"/>
      <family val="2"/>
    </font>
    <font>
      <vertAlign val="subscript"/>
      <sz val="10"/>
      <name val="Arial"/>
      <family val="2"/>
    </font>
    <font>
      <sz val="14"/>
      <name val="Comic Sans MS"/>
      <family val="4"/>
    </font>
    <font>
      <b/>
      <sz val="14"/>
      <name val="Arial"/>
      <family val="2"/>
    </font>
    <font>
      <b/>
      <sz val="8"/>
      <name val="Tahoma"/>
      <family val="0"/>
    </font>
    <font>
      <sz val="9"/>
      <name val="Arial"/>
      <family val="2"/>
    </font>
    <font>
      <sz val="16"/>
      <name val="Arial"/>
      <family val="2"/>
    </font>
    <font>
      <b/>
      <sz val="24"/>
      <name val="Arial"/>
      <family val="2"/>
    </font>
    <font>
      <sz val="14"/>
      <name val="Arial"/>
      <family val="2"/>
    </font>
    <font>
      <b/>
      <vertAlign val="subscript"/>
      <sz val="12"/>
      <name val="Arial"/>
      <family val="2"/>
    </font>
    <font>
      <b/>
      <vertAlign val="subscript"/>
      <sz val="10"/>
      <name val="Arial"/>
      <family val="2"/>
    </font>
    <font>
      <sz val="11"/>
      <name val="Tahoma"/>
      <family val="2"/>
    </font>
    <font>
      <vertAlign val="subscript"/>
      <sz val="11"/>
      <name val="Arial"/>
      <family val="2"/>
    </font>
    <font>
      <b/>
      <sz val="18"/>
      <color indexed="60"/>
      <name val="Arial"/>
      <family val="2"/>
    </font>
    <font>
      <b/>
      <sz val="18"/>
      <color indexed="12"/>
      <name val="Arial"/>
      <family val="2"/>
    </font>
    <font>
      <b/>
      <sz val="18"/>
      <name val="Arial"/>
      <family val="2"/>
    </font>
    <font>
      <b/>
      <sz val="13"/>
      <name val="Arial"/>
      <family val="2"/>
    </font>
    <font>
      <b/>
      <i/>
      <sz val="13"/>
      <name val="Arial"/>
      <family val="2"/>
    </font>
    <font>
      <b/>
      <i/>
      <sz val="11"/>
      <name val="Arial"/>
      <family val="2"/>
    </font>
    <font>
      <b/>
      <i/>
      <u val="single"/>
      <sz val="11"/>
      <name val="Arial"/>
      <family val="2"/>
    </font>
    <font>
      <sz val="10"/>
      <color indexed="9"/>
      <name val="Arial"/>
      <family val="2"/>
    </font>
    <font>
      <sz val="8"/>
      <name val="Arial"/>
      <family val="2"/>
    </font>
    <font>
      <sz val="10"/>
      <color indexed="10"/>
      <name val="Arial"/>
      <family val="2"/>
    </font>
    <font>
      <b/>
      <sz val="12"/>
      <color indexed="60"/>
      <name val="Arial"/>
      <family val="2"/>
    </font>
    <font>
      <b/>
      <i/>
      <sz val="12"/>
      <name val="Arial"/>
      <family val="2"/>
    </font>
    <font>
      <u val="single"/>
      <sz val="10"/>
      <color indexed="36"/>
      <name val="Arial"/>
      <family val="0"/>
    </font>
    <font>
      <b/>
      <sz val="16"/>
      <name val="Arial"/>
      <family val="2"/>
    </font>
    <font>
      <sz val="10"/>
      <color indexed="12"/>
      <name val="Arial"/>
      <family val="2"/>
    </font>
    <font>
      <b/>
      <u val="single"/>
      <sz val="10"/>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s>
  <borders count="95">
    <border>
      <left/>
      <right/>
      <top/>
      <bottom/>
      <diagonal/>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style="thin"/>
      <right style="medium"/>
      <top style="thin"/>
      <bottom>
        <color indexed="63"/>
      </bottom>
    </border>
    <border>
      <left style="medium"/>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medium"/>
      <top style="medium"/>
      <bottom>
        <color indexed="63"/>
      </bottom>
    </border>
    <border>
      <left style="medium"/>
      <right>
        <color indexed="63"/>
      </right>
      <top style="medium"/>
      <bottom>
        <color indexed="63"/>
      </bottom>
    </border>
    <border>
      <left style="medium"/>
      <right style="thin"/>
      <top style="thin"/>
      <bottom style="thin"/>
    </border>
    <border>
      <left style="medium"/>
      <right style="medium"/>
      <top>
        <color indexed="63"/>
      </top>
      <bottom>
        <color indexed="63"/>
      </bottom>
    </border>
    <border>
      <left style="medium"/>
      <right style="thin"/>
      <top>
        <color indexed="63"/>
      </top>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double"/>
      <bottom style="thin"/>
    </border>
    <border>
      <left style="thin"/>
      <right style="medium"/>
      <top style="double"/>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style="thin"/>
      <top style="medium"/>
      <bottom style="thin"/>
    </border>
    <border>
      <left style="medium"/>
      <right>
        <color indexed="63"/>
      </right>
      <top>
        <color indexed="63"/>
      </top>
      <bottom style="double"/>
    </border>
    <border>
      <left style="medium"/>
      <right>
        <color indexed="63"/>
      </right>
      <top>
        <color indexed="63"/>
      </top>
      <bottom style="medium"/>
    </border>
    <border>
      <left style="medium"/>
      <right style="medium"/>
      <top style="medium"/>
      <bottom style="medium"/>
    </border>
    <border>
      <left style="thin"/>
      <right style="medium"/>
      <top style="medium"/>
      <bottom style="thin"/>
    </border>
    <border>
      <left>
        <color indexed="63"/>
      </left>
      <right style="medium"/>
      <top style="medium"/>
      <bottom style="medium"/>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style="thin"/>
      <bottom>
        <color indexed="63"/>
      </bottom>
    </border>
    <border>
      <left>
        <color indexed="63"/>
      </left>
      <right style="medium"/>
      <top style="thin"/>
      <bottom style="double"/>
    </border>
    <border>
      <left style="thin"/>
      <right>
        <color indexed="63"/>
      </right>
      <top style="double"/>
      <bottom style="thin"/>
    </border>
    <border>
      <left>
        <color indexed="63"/>
      </left>
      <right>
        <color indexed="63"/>
      </right>
      <top style="thin"/>
      <bottom style="medium"/>
    </border>
    <border>
      <left style="medium"/>
      <right style="thin"/>
      <top style="thin"/>
      <bottom style="double"/>
    </border>
    <border>
      <left style="medium"/>
      <right style="thin"/>
      <top style="double"/>
      <bottom style="thin"/>
    </border>
    <border>
      <left style="medium"/>
      <right style="thin"/>
      <top>
        <color indexed="63"/>
      </top>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color indexed="63"/>
      </bottom>
    </border>
    <border>
      <left style="medium"/>
      <right>
        <color indexed="63"/>
      </right>
      <top style="thin"/>
      <bottom style="double"/>
    </border>
    <border>
      <left style="thin"/>
      <right style="medium"/>
      <top style="double"/>
      <bottom>
        <color indexed="63"/>
      </bottom>
    </border>
    <border>
      <left>
        <color indexed="63"/>
      </left>
      <right style="thin"/>
      <top style="medium"/>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medium"/>
      <right>
        <color indexed="63"/>
      </right>
      <top style="double"/>
      <bottom style="medium"/>
    </border>
    <border>
      <left>
        <color indexed="63"/>
      </left>
      <right style="medium"/>
      <top style="double"/>
      <bottom style="medium"/>
    </border>
    <border>
      <left style="medium"/>
      <right style="thin"/>
      <top style="double"/>
      <bottom>
        <color indexed="63"/>
      </bottom>
    </border>
    <border>
      <left style="thin"/>
      <right style="thin"/>
      <top style="double"/>
      <bottom>
        <color indexed="63"/>
      </bottom>
    </border>
    <border>
      <left>
        <color indexed="63"/>
      </left>
      <right style="medium"/>
      <top style="thin"/>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thin"/>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142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xf>
    <xf numFmtId="0" fontId="0" fillId="0" borderId="0" xfId="0" applyBorder="1" applyAlignment="1">
      <alignment/>
    </xf>
    <xf numFmtId="0" fontId="0" fillId="0" borderId="0" xfId="0" applyAlignment="1" applyProtection="1">
      <alignment horizontal="left"/>
      <protection/>
    </xf>
    <xf numFmtId="0" fontId="3" fillId="0" borderId="0" xfId="22" applyFont="1" applyAlignment="1" applyProtection="1">
      <alignment horizontal="left"/>
      <protection/>
    </xf>
    <xf numFmtId="0" fontId="2" fillId="0" borderId="0" xfId="22" applyFont="1" applyProtection="1">
      <alignment/>
      <protection/>
    </xf>
    <xf numFmtId="0" fontId="2" fillId="0" borderId="0" xfId="22">
      <alignment/>
      <protection/>
    </xf>
    <xf numFmtId="0" fontId="3" fillId="0" borderId="0" xfId="22" applyFont="1" applyAlignment="1" applyProtection="1">
      <alignment horizontal="right"/>
      <protection/>
    </xf>
    <xf numFmtId="0" fontId="2" fillId="0" borderId="0" xfId="22" applyAlignment="1">
      <alignment horizontal="center"/>
      <protection/>
    </xf>
    <xf numFmtId="0" fontId="2" fillId="0" borderId="0" xfId="22" applyProtection="1">
      <alignment/>
      <protection/>
    </xf>
    <xf numFmtId="0" fontId="2" fillId="0" borderId="0" xfId="22" applyFont="1" applyAlignment="1" applyProtection="1">
      <alignment horizontal="right"/>
      <protection/>
    </xf>
    <xf numFmtId="0" fontId="2" fillId="0" borderId="0" xfId="22" applyAlignment="1">
      <alignment horizontal="left"/>
      <protection/>
    </xf>
    <xf numFmtId="0" fontId="4" fillId="0" borderId="0" xfId="22" applyFont="1" applyAlignment="1" applyProtection="1">
      <alignment horizontal="center"/>
      <protection locked="0"/>
    </xf>
    <xf numFmtId="0" fontId="2" fillId="0" borderId="0" xfId="22" applyFont="1" applyAlignment="1" applyProtection="1" quotePrefix="1">
      <alignment horizontal="left"/>
      <protection/>
    </xf>
    <xf numFmtId="0" fontId="5" fillId="0" borderId="0" xfId="22" applyFont="1" applyAlignment="1" applyProtection="1">
      <alignment horizontal="center"/>
      <protection/>
    </xf>
    <xf numFmtId="0" fontId="2" fillId="0" borderId="0" xfId="22" applyFont="1" applyAlignment="1" applyProtection="1">
      <alignment horizontal="center"/>
      <protection/>
    </xf>
    <xf numFmtId="0" fontId="2" fillId="0" borderId="0" xfId="22" applyAlignment="1" applyProtection="1">
      <alignment horizontal="center"/>
      <protection/>
    </xf>
    <xf numFmtId="164" fontId="2" fillId="0" borderId="0" xfId="22" applyNumberFormat="1" applyProtection="1">
      <alignment/>
      <protection/>
    </xf>
    <xf numFmtId="165" fontId="2" fillId="0" borderId="0" xfId="22" applyNumberFormat="1" applyProtection="1">
      <alignment/>
      <protection/>
    </xf>
    <xf numFmtId="37" fontId="2" fillId="0" borderId="0" xfId="22" applyNumberFormat="1" applyProtection="1">
      <alignment/>
      <protection/>
    </xf>
    <xf numFmtId="0" fontId="2" fillId="0" borderId="0" xfId="22" applyAlignment="1">
      <alignment/>
      <protection/>
    </xf>
    <xf numFmtId="166" fontId="4" fillId="0" borderId="0" xfId="22" applyNumberFormat="1" applyFont="1" applyAlignment="1" applyProtection="1">
      <alignment horizontal="center"/>
      <protection locked="0"/>
    </xf>
    <xf numFmtId="167" fontId="2" fillId="0" borderId="0" xfId="22" applyNumberFormat="1" applyProtection="1">
      <alignment/>
      <protection/>
    </xf>
    <xf numFmtId="167" fontId="4" fillId="0" borderId="0" xfId="22" applyNumberFormat="1" applyFont="1" applyAlignment="1" applyProtection="1">
      <alignment horizontal="center"/>
      <protection locked="0"/>
    </xf>
    <xf numFmtId="0" fontId="2" fillId="0" borderId="0" xfId="22" applyFont="1" applyAlignment="1" applyProtection="1">
      <alignment horizontal="left"/>
      <protection/>
    </xf>
    <xf numFmtId="0" fontId="7" fillId="0" borderId="0" xfId="22" applyFont="1" applyFill="1" applyProtection="1">
      <alignment/>
      <protection/>
    </xf>
    <xf numFmtId="0" fontId="2" fillId="0" borderId="0" xfId="22" applyFill="1" applyProtection="1">
      <alignment/>
      <protection/>
    </xf>
    <xf numFmtId="0" fontId="7" fillId="0" borderId="0" xfId="22" applyFont="1" applyFill="1" applyAlignment="1" applyProtection="1">
      <alignment horizontal="left"/>
      <protection/>
    </xf>
    <xf numFmtId="0" fontId="2" fillId="0" borderId="0" xfId="22" applyFill="1" applyAlignment="1" applyProtection="1">
      <alignment horizontal="right"/>
      <protection/>
    </xf>
    <xf numFmtId="9" fontId="5" fillId="0" borderId="0" xfId="22" applyNumberFormat="1" applyFont="1" applyFill="1" applyAlignment="1" applyProtection="1">
      <alignment horizontal="center"/>
      <protection/>
    </xf>
    <xf numFmtId="0" fontId="2" fillId="0" borderId="0" xfId="22" applyFont="1" applyAlignment="1">
      <alignment horizontal="center"/>
      <protection/>
    </xf>
    <xf numFmtId="0" fontId="2" fillId="0" borderId="0" xfId="22" applyFont="1" applyFill="1" applyAlignment="1" applyProtection="1">
      <alignment horizontal="left"/>
      <protection/>
    </xf>
    <xf numFmtId="166" fontId="4" fillId="0" borderId="0" xfId="22" applyNumberFormat="1" applyFont="1" applyFill="1" applyAlignment="1" applyProtection="1">
      <alignment horizontal="center"/>
      <protection locked="0"/>
    </xf>
    <xf numFmtId="0" fontId="8" fillId="0" borderId="0" xfId="22" applyFont="1" applyFill="1" applyAlignment="1" applyProtection="1">
      <alignment horizontal="center"/>
      <protection/>
    </xf>
    <xf numFmtId="0" fontId="8" fillId="0" borderId="0" xfId="22" applyFont="1" applyFill="1" applyAlignment="1" applyProtection="1" quotePrefix="1">
      <alignment horizontal="center"/>
      <protection/>
    </xf>
    <xf numFmtId="0" fontId="8" fillId="0" borderId="0" xfId="22" applyFont="1" applyAlignment="1">
      <alignment horizontal="left"/>
      <protection/>
    </xf>
    <xf numFmtId="0" fontId="0" fillId="0" borderId="0" xfId="22" applyFont="1" applyFill="1" applyProtection="1">
      <alignment/>
      <protection/>
    </xf>
    <xf numFmtId="165" fontId="4" fillId="0" borderId="0" xfId="22" applyNumberFormat="1" applyFont="1" applyFill="1" applyAlignment="1" applyProtection="1">
      <alignment horizontal="center"/>
      <protection locked="0"/>
    </xf>
    <xf numFmtId="165" fontId="2" fillId="0" borderId="0" xfId="22" applyNumberFormat="1" applyFont="1" applyFill="1" applyAlignment="1" applyProtection="1">
      <alignment horizontal="center"/>
      <protection/>
    </xf>
    <xf numFmtId="165" fontId="2" fillId="0" borderId="0" xfId="22" applyNumberFormat="1" applyFont="1" applyFill="1" applyAlignment="1" applyProtection="1">
      <alignment horizontal="right"/>
      <protection/>
    </xf>
    <xf numFmtId="166" fontId="2" fillId="0" borderId="0" xfId="22" applyNumberFormat="1" applyFont="1" applyFill="1" applyAlignment="1" applyProtection="1">
      <alignment horizontal="center"/>
      <protection/>
    </xf>
    <xf numFmtId="166" fontId="2" fillId="0" borderId="0" xfId="22" applyNumberFormat="1" applyFill="1" applyAlignment="1" applyProtection="1">
      <alignment horizontal="center"/>
      <protection/>
    </xf>
    <xf numFmtId="37" fontId="2" fillId="0" borderId="0" xfId="22" applyNumberFormat="1" applyFont="1" applyFill="1" applyAlignment="1" applyProtection="1">
      <alignment horizontal="center"/>
      <protection/>
    </xf>
    <xf numFmtId="169" fontId="2" fillId="0" borderId="0" xfId="22" applyNumberFormat="1" applyProtection="1">
      <alignment/>
      <protection/>
    </xf>
    <xf numFmtId="0" fontId="4" fillId="0" borderId="0" xfId="22" applyFont="1" applyFill="1" applyAlignment="1" applyProtection="1">
      <alignment horizontal="center"/>
      <protection locked="0"/>
    </xf>
    <xf numFmtId="0" fontId="2" fillId="0" borderId="0" xfId="22" applyAlignment="1" applyProtection="1">
      <alignment horizontal="fill"/>
      <protection/>
    </xf>
    <xf numFmtId="0" fontId="2" fillId="0" borderId="0" xfId="22" applyFont="1" applyFill="1" applyAlignment="1" applyProtection="1">
      <alignment horizontal="right"/>
      <protection/>
    </xf>
    <xf numFmtId="2" fontId="2" fillId="0" borderId="0" xfId="22" applyNumberFormat="1" applyFont="1" applyFill="1" applyAlignment="1" applyProtection="1">
      <alignment horizontal="center"/>
      <protection/>
    </xf>
    <xf numFmtId="0" fontId="2" fillId="0" borderId="0" xfId="22" applyFont="1">
      <alignment/>
      <protection/>
    </xf>
    <xf numFmtId="0" fontId="2" fillId="0" borderId="0" xfId="22" applyAlignment="1" applyProtection="1">
      <alignment horizontal="right"/>
      <protection/>
    </xf>
    <xf numFmtId="171" fontId="4" fillId="0" borderId="0" xfId="22" applyNumberFormat="1" applyFont="1" applyFill="1" applyAlignment="1" applyProtection="1">
      <alignment horizontal="center"/>
      <protection locked="0"/>
    </xf>
    <xf numFmtId="0" fontId="9" fillId="0" borderId="0" xfId="22" applyFont="1" applyAlignment="1">
      <alignment horizontal="center"/>
      <protection/>
    </xf>
    <xf numFmtId="0" fontId="8" fillId="0" borderId="0" xfId="22" applyFont="1" applyAlignment="1">
      <alignment horizontal="center"/>
      <protection/>
    </xf>
    <xf numFmtId="0" fontId="9" fillId="0" borderId="0" xfId="22" applyFont="1">
      <alignment/>
      <protection/>
    </xf>
    <xf numFmtId="167" fontId="2" fillId="0" borderId="0" xfId="22" applyNumberFormat="1" applyFont="1" applyFill="1" applyAlignment="1" applyProtection="1">
      <alignment horizontal="center"/>
      <protection/>
    </xf>
    <xf numFmtId="167" fontId="4" fillId="0" borderId="0" xfId="22" applyNumberFormat="1" applyFont="1" applyFill="1" applyAlignment="1" applyProtection="1">
      <alignment horizontal="center"/>
      <protection locked="0"/>
    </xf>
    <xf numFmtId="171" fontId="4" fillId="0" borderId="0" xfId="22" applyNumberFormat="1" applyFont="1" applyAlignment="1" applyProtection="1">
      <alignment horizontal="center"/>
      <protection locked="0"/>
    </xf>
    <xf numFmtId="2" fontId="4" fillId="0" borderId="0" xfId="22" applyNumberFormat="1" applyFont="1" applyAlignment="1" applyProtection="1">
      <alignment horizontal="center"/>
      <protection locked="0"/>
    </xf>
    <xf numFmtId="0" fontId="2" fillId="0" borderId="0" xfId="22" applyFont="1" applyFill="1" applyProtection="1">
      <alignment/>
      <protection/>
    </xf>
    <xf numFmtId="0" fontId="2" fillId="0" borderId="0" xfId="22" applyAlignment="1">
      <alignment horizontal="right"/>
      <protection/>
    </xf>
    <xf numFmtId="165" fontId="8" fillId="0" borderId="0" xfId="22" applyNumberFormat="1" applyFont="1" applyFill="1" applyAlignment="1" applyProtection="1">
      <alignment horizontal="center"/>
      <protection/>
    </xf>
    <xf numFmtId="9" fontId="5" fillId="0" borderId="0" xfId="23" applyFont="1" applyAlignment="1">
      <alignment horizontal="center"/>
    </xf>
    <xf numFmtId="37" fontId="8" fillId="0" borderId="0" xfId="22" applyNumberFormat="1" applyFont="1" applyFill="1" applyAlignment="1" applyProtection="1">
      <alignment horizontal="center"/>
      <protection/>
    </xf>
    <xf numFmtId="0" fontId="7" fillId="0" borderId="0" xfId="22" applyFont="1">
      <alignment/>
      <protection/>
    </xf>
    <xf numFmtId="0" fontId="10" fillId="0" borderId="0" xfId="22" applyFont="1" applyAlignment="1">
      <alignment horizontal="center"/>
      <protection/>
    </xf>
    <xf numFmtId="0" fontId="11" fillId="0" borderId="0" xfId="22" applyFont="1" applyFill="1" applyProtection="1">
      <alignment/>
      <protection/>
    </xf>
    <xf numFmtId="1" fontId="2" fillId="0" borderId="0" xfId="22" applyNumberFormat="1" applyAlignment="1">
      <alignment horizontal="center"/>
      <protection/>
    </xf>
    <xf numFmtId="2" fontId="8" fillId="0" borderId="0" xfId="22" applyNumberFormat="1" applyFont="1" applyFill="1" applyAlignment="1" applyProtection="1">
      <alignment horizontal="center"/>
      <protection/>
    </xf>
    <xf numFmtId="0" fontId="2" fillId="0" borderId="0" xfId="22" applyFill="1" applyAlignment="1" applyProtection="1">
      <alignment horizontal="center"/>
      <protection/>
    </xf>
    <xf numFmtId="0" fontId="0" fillId="0" borderId="0" xfId="22" applyFont="1" applyAlignment="1">
      <alignment horizontal="right"/>
      <protection/>
    </xf>
    <xf numFmtId="37" fontId="8" fillId="0" borderId="0" xfId="15" applyNumberFormat="1" applyFont="1" applyAlignment="1">
      <alignment horizontal="center"/>
    </xf>
    <xf numFmtId="0" fontId="7" fillId="0" borderId="0" xfId="22" applyFont="1" applyFill="1" applyAlignment="1" applyProtection="1">
      <alignment horizontal="center"/>
      <protection/>
    </xf>
    <xf numFmtId="0" fontId="2" fillId="0" borderId="0" xfId="22" applyFont="1" applyFill="1" applyAlignment="1" applyProtection="1">
      <alignment horizontal="center"/>
      <protection/>
    </xf>
    <xf numFmtId="0" fontId="11" fillId="0" borderId="0" xfId="22" applyFont="1">
      <alignment/>
      <protection/>
    </xf>
    <xf numFmtId="0" fontId="0" fillId="0" borderId="0" xfId="22" applyFont="1" applyProtection="1">
      <alignment/>
      <protection/>
    </xf>
    <xf numFmtId="37" fontId="8" fillId="0" borderId="0" xfId="22" applyNumberFormat="1" applyFont="1" applyAlignment="1" applyProtection="1">
      <alignment horizontal="center"/>
      <protection/>
    </xf>
    <xf numFmtId="0" fontId="11" fillId="0" borderId="0" xfId="22" applyFont="1" applyProtection="1" quotePrefix="1">
      <alignment/>
      <protection/>
    </xf>
    <xf numFmtId="167" fontId="2" fillId="0" borderId="0" xfId="22" applyNumberFormat="1" applyAlignment="1" applyProtection="1">
      <alignment horizontal="center"/>
      <protection/>
    </xf>
    <xf numFmtId="2" fontId="2" fillId="0" borderId="0" xfId="22" applyNumberFormat="1" applyAlignment="1">
      <alignment horizontal="center"/>
      <protection/>
    </xf>
    <xf numFmtId="0" fontId="8" fillId="0" borderId="0" xfId="22" applyFont="1" applyFill="1" applyAlignment="1" applyProtection="1">
      <alignment horizontal="center"/>
      <protection/>
    </xf>
    <xf numFmtId="166" fontId="2" fillId="0" borderId="0" xfId="22" applyNumberFormat="1" applyAlignment="1" applyProtection="1">
      <alignment horizontal="center"/>
      <protection/>
    </xf>
    <xf numFmtId="3" fontId="2" fillId="0" borderId="0" xfId="22" applyNumberFormat="1" applyAlignment="1" applyProtection="1">
      <alignment horizontal="center"/>
      <protection/>
    </xf>
    <xf numFmtId="0" fontId="3" fillId="0" borderId="0" xfId="22" applyFont="1" applyFill="1" applyAlignment="1" applyProtection="1">
      <alignment horizontal="center"/>
      <protection/>
    </xf>
    <xf numFmtId="37" fontId="2" fillId="0" borderId="0" xfId="22" applyNumberFormat="1" applyFill="1" applyProtection="1">
      <alignment/>
      <protection/>
    </xf>
    <xf numFmtId="165" fontId="2" fillId="0" borderId="0" xfId="22" applyNumberFormat="1" applyFill="1" applyAlignment="1" applyProtection="1">
      <alignment horizontal="center"/>
      <protection/>
    </xf>
    <xf numFmtId="37" fontId="2" fillId="0" borderId="0" xfId="22" applyNumberFormat="1" applyAlignment="1" applyProtection="1">
      <alignment horizontal="center"/>
      <protection/>
    </xf>
    <xf numFmtId="0" fontId="2" fillId="0" borderId="0" xfId="22" applyAlignment="1">
      <alignment horizontal="fill"/>
      <protection/>
    </xf>
    <xf numFmtId="0" fontId="2" fillId="0" borderId="0" xfId="22" quotePrefix="1">
      <alignment/>
      <protection/>
    </xf>
    <xf numFmtId="185" fontId="2" fillId="0" borderId="0" xfId="17" applyNumberFormat="1" applyFont="1" applyFill="1" applyAlignment="1" applyProtection="1">
      <alignment horizontal="center"/>
      <protection/>
    </xf>
    <xf numFmtId="0" fontId="11" fillId="0" borderId="0" xfId="22" applyFont="1" quotePrefix="1">
      <alignment/>
      <protection/>
    </xf>
    <xf numFmtId="167" fontId="2" fillId="0" borderId="0" xfId="22" applyNumberFormat="1" applyAlignment="1" applyProtection="1" quotePrefix="1">
      <alignment horizontal="right"/>
      <protection/>
    </xf>
    <xf numFmtId="0" fontId="2" fillId="0" borderId="0" xfId="22" applyAlignment="1" applyProtection="1">
      <alignment/>
      <protection/>
    </xf>
    <xf numFmtId="0" fontId="12" fillId="0" borderId="0" xfId="22" applyFont="1" applyProtection="1">
      <alignment/>
      <protection/>
    </xf>
    <xf numFmtId="0" fontId="3" fillId="0" borderId="0" xfId="22" applyFont="1">
      <alignment/>
      <protection/>
    </xf>
    <xf numFmtId="165" fontId="2" fillId="0" borderId="0" xfId="22" applyNumberFormat="1" applyAlignment="1" applyProtection="1">
      <alignment horizontal="center"/>
      <protection/>
    </xf>
    <xf numFmtId="164" fontId="2" fillId="0" borderId="0" xfId="22" applyNumberFormat="1" applyAlignment="1" applyProtection="1">
      <alignment horizontal="center"/>
      <protection/>
    </xf>
    <xf numFmtId="166" fontId="2" fillId="0" borderId="0" xfId="22" applyNumberFormat="1" applyProtection="1">
      <alignment/>
      <protection/>
    </xf>
    <xf numFmtId="0" fontId="3" fillId="0" borderId="0" xfId="22" applyFont="1" applyProtection="1">
      <alignment/>
      <protection/>
    </xf>
    <xf numFmtId="0" fontId="5" fillId="0" borderId="0" xfId="22" applyFont="1" applyAlignment="1">
      <alignment horizontal="center"/>
      <protection/>
    </xf>
    <xf numFmtId="0" fontId="0" fillId="0" borderId="0" xfId="22" applyFont="1" quotePrefix="1">
      <alignment/>
      <protection/>
    </xf>
    <xf numFmtId="0" fontId="13" fillId="0" borderId="0" xfId="22" applyFont="1" applyProtection="1">
      <alignment/>
      <protection/>
    </xf>
    <xf numFmtId="0" fontId="0" fillId="0" borderId="0" xfId="22" applyFont="1" applyAlignment="1" quotePrefix="1">
      <alignment horizontal="left"/>
      <protection/>
    </xf>
    <xf numFmtId="0" fontId="7" fillId="0" borderId="0" xfId="22" applyFont="1" applyProtection="1">
      <alignment/>
      <protection/>
    </xf>
    <xf numFmtId="0" fontId="3" fillId="0" borderId="0" xfId="22" applyFont="1" applyAlignment="1" applyProtection="1">
      <alignment horizontal="center"/>
      <protection/>
    </xf>
    <xf numFmtId="0" fontId="8" fillId="0" borderId="0" xfId="22" applyFont="1" applyAlignment="1" applyProtection="1">
      <alignment horizontal="center"/>
      <protection/>
    </xf>
    <xf numFmtId="181" fontId="2" fillId="0" borderId="0" xfId="22" applyNumberFormat="1" applyAlignment="1" applyProtection="1">
      <alignment horizontal="center"/>
      <protection/>
    </xf>
    <xf numFmtId="0" fontId="3" fillId="0" borderId="0" xfId="22" applyFont="1" applyAlignment="1">
      <alignment horizontal="right"/>
      <protection/>
    </xf>
    <xf numFmtId="0" fontId="14" fillId="0" borderId="0" xfId="22" applyFont="1" applyProtection="1">
      <alignment/>
      <protection/>
    </xf>
    <xf numFmtId="9" fontId="2" fillId="0" borderId="0" xfId="22" applyNumberFormat="1" applyProtection="1">
      <alignment/>
      <protection/>
    </xf>
    <xf numFmtId="37" fontId="2" fillId="0" borderId="0" xfId="22" applyNumberFormat="1" applyFont="1" applyAlignment="1" applyProtection="1">
      <alignment horizontal="center"/>
      <protection/>
    </xf>
    <xf numFmtId="167" fontId="2" fillId="0" borderId="0" xfId="22" applyNumberFormat="1" applyFont="1" applyAlignment="1" applyProtection="1">
      <alignment horizontal="center"/>
      <protection/>
    </xf>
    <xf numFmtId="0" fontId="15" fillId="0" borderId="0" xfId="22" applyFont="1" applyProtection="1">
      <alignment/>
      <protection/>
    </xf>
    <xf numFmtId="171" fontId="2" fillId="0" borderId="0" xfId="22" applyNumberFormat="1" applyAlignment="1">
      <alignment horizontal="center"/>
      <protection/>
    </xf>
    <xf numFmtId="0" fontId="16" fillId="0" borderId="0" xfId="22" applyFont="1" applyFill="1" applyProtection="1">
      <alignment/>
      <protection/>
    </xf>
    <xf numFmtId="9" fontId="3" fillId="0" borderId="0" xfId="22" applyNumberFormat="1" applyFont="1" applyFill="1" applyAlignment="1" applyProtection="1">
      <alignment horizontal="center"/>
      <protection/>
    </xf>
    <xf numFmtId="0" fontId="2" fillId="0" borderId="0" xfId="22" applyFill="1" applyAlignment="1" applyProtection="1">
      <alignment horizontal="left"/>
      <protection/>
    </xf>
    <xf numFmtId="0" fontId="12" fillId="0" borderId="0" xfId="22" applyFont="1" applyFill="1" applyProtection="1">
      <alignment/>
      <protection/>
    </xf>
    <xf numFmtId="9" fontId="2" fillId="0" borderId="0" xfId="22" applyNumberFormat="1" applyAlignment="1" applyProtection="1">
      <alignment horizontal="center"/>
      <protection/>
    </xf>
    <xf numFmtId="170" fontId="2" fillId="0" borderId="0" xfId="22" applyNumberFormat="1" applyProtection="1">
      <alignment/>
      <protection/>
    </xf>
    <xf numFmtId="0" fontId="0" fillId="0" borderId="0" xfId="0" applyAlignment="1">
      <alignment horizontal="center"/>
    </xf>
    <xf numFmtId="0" fontId="0" fillId="0" borderId="0" xfId="0" applyAlignment="1" quotePrefix="1">
      <alignment horizontal="lef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2" fontId="0" fillId="0" borderId="0" xfId="0" applyNumberFormat="1" applyFill="1" applyBorder="1" applyAlignment="1">
      <alignment/>
    </xf>
    <xf numFmtId="0" fontId="2" fillId="0" borderId="0" xfId="22" applyFont="1" applyProtection="1">
      <alignment/>
      <protection/>
    </xf>
    <xf numFmtId="0" fontId="0" fillId="0" borderId="0" xfId="22" applyFont="1">
      <alignment/>
      <protection/>
    </xf>
    <xf numFmtId="0" fontId="0" fillId="0" borderId="0" xfId="22" applyFont="1" applyAlignment="1">
      <alignment horizontal="center"/>
      <protection/>
    </xf>
    <xf numFmtId="0" fontId="0" fillId="0" borderId="0" xfId="0" applyFont="1" applyAlignment="1">
      <alignment/>
    </xf>
    <xf numFmtId="2" fontId="0" fillId="0" borderId="3" xfId="0" applyNumberFormat="1" applyFill="1" applyBorder="1" applyAlignment="1">
      <alignment/>
    </xf>
    <xf numFmtId="171" fontId="0" fillId="0" borderId="2" xfId="0" applyNumberFormat="1" applyBorder="1" applyAlignment="1">
      <alignment/>
    </xf>
    <xf numFmtId="171" fontId="0" fillId="0" borderId="0" xfId="0" applyNumberFormat="1" applyBorder="1" applyAlignment="1">
      <alignment/>
    </xf>
    <xf numFmtId="171" fontId="0" fillId="0" borderId="0" xfId="0" applyNumberFormat="1" applyFill="1" applyBorder="1" applyAlignment="1">
      <alignment/>
    </xf>
    <xf numFmtId="171" fontId="0" fillId="0" borderId="3" xfId="0" applyNumberFormat="1" applyFill="1" applyBorder="1" applyAlignment="1">
      <alignment/>
    </xf>
    <xf numFmtId="171" fontId="1" fillId="0" borderId="3" xfId="0" applyNumberFormat="1" applyFont="1" applyBorder="1" applyAlignment="1">
      <alignment/>
    </xf>
    <xf numFmtId="171" fontId="1" fillId="0" borderId="0" xfId="0" applyNumberFormat="1" applyFont="1" applyFill="1" applyBorder="1" applyAlignment="1">
      <alignment/>
    </xf>
    <xf numFmtId="171" fontId="1" fillId="0" borderId="4" xfId="0" applyNumberFormat="1" applyFont="1" applyBorder="1" applyAlignment="1">
      <alignment/>
    </xf>
    <xf numFmtId="171" fontId="1" fillId="0" borderId="0" xfId="0" applyNumberFormat="1" applyFont="1" applyAlignment="1">
      <alignment/>
    </xf>
    <xf numFmtId="171" fontId="0" fillId="0" borderId="5" xfId="0" applyNumberFormat="1" applyBorder="1" applyAlignment="1">
      <alignment/>
    </xf>
    <xf numFmtId="0" fontId="0" fillId="0" borderId="6" xfId="0" applyBorder="1" applyAlignment="1">
      <alignment/>
    </xf>
    <xf numFmtId="0" fontId="0" fillId="0" borderId="2" xfId="0" applyBorder="1" applyAlignment="1">
      <alignment horizontal="center"/>
    </xf>
    <xf numFmtId="0" fontId="0" fillId="0" borderId="7" xfId="0" applyBorder="1" applyAlignment="1">
      <alignment/>
    </xf>
    <xf numFmtId="0" fontId="0" fillId="0" borderId="8" xfId="0" applyBorder="1" applyAlignment="1">
      <alignment/>
    </xf>
    <xf numFmtId="0" fontId="1" fillId="0" borderId="0" xfId="0" applyFont="1" applyBorder="1" applyAlignment="1">
      <alignment horizontal="center" wrapText="1"/>
    </xf>
    <xf numFmtId="171" fontId="1" fillId="0" borderId="0" xfId="0" applyNumberFormat="1" applyFont="1" applyBorder="1" applyAlignment="1">
      <alignment/>
    </xf>
    <xf numFmtId="0" fontId="0" fillId="2" borderId="9" xfId="0" applyFill="1" applyBorder="1" applyAlignment="1" applyProtection="1">
      <alignment horizontal="center"/>
      <protection locked="0"/>
    </xf>
    <xf numFmtId="0" fontId="0" fillId="2" borderId="3" xfId="0" applyFill="1" applyBorder="1" applyAlignment="1" applyProtection="1">
      <alignment/>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2" xfId="0" applyFill="1" applyBorder="1" applyAlignment="1" applyProtection="1">
      <alignment horizontal="left"/>
      <protection locked="0"/>
    </xf>
    <xf numFmtId="2" fontId="0" fillId="0" borderId="3" xfId="0" applyNumberFormat="1" applyFill="1" applyBorder="1" applyAlignment="1">
      <alignment/>
    </xf>
    <xf numFmtId="171" fontId="0" fillId="0" borderId="2" xfId="0" applyNumberFormat="1" applyBorder="1" applyAlignment="1">
      <alignment/>
    </xf>
    <xf numFmtId="171" fontId="1" fillId="0" borderId="4" xfId="0" applyNumberFormat="1" applyFont="1" applyBorder="1" applyAlignment="1">
      <alignment/>
    </xf>
    <xf numFmtId="0" fontId="0" fillId="2" borderId="10" xfId="0" applyFont="1" applyFill="1" applyBorder="1" applyAlignment="1" applyProtection="1">
      <alignment horizontal="center"/>
      <protection locked="0"/>
    </xf>
    <xf numFmtId="0" fontId="3" fillId="0" borderId="0" xfId="0" applyFont="1" applyBorder="1" applyAlignment="1">
      <alignment horizontal="center"/>
    </xf>
    <xf numFmtId="0" fontId="0" fillId="0" borderId="11" xfId="0" applyBorder="1" applyAlignment="1">
      <alignment/>
    </xf>
    <xf numFmtId="0" fontId="0" fillId="0" borderId="1" xfId="0" applyFill="1" applyBorder="1" applyAlignment="1">
      <alignment/>
    </xf>
    <xf numFmtId="0" fontId="0" fillId="0" borderId="8" xfId="0" applyBorder="1" applyAlignment="1">
      <alignment horizontal="center"/>
    </xf>
    <xf numFmtId="186" fontId="4" fillId="0" borderId="0" xfId="22" applyNumberFormat="1" applyFont="1" applyFill="1" applyAlignment="1" applyProtection="1">
      <alignment horizontal="center"/>
      <protection/>
    </xf>
    <xf numFmtId="37" fontId="6" fillId="0" borderId="0" xfId="22" applyNumberFormat="1" applyFont="1" applyProtection="1">
      <alignment/>
      <protection/>
    </xf>
    <xf numFmtId="0" fontId="6" fillId="0" borderId="0" xfId="22" applyFont="1" applyProtection="1">
      <alignment/>
      <protection/>
    </xf>
    <xf numFmtId="0" fontId="4" fillId="0" borderId="0" xfId="22" applyFont="1" applyProtection="1">
      <alignment/>
      <protection/>
    </xf>
    <xf numFmtId="37" fontId="6" fillId="0" borderId="0" xfId="22" applyNumberFormat="1" applyFont="1" applyAlignment="1" applyProtection="1">
      <alignment horizontal="center"/>
      <protection/>
    </xf>
    <xf numFmtId="0" fontId="4" fillId="0" borderId="0" xfId="22" applyFont="1" applyAlignment="1" applyProtection="1">
      <alignment horizontal="left"/>
      <protection/>
    </xf>
    <xf numFmtId="0" fontId="4" fillId="0" borderId="0" xfId="22" applyFont="1" applyAlignment="1" applyProtection="1">
      <alignment horizontal="center"/>
      <protection/>
    </xf>
    <xf numFmtId="171" fontId="0" fillId="0" borderId="12" xfId="0" applyNumberFormat="1" applyFill="1" applyBorder="1" applyAlignment="1">
      <alignment/>
    </xf>
    <xf numFmtId="171" fontId="0" fillId="0" borderId="13" xfId="0" applyNumberFormat="1" applyBorder="1" applyAlignment="1">
      <alignment/>
    </xf>
    <xf numFmtId="171" fontId="1" fillId="0" borderId="14" xfId="0" applyNumberFormat="1" applyFont="1" applyBorder="1" applyAlignment="1">
      <alignment/>
    </xf>
    <xf numFmtId="171" fontId="1" fillId="0" borderId="7" xfId="0" applyNumberFormat="1" applyFont="1" applyBorder="1" applyAlignment="1">
      <alignment/>
    </xf>
    <xf numFmtId="0" fontId="3" fillId="0" borderId="15" xfId="0" applyFont="1" applyBorder="1" applyAlignment="1">
      <alignment/>
    </xf>
    <xf numFmtId="0" fontId="0" fillId="0" borderId="16" xfId="0" applyBorder="1" applyAlignment="1">
      <alignment/>
    </xf>
    <xf numFmtId="0" fontId="0" fillId="0" borderId="7" xfId="0" applyBorder="1" applyAlignment="1">
      <alignment horizontal="center"/>
    </xf>
    <xf numFmtId="2" fontId="0" fillId="0" borderId="12" xfId="0" applyNumberFormat="1" applyFill="1" applyBorder="1" applyAlignment="1">
      <alignment/>
    </xf>
    <xf numFmtId="0" fontId="0" fillId="0" borderId="8" xfId="0" applyBorder="1" applyAlignment="1">
      <alignment/>
    </xf>
    <xf numFmtId="2" fontId="0" fillId="0" borderId="12" xfId="0" applyNumberFormat="1" applyFill="1" applyBorder="1" applyAlignment="1">
      <alignment/>
    </xf>
    <xf numFmtId="171" fontId="0" fillId="0" borderId="13" xfId="0" applyNumberFormat="1" applyBorder="1" applyAlignment="1">
      <alignment/>
    </xf>
    <xf numFmtId="171" fontId="1" fillId="0" borderId="14" xfId="0" applyNumberFormat="1" applyFont="1" applyBorder="1" applyAlignment="1">
      <alignment/>
    </xf>
    <xf numFmtId="171" fontId="1" fillId="0" borderId="7" xfId="0"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horizontal="left"/>
    </xf>
    <xf numFmtId="0" fontId="1" fillId="0" borderId="11" xfId="0" applyFont="1" applyBorder="1" applyAlignment="1">
      <alignment horizontal="left"/>
    </xf>
    <xf numFmtId="171" fontId="1" fillId="0" borderId="21" xfId="0" applyNumberFormat="1" applyFont="1" applyBorder="1" applyAlignment="1">
      <alignment/>
    </xf>
    <xf numFmtId="171" fontId="1" fillId="0" borderId="18" xfId="0" applyNumberFormat="1" applyFont="1" applyBorder="1" applyAlignment="1">
      <alignment/>
    </xf>
    <xf numFmtId="0" fontId="0" fillId="0" borderId="0" xfId="0" applyAlignment="1">
      <alignment horizontal="right"/>
    </xf>
    <xf numFmtId="0" fontId="0" fillId="0" borderId="0" xfId="0" applyFill="1" applyAlignment="1">
      <alignment horizontal="right"/>
    </xf>
    <xf numFmtId="0" fontId="0" fillId="0" borderId="0" xfId="0" applyBorder="1" applyAlignment="1">
      <alignment horizontal="right"/>
    </xf>
    <xf numFmtId="0" fontId="0" fillId="0" borderId="1" xfId="0" applyBorder="1" applyAlignment="1">
      <alignment horizontal="right"/>
    </xf>
    <xf numFmtId="0" fontId="3" fillId="0" borderId="0" xfId="21" applyFont="1" applyFill="1" applyProtection="1">
      <alignment/>
      <protection/>
    </xf>
    <xf numFmtId="0" fontId="3" fillId="0" borderId="0" xfId="21" applyFont="1" applyFill="1" applyAlignment="1" applyProtection="1">
      <alignment horizontal="right"/>
      <protection/>
    </xf>
    <xf numFmtId="0" fontId="2" fillId="0" borderId="0" xfId="21" applyProtection="1">
      <alignment/>
      <protection/>
    </xf>
    <xf numFmtId="0" fontId="2" fillId="0" borderId="0" xfId="21" applyAlignment="1" applyProtection="1">
      <alignment horizontal="center"/>
      <protection/>
    </xf>
    <xf numFmtId="0" fontId="2" fillId="0" borderId="0" xfId="21">
      <alignment/>
      <protection/>
    </xf>
    <xf numFmtId="0" fontId="2" fillId="0" borderId="0" xfId="21" applyFont="1" applyFill="1" applyProtection="1">
      <alignment/>
      <protection/>
    </xf>
    <xf numFmtId="0" fontId="2" fillId="0" borderId="0" xfId="21" applyFont="1" applyFill="1" applyBorder="1" applyProtection="1">
      <alignment/>
      <protection/>
    </xf>
    <xf numFmtId="0" fontId="2" fillId="0" borderId="0" xfId="21" applyFont="1" applyFill="1" applyAlignment="1" applyProtection="1">
      <alignment horizontal="right"/>
      <protection/>
    </xf>
    <xf numFmtId="0" fontId="4" fillId="0" borderId="0" xfId="21" applyFont="1" applyFill="1" applyProtection="1">
      <alignment/>
      <protection locked="0"/>
    </xf>
    <xf numFmtId="164" fontId="2" fillId="0" borderId="0" xfId="21" applyNumberFormat="1" applyProtection="1">
      <alignment/>
      <protection/>
    </xf>
    <xf numFmtId="165" fontId="2" fillId="0" borderId="0" xfId="21" applyNumberFormat="1" applyProtection="1">
      <alignment/>
      <protection/>
    </xf>
    <xf numFmtId="37" fontId="2" fillId="0" borderId="0" xfId="21" applyNumberFormat="1" applyProtection="1">
      <alignment/>
      <protection/>
    </xf>
    <xf numFmtId="37" fontId="4" fillId="0" borderId="0" xfId="21" applyNumberFormat="1" applyFont="1" applyFill="1" applyAlignment="1" applyProtection="1">
      <alignment horizontal="center"/>
      <protection locked="0"/>
    </xf>
    <xf numFmtId="166" fontId="2" fillId="0" borderId="0" xfId="21" applyNumberFormat="1" applyFont="1" applyFill="1" applyAlignment="1" applyProtection="1">
      <alignment horizontal="center"/>
      <protection/>
    </xf>
    <xf numFmtId="167" fontId="2" fillId="0" borderId="0" xfId="21" applyNumberFormat="1" applyProtection="1">
      <alignment/>
      <protection/>
    </xf>
    <xf numFmtId="37" fontId="6" fillId="0" borderId="0" xfId="21" applyNumberFormat="1" applyFont="1" applyProtection="1">
      <alignment/>
      <protection/>
    </xf>
    <xf numFmtId="169" fontId="2" fillId="0" borderId="0" xfId="21" applyNumberFormat="1" applyProtection="1">
      <alignment/>
      <protection/>
    </xf>
    <xf numFmtId="167" fontId="4" fillId="0" borderId="0" xfId="21" applyNumberFormat="1" applyFont="1" applyFill="1" applyAlignment="1" applyProtection="1">
      <alignment horizontal="center"/>
      <protection locked="0"/>
    </xf>
    <xf numFmtId="0" fontId="0" fillId="0" borderId="0" xfId="21" applyFont="1" applyFill="1" applyAlignment="1" applyProtection="1">
      <alignment horizontal="right"/>
      <protection/>
    </xf>
    <xf numFmtId="0" fontId="6" fillId="0" borderId="0" xfId="21" applyFont="1" applyProtection="1">
      <alignment/>
      <protection/>
    </xf>
    <xf numFmtId="0" fontId="2" fillId="0" borderId="0" xfId="21" applyFont="1" applyFill="1" applyAlignment="1" applyProtection="1">
      <alignment horizontal="left"/>
      <protection/>
    </xf>
    <xf numFmtId="0" fontId="2" fillId="0" borderId="0" xfId="21" applyFont="1" applyFill="1" applyAlignment="1" applyProtection="1">
      <alignment horizontal="center"/>
      <protection/>
    </xf>
    <xf numFmtId="0" fontId="2" fillId="0" borderId="0" xfId="21" applyFill="1" applyProtection="1">
      <alignment/>
      <protection/>
    </xf>
    <xf numFmtId="37" fontId="2" fillId="0" borderId="0" xfId="21" applyNumberFormat="1" applyFont="1" applyFill="1" applyAlignment="1" applyProtection="1">
      <alignment horizontal="center"/>
      <protection/>
    </xf>
    <xf numFmtId="0" fontId="4" fillId="0" borderId="0" xfId="21" applyFont="1" applyFill="1" applyAlignment="1" applyProtection="1">
      <alignment horizontal="center"/>
      <protection locked="0"/>
    </xf>
    <xf numFmtId="0" fontId="2" fillId="0" borderId="0" xfId="21" applyAlignment="1" applyProtection="1">
      <alignment horizontal="fill"/>
      <protection/>
    </xf>
    <xf numFmtId="0" fontId="2" fillId="0" borderId="0" xfId="21" applyAlignment="1" applyProtection="1">
      <alignment horizontal="right"/>
      <protection/>
    </xf>
    <xf numFmtId="166" fontId="2" fillId="0" borderId="0" xfId="21" applyNumberFormat="1" applyAlignment="1" applyProtection="1">
      <alignment horizontal="center"/>
      <protection/>
    </xf>
    <xf numFmtId="0" fontId="11" fillId="0" borderId="0" xfId="21" applyFont="1" applyFill="1" applyAlignment="1" applyProtection="1" quotePrefix="1">
      <alignment horizontal="left"/>
      <protection/>
    </xf>
    <xf numFmtId="37" fontId="6" fillId="0" borderId="0" xfId="21" applyNumberFormat="1" applyFont="1" applyAlignment="1" applyProtection="1">
      <alignment horizontal="center"/>
      <protection/>
    </xf>
    <xf numFmtId="0" fontId="3" fillId="0" borderId="0" xfId="21" applyFont="1" applyFill="1" applyAlignment="1" applyProtection="1">
      <alignment horizontal="center"/>
      <protection/>
    </xf>
    <xf numFmtId="0" fontId="22" fillId="0" borderId="0" xfId="21" applyFont="1" applyFill="1" applyAlignment="1" applyProtection="1">
      <alignment horizontal="center"/>
      <protection/>
    </xf>
    <xf numFmtId="0" fontId="23" fillId="0" borderId="0" xfId="21" applyFont="1" applyFill="1" applyProtection="1">
      <alignment/>
      <protection/>
    </xf>
    <xf numFmtId="0" fontId="23" fillId="0" borderId="0" xfId="21" applyFont="1" applyAlignment="1" applyProtection="1">
      <alignment horizontal="center"/>
      <protection/>
    </xf>
    <xf numFmtId="9" fontId="5" fillId="0" borderId="0" xfId="21" applyNumberFormat="1" applyFont="1" applyFill="1" applyAlignment="1" applyProtection="1">
      <alignment horizontal="center"/>
      <protection/>
    </xf>
    <xf numFmtId="0" fontId="23" fillId="0" borderId="0" xfId="21" applyFont="1" applyAlignment="1" applyProtection="1">
      <alignment horizontal="right"/>
      <protection/>
    </xf>
    <xf numFmtId="167" fontId="2" fillId="0" borderId="0" xfId="21" applyNumberFormat="1" applyAlignment="1" applyProtection="1">
      <alignment horizontal="center"/>
      <protection/>
    </xf>
    <xf numFmtId="165" fontId="2" fillId="0" borderId="0" xfId="21" applyNumberFormat="1" applyAlignment="1" applyProtection="1">
      <alignment horizontal="center"/>
      <protection/>
    </xf>
    <xf numFmtId="0" fontId="24" fillId="0" borderId="0" xfId="21" applyFont="1" applyProtection="1">
      <alignment/>
      <protection/>
    </xf>
    <xf numFmtId="167" fontId="2" fillId="0" borderId="0" xfId="21" applyNumberFormat="1" applyFont="1" applyFill="1" applyAlignment="1" applyProtection="1">
      <alignment horizontal="center"/>
      <protection/>
    </xf>
    <xf numFmtId="0" fontId="2" fillId="0" borderId="0" xfId="21" applyAlignment="1" applyProtection="1">
      <alignment horizontal="left"/>
      <protection/>
    </xf>
    <xf numFmtId="166" fontId="4" fillId="0" borderId="0" xfId="21" applyNumberFormat="1" applyFont="1" applyFill="1" applyAlignment="1" applyProtection="1">
      <alignment horizontal="center"/>
      <protection locked="0"/>
    </xf>
    <xf numFmtId="37" fontId="2" fillId="0" borderId="0" xfId="21" applyNumberFormat="1" applyAlignment="1" applyProtection="1">
      <alignment horizontal="center"/>
      <protection/>
    </xf>
    <xf numFmtId="166" fontId="2" fillId="0" borderId="0" xfId="21" applyNumberFormat="1" applyProtection="1">
      <alignment/>
      <protection/>
    </xf>
    <xf numFmtId="9" fontId="2" fillId="0" borderId="0" xfId="21" applyNumberFormat="1" applyProtection="1">
      <alignment/>
      <protection/>
    </xf>
    <xf numFmtId="167" fontId="6" fillId="0" borderId="0" xfId="21" applyNumberFormat="1" applyFont="1" applyAlignment="1" applyProtection="1">
      <alignment horizontal="center"/>
      <protection/>
    </xf>
    <xf numFmtId="197" fontId="0" fillId="0" borderId="0" xfId="21" applyNumberFormat="1" applyFont="1" applyFill="1" applyProtection="1">
      <alignment/>
      <protection/>
    </xf>
    <xf numFmtId="0" fontId="0" fillId="0" borderId="0" xfId="21" applyFont="1" quotePrefix="1">
      <alignment/>
      <protection/>
    </xf>
    <xf numFmtId="0" fontId="0" fillId="0" borderId="0" xfId="21" applyFont="1" applyFill="1" applyProtection="1">
      <alignment/>
      <protection/>
    </xf>
    <xf numFmtId="0" fontId="0" fillId="0" borderId="0" xfId="21" applyFont="1" applyFill="1" applyProtection="1" quotePrefix="1">
      <alignment/>
      <protection/>
    </xf>
    <xf numFmtId="0" fontId="7" fillId="0" borderId="0" xfId="21" applyFont="1" applyFill="1" applyProtection="1">
      <alignment/>
      <protection/>
    </xf>
    <xf numFmtId="0" fontId="2" fillId="0" borderId="0" xfId="21" applyAlignment="1">
      <alignment horizontal="center"/>
      <protection/>
    </xf>
    <xf numFmtId="10" fontId="2" fillId="0" borderId="0" xfId="21" applyNumberFormat="1" applyProtection="1">
      <alignment/>
      <protection/>
    </xf>
    <xf numFmtId="185" fontId="8" fillId="0" borderId="0" xfId="17" applyNumberFormat="1" applyFont="1" applyFill="1" applyAlignment="1" applyProtection="1">
      <alignment horizontal="center"/>
      <protection/>
    </xf>
    <xf numFmtId="0" fontId="2" fillId="0" borderId="0" xfId="21" applyFont="1" applyFill="1" applyProtection="1" quotePrefix="1">
      <alignment/>
      <protection/>
    </xf>
    <xf numFmtId="167" fontId="2" fillId="0" borderId="0" xfId="21" applyNumberFormat="1" applyFont="1" applyFill="1" applyProtection="1">
      <alignment/>
      <protection/>
    </xf>
    <xf numFmtId="0" fontId="5" fillId="0" borderId="0" xfId="21" applyFont="1" applyFill="1" applyProtection="1">
      <alignment/>
      <protection/>
    </xf>
    <xf numFmtId="0" fontId="5" fillId="0" borderId="0" xfId="21" applyFont="1" applyProtection="1">
      <alignment/>
      <protection/>
    </xf>
    <xf numFmtId="0" fontId="11" fillId="0" borderId="0" xfId="21" applyFont="1" applyFill="1" applyProtection="1" quotePrefix="1">
      <alignment/>
      <protection/>
    </xf>
    <xf numFmtId="0" fontId="25" fillId="0" borderId="0" xfId="21" applyFont="1" applyProtection="1">
      <alignment/>
      <protection/>
    </xf>
    <xf numFmtId="0" fontId="7" fillId="0" borderId="0" xfId="21" applyFont="1">
      <alignment/>
      <protection/>
    </xf>
    <xf numFmtId="0" fontId="2" fillId="0" borderId="0" xfId="21" applyAlignment="1">
      <alignment horizontal="right"/>
      <protection/>
    </xf>
    <xf numFmtId="0" fontId="2" fillId="0" borderId="0" xfId="21" applyAlignment="1">
      <alignment horizontal="fill"/>
      <protection/>
    </xf>
    <xf numFmtId="170" fontId="2" fillId="0" borderId="0" xfId="21" applyNumberFormat="1" applyProtection="1">
      <alignment/>
      <protection/>
    </xf>
    <xf numFmtId="0" fontId="0" fillId="2" borderId="3" xfId="0" applyFill="1" applyBorder="1" applyAlignment="1" applyProtection="1">
      <alignment horizontal="center"/>
      <protection locked="0"/>
    </xf>
    <xf numFmtId="0" fontId="4" fillId="0" borderId="0" xfId="21" applyFont="1" applyFill="1" applyProtection="1">
      <alignment/>
      <protection/>
    </xf>
    <xf numFmtId="37" fontId="0" fillId="0" borderId="0" xfId="22" applyNumberFormat="1" applyFont="1" applyProtection="1">
      <alignment/>
      <protection/>
    </xf>
    <xf numFmtId="0" fontId="2" fillId="0" borderId="3" xfId="21" applyFont="1" applyFill="1" applyBorder="1" applyAlignment="1" applyProtection="1">
      <alignment horizontal="center"/>
      <protection/>
    </xf>
    <xf numFmtId="0" fontId="2" fillId="0" borderId="3" xfId="21" applyFont="1" applyFill="1" applyBorder="1" applyProtection="1">
      <alignment/>
      <protection/>
    </xf>
    <xf numFmtId="37" fontId="2" fillId="0" borderId="3" xfId="21" applyNumberFormat="1" applyFont="1" applyFill="1" applyBorder="1" applyAlignment="1" applyProtection="1">
      <alignment horizontal="center"/>
      <protection/>
    </xf>
    <xf numFmtId="198" fontId="2" fillId="0" borderId="3" xfId="21" applyNumberFormat="1" applyFont="1" applyFill="1" applyBorder="1" applyAlignment="1" applyProtection="1">
      <alignment horizontal="center"/>
      <protection/>
    </xf>
    <xf numFmtId="166" fontId="2" fillId="0" borderId="3" xfId="21" applyNumberFormat="1" applyFont="1" applyFill="1" applyBorder="1" applyAlignment="1" applyProtection="1">
      <alignment horizontal="center"/>
      <protection/>
    </xf>
    <xf numFmtId="0" fontId="1" fillId="0" borderId="19" xfId="0" applyFont="1" applyBorder="1" applyAlignment="1">
      <alignment horizontal="left"/>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Border="1" applyAlignment="1" applyProtection="1">
      <alignment/>
      <protection/>
    </xf>
    <xf numFmtId="0" fontId="0" fillId="0" borderId="8" xfId="0" applyBorder="1" applyAlignment="1" applyProtection="1">
      <alignment/>
      <protection/>
    </xf>
    <xf numFmtId="0" fontId="0" fillId="0" borderId="22" xfId="0" applyBorder="1" applyAlignment="1">
      <alignment/>
    </xf>
    <xf numFmtId="0" fontId="0" fillId="0" borderId="22" xfId="0" applyBorder="1" applyAlignment="1" applyProtection="1">
      <alignment/>
      <protection/>
    </xf>
    <xf numFmtId="0" fontId="0" fillId="0" borderId="19" xfId="0" applyBorder="1" applyAlignment="1" applyProtection="1">
      <alignment/>
      <protection/>
    </xf>
    <xf numFmtId="0" fontId="0" fillId="3" borderId="2" xfId="0" applyFill="1" applyBorder="1" applyAlignment="1" applyProtection="1">
      <alignment/>
      <protection/>
    </xf>
    <xf numFmtId="0" fontId="0" fillId="3" borderId="13" xfId="0" applyFill="1" applyBorder="1" applyAlignment="1" applyProtection="1">
      <alignment/>
      <protection/>
    </xf>
    <xf numFmtId="0" fontId="0" fillId="0" borderId="19" xfId="0" applyFont="1" applyFill="1" applyBorder="1" applyAlignment="1">
      <alignment horizontal="center"/>
    </xf>
    <xf numFmtId="0" fontId="0" fillId="0" borderId="19" xfId="0" applyFont="1" applyFill="1" applyBorder="1" applyAlignment="1">
      <alignment horizontal="left"/>
    </xf>
    <xf numFmtId="0" fontId="3" fillId="0" borderId="15" xfId="0" applyFont="1" applyBorder="1" applyAlignment="1">
      <alignment/>
    </xf>
    <xf numFmtId="0" fontId="0" fillId="0" borderId="16" xfId="0" applyBorder="1" applyAlignment="1">
      <alignment/>
    </xf>
    <xf numFmtId="0" fontId="0" fillId="0" borderId="23" xfId="0" applyBorder="1" applyAlignment="1">
      <alignment horizontal="right"/>
    </xf>
    <xf numFmtId="0" fontId="1" fillId="0" borderId="0" xfId="0" applyFont="1" applyBorder="1" applyAlignment="1">
      <alignment horizontal="right" vertical="top"/>
    </xf>
    <xf numFmtId="0" fontId="4" fillId="0" borderId="0" xfId="21" applyFont="1" applyFill="1" applyAlignment="1" applyProtection="1">
      <alignment horizontal="center"/>
      <protection/>
    </xf>
    <xf numFmtId="0" fontId="5" fillId="0" borderId="0" xfId="21" applyFont="1" applyAlignment="1" applyProtection="1">
      <alignment horizontal="center"/>
      <protection/>
    </xf>
    <xf numFmtId="186" fontId="4" fillId="0" borderId="0" xfId="21" applyNumberFormat="1" applyFont="1" applyFill="1" applyAlignment="1" applyProtection="1">
      <alignment horizontal="center"/>
      <protection/>
    </xf>
    <xf numFmtId="0" fontId="11" fillId="0" borderId="0" xfId="0" applyFont="1" applyBorder="1" applyAlignment="1">
      <alignment horizontal="right"/>
    </xf>
    <xf numFmtId="0" fontId="11" fillId="0" borderId="0" xfId="0" applyFont="1" applyAlignment="1">
      <alignment horizontal="right"/>
    </xf>
    <xf numFmtId="0" fontId="0" fillId="0" borderId="0" xfId="0" applyAlignment="1" applyProtection="1">
      <alignment/>
      <protection/>
    </xf>
    <xf numFmtId="0" fontId="3" fillId="0" borderId="0" xfId="0" applyFont="1" applyBorder="1" applyAlignment="1" applyProtection="1">
      <alignment horizontal="center"/>
      <protection/>
    </xf>
    <xf numFmtId="0" fontId="0" fillId="0" borderId="0" xfId="0" applyBorder="1" applyAlignment="1" applyProtection="1">
      <alignment horizontal="center"/>
      <protection/>
    </xf>
    <xf numFmtId="171"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171" fontId="0" fillId="0" borderId="0" xfId="0" applyNumberFormat="1" applyFill="1" applyBorder="1" applyAlignment="1" applyProtection="1">
      <alignment/>
      <protection/>
    </xf>
    <xf numFmtId="171" fontId="0" fillId="0" borderId="0" xfId="0" applyNumberFormat="1" applyBorder="1" applyAlignment="1" applyProtection="1">
      <alignment/>
      <protection/>
    </xf>
    <xf numFmtId="171" fontId="1" fillId="0" borderId="0" xfId="0" applyNumberFormat="1" applyFont="1" applyBorder="1" applyAlignment="1" applyProtection="1">
      <alignment/>
      <protection/>
    </xf>
    <xf numFmtId="0" fontId="0" fillId="0" borderId="0" xfId="0" applyAlignment="1" applyProtection="1">
      <alignment/>
      <protection/>
    </xf>
    <xf numFmtId="0" fontId="0" fillId="0" borderId="24" xfId="0" applyFill="1" applyBorder="1" applyAlignment="1" applyProtection="1">
      <alignment horizontal="left"/>
      <protection/>
    </xf>
    <xf numFmtId="0" fontId="1" fillId="0" borderId="11" xfId="0" applyFont="1" applyBorder="1" applyAlignment="1" applyProtection="1">
      <alignment horizontal="left"/>
      <protection/>
    </xf>
    <xf numFmtId="171" fontId="0" fillId="0" borderId="3" xfId="0" applyNumberFormat="1" applyFill="1" applyBorder="1" applyAlignment="1" applyProtection="1">
      <alignment/>
      <protection/>
    </xf>
    <xf numFmtId="171" fontId="0" fillId="0" borderId="12" xfId="0" applyNumberFormat="1" applyFill="1" applyBorder="1" applyAlignment="1" applyProtection="1">
      <alignment/>
      <protection/>
    </xf>
    <xf numFmtId="0" fontId="1" fillId="0" borderId="0" xfId="0" applyFont="1" applyBorder="1" applyAlignment="1" applyProtection="1">
      <alignment horizontal="left"/>
      <protection/>
    </xf>
    <xf numFmtId="0" fontId="0" fillId="0" borderId="19" xfId="0" applyBorder="1" applyAlignment="1" applyProtection="1">
      <alignment horizontal="center"/>
      <protection/>
    </xf>
    <xf numFmtId="0" fontId="0" fillId="0" borderId="11" xfId="0" applyBorder="1" applyAlignment="1" applyProtection="1">
      <alignment horizontal="left"/>
      <protection/>
    </xf>
    <xf numFmtId="0" fontId="0" fillId="0" borderId="11" xfId="0" applyBorder="1" applyAlignment="1" applyProtection="1">
      <alignment horizontal="center"/>
      <protection/>
    </xf>
    <xf numFmtId="0" fontId="0" fillId="0" borderId="0" xfId="0" applyFont="1" applyBorder="1" applyAlignment="1">
      <alignment horizontal="left" vertical="center"/>
    </xf>
    <xf numFmtId="0" fontId="1" fillId="0" borderId="0" xfId="0" applyFont="1" applyBorder="1" applyAlignment="1">
      <alignment horizontal="left" vertical="center"/>
    </xf>
    <xf numFmtId="0" fontId="26"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xf>
    <xf numFmtId="0" fontId="1" fillId="0" borderId="17" xfId="0" applyFont="1" applyBorder="1" applyAlignment="1">
      <alignment horizontal="center"/>
    </xf>
    <xf numFmtId="0" fontId="27" fillId="0" borderId="18" xfId="0" applyFont="1" applyBorder="1" applyAlignment="1">
      <alignment horizontal="left" wrapText="1"/>
    </xf>
    <xf numFmtId="0" fontId="0" fillId="0" borderId="18" xfId="0" applyFont="1" applyBorder="1" applyAlignment="1">
      <alignment horizontal="left" wrapText="1" indent="1"/>
    </xf>
    <xf numFmtId="0" fontId="0" fillId="0" borderId="18" xfId="0" applyFont="1" applyBorder="1" applyAlignment="1">
      <alignment horizontal="left" vertical="top" wrapText="1" indent="1"/>
    </xf>
    <xf numFmtId="0" fontId="0" fillId="0" borderId="18" xfId="0" applyFont="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1" fillId="0" borderId="0" xfId="0" applyFont="1" applyBorder="1" applyAlignment="1">
      <alignment horizontal="center"/>
    </xf>
    <xf numFmtId="0" fontId="27"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left" vertical="top" wrapText="1" indent="2"/>
    </xf>
    <xf numFmtId="0" fontId="0" fillId="0" borderId="2" xfId="0" applyFont="1" applyBorder="1" applyAlignment="1">
      <alignment/>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26" fillId="0" borderId="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wrapText="1" indent="2"/>
    </xf>
    <xf numFmtId="0" fontId="0" fillId="0" borderId="0" xfId="0" applyFont="1" applyBorder="1" applyAlignment="1">
      <alignment vertical="top" wrapText="1"/>
    </xf>
    <xf numFmtId="0" fontId="1" fillId="0" borderId="0" xfId="0" applyFont="1" applyBorder="1" applyAlignment="1">
      <alignment horizontal="center" vertical="top" wrapText="1"/>
    </xf>
    <xf numFmtId="0" fontId="27" fillId="0" borderId="0" xfId="0" applyFont="1" applyBorder="1" applyAlignment="1">
      <alignment horizontal="left" vertical="top" wrapText="1"/>
    </xf>
    <xf numFmtId="0" fontId="0" fillId="0" borderId="0" xfId="0" applyFont="1" applyBorder="1" applyAlignment="1">
      <alignment horizontal="left" vertical="top" wrapText="1" indent="1"/>
    </xf>
    <xf numFmtId="0" fontId="3" fillId="0" borderId="0" xfId="0" applyFont="1" applyAlignment="1">
      <alignment/>
    </xf>
    <xf numFmtId="0" fontId="1" fillId="0" borderId="0" xfId="0" applyFont="1" applyAlignment="1">
      <alignment horizontal="right"/>
    </xf>
    <xf numFmtId="0" fontId="0" fillId="0" borderId="0" xfId="0" applyFill="1" applyAlignment="1" applyProtection="1">
      <alignment horizontal="left" vertical="top"/>
      <protection locked="0"/>
    </xf>
    <xf numFmtId="0" fontId="0" fillId="0" borderId="0" xfId="0" applyAlignment="1">
      <alignment horizontal="left"/>
    </xf>
    <xf numFmtId="0" fontId="1" fillId="0" borderId="0" xfId="0" applyFont="1" applyAlignment="1">
      <alignment horizontal="center"/>
    </xf>
    <xf numFmtId="0" fontId="0" fillId="0" borderId="0" xfId="0" applyAlignment="1" applyProtection="1">
      <alignment/>
      <protection locked="0"/>
    </xf>
    <xf numFmtId="0" fontId="1" fillId="0" borderId="0" xfId="0" applyFont="1" applyAlignment="1" quotePrefix="1">
      <alignment horizontal="centerContinuous"/>
    </xf>
    <xf numFmtId="0" fontId="0" fillId="0" borderId="0" xfId="0" applyAlignment="1">
      <alignment horizontal="centerContinuous"/>
    </xf>
    <xf numFmtId="0" fontId="0" fillId="0" borderId="0" xfId="0" applyFill="1" applyAlignment="1">
      <alignment horizontal="center"/>
    </xf>
    <xf numFmtId="0" fontId="1" fillId="0" borderId="0" xfId="0" applyFont="1" applyFill="1" applyAlignment="1">
      <alignment horizontal="left" vertical="top" wrapText="1"/>
    </xf>
    <xf numFmtId="0" fontId="3" fillId="0" borderId="0" xfId="0" applyFont="1" applyFill="1" applyBorder="1" applyAlignment="1">
      <alignment horizontal="center" vertical="center"/>
    </xf>
    <xf numFmtId="0" fontId="2" fillId="0" borderId="0" xfId="0" applyFont="1" applyBorder="1" applyAlignment="1">
      <alignment horizontal="center"/>
    </xf>
    <xf numFmtId="177" fontId="2" fillId="0" borderId="3" xfId="0" applyNumberFormat="1" applyFont="1" applyFill="1" applyBorder="1" applyAlignment="1" applyProtection="1">
      <alignment/>
      <protection/>
    </xf>
    <xf numFmtId="0" fontId="2" fillId="0" borderId="0" xfId="0" applyFont="1" applyFill="1" applyAlignment="1">
      <alignment horizontal="center"/>
    </xf>
    <xf numFmtId="0" fontId="2" fillId="0" borderId="0" xfId="0" applyFont="1" applyAlignment="1" quotePrefix="1">
      <alignment horizontal="center"/>
    </xf>
    <xf numFmtId="0" fontId="2" fillId="0" borderId="0" xfId="0" applyFont="1" applyBorder="1" applyAlignment="1">
      <alignment/>
    </xf>
    <xf numFmtId="0" fontId="0" fillId="0" borderId="0" xfId="0" applyFont="1" applyBorder="1" applyAlignment="1">
      <alignment horizont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4" borderId="18" xfId="0" applyFont="1" applyFill="1" applyBorder="1" applyAlignment="1">
      <alignment horizontal="left" vertical="top" wrapText="1" indent="2"/>
    </xf>
    <xf numFmtId="0" fontId="0" fillId="4" borderId="18" xfId="0" applyFont="1" applyFill="1" applyBorder="1" applyAlignment="1">
      <alignment wrapText="1"/>
    </xf>
    <xf numFmtId="0" fontId="0" fillId="4" borderId="18" xfId="0" applyFont="1" applyFill="1" applyBorder="1" applyAlignment="1">
      <alignment horizontal="left" wrapText="1" indent="2"/>
    </xf>
    <xf numFmtId="0" fontId="0" fillId="0" borderId="0" xfId="0" applyFont="1" applyBorder="1" applyAlignment="1">
      <alignment horizontal="left"/>
    </xf>
    <xf numFmtId="0" fontId="0" fillId="4" borderId="0" xfId="0" applyFont="1" applyFill="1" applyBorder="1" applyAlignment="1">
      <alignment horizontal="center"/>
    </xf>
    <xf numFmtId="0" fontId="0" fillId="0" borderId="25" xfId="0" applyBorder="1" applyAlignment="1">
      <alignment/>
    </xf>
    <xf numFmtId="0" fontId="0" fillId="0" borderId="0" xfId="0" applyBorder="1" applyAlignment="1" quotePrefix="1">
      <alignment horizontal="center"/>
    </xf>
    <xf numFmtId="0" fontId="1" fillId="0" borderId="8" xfId="0" applyFont="1" applyBorder="1" applyAlignment="1">
      <alignment horizontal="center"/>
    </xf>
    <xf numFmtId="0" fontId="1" fillId="0" borderId="0" xfId="0" applyFont="1" applyFill="1" applyBorder="1" applyAlignment="1">
      <alignment horizontal="center"/>
    </xf>
    <xf numFmtId="0" fontId="0" fillId="0" borderId="26" xfId="0" applyBorder="1" applyAlignment="1">
      <alignment/>
    </xf>
    <xf numFmtId="0" fontId="30" fillId="0" borderId="0" xfId="0" applyFont="1" applyBorder="1" applyAlignment="1">
      <alignment horizontal="center"/>
    </xf>
    <xf numFmtId="0" fontId="0" fillId="0" borderId="0" xfId="0" applyFill="1" applyBorder="1" applyAlignment="1" quotePrefix="1">
      <alignment horizontal="left"/>
    </xf>
    <xf numFmtId="0" fontId="0" fillId="0" borderId="0" xfId="0" applyFill="1" applyBorder="1" applyAlignment="1">
      <alignment horizontal="left"/>
    </xf>
    <xf numFmtId="0" fontId="0" fillId="0" borderId="0" xfId="0" applyNumberFormat="1" applyBorder="1" applyAlignment="1">
      <alignment horizontal="center"/>
    </xf>
    <xf numFmtId="0" fontId="0" fillId="0" borderId="0" xfId="0" applyNumberFormat="1" applyFill="1" applyBorder="1" applyAlignment="1">
      <alignment horizontal="left"/>
    </xf>
    <xf numFmtId="0" fontId="0" fillId="0" borderId="0" xfId="0" applyFill="1" applyBorder="1" applyAlignment="1">
      <alignment horizontal="left" vertical="top"/>
    </xf>
    <xf numFmtId="0" fontId="0" fillId="0" borderId="1" xfId="0" applyBorder="1" applyAlignment="1">
      <alignment horizontal="centerContinuous"/>
    </xf>
    <xf numFmtId="0" fontId="2" fillId="0" borderId="0" xfId="0" applyFont="1" applyAlignment="1">
      <alignment horizontal="right"/>
    </xf>
    <xf numFmtId="0" fontId="2" fillId="0" borderId="0" xfId="0" applyFont="1" applyAlignment="1">
      <alignment/>
    </xf>
    <xf numFmtId="0" fontId="1" fillId="0" borderId="19" xfId="0" applyFont="1" applyBorder="1" applyAlignment="1">
      <alignment horizontal="right"/>
    </xf>
    <xf numFmtId="0" fontId="1" fillId="0" borderId="0" xfId="0" applyFont="1" applyBorder="1" applyAlignment="1">
      <alignment horizontal="left" vertical="top" wrapText="1"/>
    </xf>
    <xf numFmtId="0" fontId="0" fillId="0" borderId="0" xfId="0" applyAlignment="1">
      <alignment vertical="top" wrapText="1"/>
    </xf>
    <xf numFmtId="0" fontId="2" fillId="0" borderId="0" xfId="22" applyAlignment="1" applyProtection="1">
      <alignment horizontal="left"/>
      <protection/>
    </xf>
    <xf numFmtId="0" fontId="1" fillId="0" borderId="0" xfId="0" applyFont="1" applyBorder="1" applyAlignment="1">
      <alignment horizontal="right" vertical="top" wrapText="1"/>
    </xf>
    <xf numFmtId="0" fontId="11" fillId="0" borderId="0" xfId="0" applyFont="1" applyAlignment="1">
      <alignment/>
    </xf>
    <xf numFmtId="0" fontId="2" fillId="0" borderId="0" xfId="22" applyFont="1" applyAlignment="1">
      <alignment horizontal="left"/>
      <protection/>
    </xf>
    <xf numFmtId="0" fontId="1" fillId="0" borderId="0" xfId="0" applyFont="1" applyBorder="1" applyAlignment="1">
      <alignment horizontal="left"/>
    </xf>
    <xf numFmtId="171" fontId="1" fillId="3" borderId="7" xfId="0" applyNumberFormat="1" applyFont="1" applyFill="1" applyBorder="1" applyAlignment="1">
      <alignment/>
    </xf>
    <xf numFmtId="0" fontId="0" fillId="3" borderId="7" xfId="0" applyFill="1" applyBorder="1" applyAlignment="1">
      <alignment/>
    </xf>
    <xf numFmtId="0" fontId="0" fillId="0" borderId="0" xfId="0" applyBorder="1" applyAlignment="1" applyProtection="1">
      <alignment horizontal="right"/>
      <protection/>
    </xf>
    <xf numFmtId="0" fontId="0" fillId="0" borderId="10" xfId="0" applyFont="1" applyBorder="1" applyAlignment="1">
      <alignment horizontal="right"/>
    </xf>
    <xf numFmtId="171" fontId="1" fillId="3" borderId="0" xfId="0" applyNumberFormat="1" applyFont="1" applyFill="1" applyBorder="1" applyAlignment="1" applyProtection="1">
      <alignment/>
      <protection hidden="1"/>
    </xf>
    <xf numFmtId="0" fontId="0" fillId="0" borderId="0" xfId="0" applyFont="1" applyFill="1" applyBorder="1" applyAlignment="1">
      <alignment wrapText="1"/>
    </xf>
    <xf numFmtId="0" fontId="0" fillId="0" borderId="0" xfId="0" applyFont="1" applyFill="1" applyBorder="1" applyAlignment="1">
      <alignment/>
    </xf>
    <xf numFmtId="0" fontId="0" fillId="0" borderId="3" xfId="22" applyFont="1" applyBorder="1">
      <alignment/>
      <protection/>
    </xf>
    <xf numFmtId="0" fontId="1" fillId="0" borderId="8" xfId="0" applyFont="1" applyBorder="1" applyAlignment="1" applyProtection="1">
      <alignment/>
      <protection/>
    </xf>
    <xf numFmtId="0" fontId="0" fillId="0" borderId="0" xfId="0" applyBorder="1" applyAlignment="1">
      <alignment vertical="top" wrapText="1"/>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 fillId="5" borderId="27"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0" borderId="27" xfId="0" applyFont="1" applyBorder="1" applyAlignment="1">
      <alignment/>
    </xf>
    <xf numFmtId="0" fontId="2" fillId="0" borderId="3" xfId="0" applyFont="1" applyBorder="1" applyAlignment="1">
      <alignment/>
    </xf>
    <xf numFmtId="0" fontId="2" fillId="0" borderId="12" xfId="0" applyFont="1" applyBorder="1" applyAlignment="1">
      <alignment/>
    </xf>
    <xf numFmtId="0" fontId="2" fillId="0" borderId="1" xfId="0" applyFont="1" applyBorder="1" applyAlignment="1">
      <alignment/>
    </xf>
    <xf numFmtId="0" fontId="3" fillId="0" borderId="0" xfId="0" applyFont="1" applyFill="1" applyBorder="1" applyAlignment="1">
      <alignment horizontal="right"/>
    </xf>
    <xf numFmtId="0" fontId="0" fillId="0" borderId="0" xfId="0" applyFont="1" applyAlignment="1">
      <alignment horizontal="left"/>
    </xf>
    <xf numFmtId="0" fontId="0" fillId="0" borderId="0" xfId="22" applyFont="1" applyAlignment="1" applyProtection="1">
      <alignment horizontal="left"/>
      <protection/>
    </xf>
    <xf numFmtId="0" fontId="0" fillId="0" borderId="0" xfId="22" applyFont="1" applyAlignment="1">
      <alignment horizontal="left"/>
      <protection/>
    </xf>
    <xf numFmtId="166" fontId="0" fillId="0" borderId="0" xfId="22" applyNumberFormat="1" applyFont="1" applyAlignment="1" applyProtection="1">
      <alignment horizontal="left"/>
      <protection/>
    </xf>
    <xf numFmtId="0" fontId="0" fillId="0" borderId="0" xfId="22" applyNumberFormat="1" applyFont="1">
      <alignment/>
      <protection/>
    </xf>
    <xf numFmtId="0" fontId="0" fillId="0" borderId="28" xfId="0" applyBorder="1" applyAlignment="1">
      <alignment/>
    </xf>
    <xf numFmtId="0" fontId="2" fillId="0" borderId="0" xfId="0" applyFont="1" applyAlignment="1" applyProtection="1">
      <alignment/>
      <protection/>
    </xf>
    <xf numFmtId="0" fontId="0" fillId="0" borderId="0" xfId="0" applyAlignment="1" quotePrefix="1">
      <alignment/>
    </xf>
    <xf numFmtId="0" fontId="3" fillId="0" borderId="29" xfId="0" applyFont="1" applyFill="1" applyBorder="1" applyAlignment="1">
      <alignment horizontal="center"/>
    </xf>
    <xf numFmtId="0" fontId="3" fillId="0" borderId="27" xfId="0" applyFont="1" applyFill="1" applyBorder="1" applyAlignment="1">
      <alignment horizontal="center"/>
    </xf>
    <xf numFmtId="167" fontId="4" fillId="0" borderId="0" xfId="22" applyNumberFormat="1" applyFont="1" applyAlignment="1" applyProtection="1">
      <alignment horizontal="center"/>
      <protection/>
    </xf>
    <xf numFmtId="167" fontId="4" fillId="0" borderId="0" xfId="21" applyNumberFormat="1" applyFont="1" applyFill="1" applyAlignment="1" applyProtection="1">
      <alignment horizontal="center"/>
      <protection/>
    </xf>
    <xf numFmtId="166" fontId="4" fillId="0" borderId="0" xfId="21" applyNumberFormat="1" applyFont="1" applyFill="1" applyAlignment="1" applyProtection="1">
      <alignment horizontal="center"/>
      <protection/>
    </xf>
    <xf numFmtId="167" fontId="4" fillId="0" borderId="0" xfId="21" applyNumberFormat="1" applyFont="1" applyFill="1" applyBorder="1" applyAlignment="1" applyProtection="1">
      <alignment horizontal="center"/>
      <protection/>
    </xf>
    <xf numFmtId="37" fontId="4" fillId="0" borderId="0" xfId="21" applyNumberFormat="1" applyFont="1" applyFill="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4" fillId="0" borderId="0" xfId="22" applyFont="1" applyFill="1" applyAlignment="1" applyProtection="1">
      <alignment horizontal="center"/>
      <protection/>
    </xf>
    <xf numFmtId="0" fontId="2" fillId="0" borderId="0" xfId="22" applyFont="1" applyBorder="1" applyAlignment="1" applyProtection="1">
      <alignment horizontal="left"/>
      <protection/>
    </xf>
    <xf numFmtId="171" fontId="2" fillId="0" borderId="0" xfId="0" applyNumberFormat="1" applyFont="1" applyFill="1" applyBorder="1" applyAlignment="1">
      <alignment/>
    </xf>
    <xf numFmtId="0" fontId="3" fillId="0" borderId="0" xfId="0" applyFont="1" applyBorder="1" applyAlignment="1">
      <alignment horizontal="right"/>
    </xf>
    <xf numFmtId="0" fontId="3" fillId="0" borderId="30" xfId="0" applyFont="1" applyBorder="1" applyAlignment="1">
      <alignment horizontal="center"/>
    </xf>
    <xf numFmtId="0" fontId="3" fillId="0" borderId="0" xfId="0" applyFont="1" applyFill="1" applyBorder="1" applyAlignment="1">
      <alignment horizontal="left"/>
    </xf>
    <xf numFmtId="1" fontId="2" fillId="0" borderId="0" xfId="21" applyNumberFormat="1" applyProtection="1">
      <alignment/>
      <protection/>
    </xf>
    <xf numFmtId="0" fontId="3" fillId="0" borderId="20" xfId="0" applyFont="1" applyBorder="1" applyAlignment="1" applyProtection="1">
      <alignment horizontal="left"/>
      <protection/>
    </xf>
    <xf numFmtId="0" fontId="0" fillId="3" borderId="11" xfId="0" applyFill="1" applyBorder="1" applyAlignment="1">
      <alignment/>
    </xf>
    <xf numFmtId="171" fontId="0" fillId="0" borderId="2" xfId="0" applyNumberFormat="1" applyFill="1" applyBorder="1" applyAlignment="1" applyProtection="1">
      <alignment/>
      <protection/>
    </xf>
    <xf numFmtId="171" fontId="0" fillId="0" borderId="13" xfId="0" applyNumberFormat="1" applyFill="1" applyBorder="1" applyAlignment="1" applyProtection="1">
      <alignment/>
      <protection/>
    </xf>
    <xf numFmtId="0" fontId="3" fillId="0" borderId="23"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2" fontId="0" fillId="0" borderId="7" xfId="0" applyNumberFormat="1" applyFill="1" applyBorder="1" applyAlignment="1" applyProtection="1">
      <alignment/>
      <protection/>
    </xf>
    <xf numFmtId="2" fontId="0" fillId="3" borderId="7" xfId="0" applyNumberFormat="1" applyFill="1" applyBorder="1" applyAlignment="1">
      <alignment/>
    </xf>
    <xf numFmtId="0" fontId="1" fillId="0" borderId="19" xfId="0" applyFont="1" applyBorder="1" applyAlignment="1" applyProtection="1">
      <alignment horizontal="left"/>
      <protection/>
    </xf>
    <xf numFmtId="0" fontId="1" fillId="3" borderId="11" xfId="0" applyFont="1" applyFill="1" applyBorder="1" applyAlignment="1">
      <alignment horizontal="left"/>
    </xf>
    <xf numFmtId="171" fontId="1" fillId="3" borderId="23" xfId="0" applyNumberFormat="1" applyFont="1" applyFill="1" applyBorder="1" applyAlignment="1" applyProtection="1">
      <alignment/>
      <protection hidden="1"/>
    </xf>
    <xf numFmtId="2" fontId="0" fillId="3" borderId="31" xfId="0" applyNumberFormat="1" applyFill="1" applyBorder="1" applyAlignment="1">
      <alignment/>
    </xf>
    <xf numFmtId="0" fontId="0" fillId="3" borderId="32" xfId="0" applyFill="1" applyBorder="1" applyAlignment="1">
      <alignment/>
    </xf>
    <xf numFmtId="0" fontId="0" fillId="3" borderId="31" xfId="0" applyFill="1" applyBorder="1" applyAlignment="1">
      <alignment/>
    </xf>
    <xf numFmtId="171" fontId="1" fillId="3" borderId="31" xfId="0" applyNumberFormat="1" applyFont="1" applyFill="1" applyBorder="1" applyAlignment="1">
      <alignment/>
    </xf>
    <xf numFmtId="0" fontId="3" fillId="2" borderId="3" xfId="0" applyFont="1" applyFill="1" applyBorder="1" applyAlignment="1" applyProtection="1">
      <alignment horizontal="center"/>
      <protection locked="0"/>
    </xf>
    <xf numFmtId="0" fontId="2" fillId="0" borderId="24" xfId="0" applyFont="1" applyFill="1" applyBorder="1" applyAlignment="1" applyProtection="1">
      <alignment horizontal="left"/>
      <protection/>
    </xf>
    <xf numFmtId="0" fontId="1" fillId="3" borderId="20" xfId="0" applyFont="1" applyFill="1" applyBorder="1" applyAlignment="1" applyProtection="1">
      <alignment horizontal="left"/>
      <protection/>
    </xf>
    <xf numFmtId="0" fontId="1" fillId="3" borderId="11" xfId="0" applyFont="1" applyFill="1" applyBorder="1" applyAlignment="1" applyProtection="1">
      <alignment horizontal="left"/>
      <protection/>
    </xf>
    <xf numFmtId="0" fontId="0" fillId="3" borderId="11" xfId="0" applyFill="1" applyBorder="1" applyAlignment="1" applyProtection="1">
      <alignment/>
      <protection/>
    </xf>
    <xf numFmtId="171" fontId="0" fillId="3" borderId="0" xfId="0" applyNumberFormat="1" applyFill="1" applyBorder="1" applyAlignment="1" applyProtection="1">
      <alignment/>
      <protection/>
    </xf>
    <xf numFmtId="171" fontId="0" fillId="3" borderId="7" xfId="0" applyNumberFormat="1" applyFill="1" applyBorder="1" applyAlignment="1" applyProtection="1">
      <alignment/>
      <protection/>
    </xf>
    <xf numFmtId="0" fontId="0" fillId="3" borderId="33" xfId="0" applyFill="1" applyBorder="1" applyAlignment="1" applyProtection="1">
      <alignment/>
      <protection/>
    </xf>
    <xf numFmtId="0" fontId="0" fillId="3" borderId="32" xfId="0" applyFill="1" applyBorder="1" applyAlignment="1" applyProtection="1">
      <alignment/>
      <protection/>
    </xf>
    <xf numFmtId="171" fontId="1" fillId="3" borderId="34" xfId="0" applyNumberFormat="1" applyFont="1" applyFill="1" applyBorder="1" applyAlignment="1">
      <alignment/>
    </xf>
    <xf numFmtId="0" fontId="0" fillId="3" borderId="33" xfId="0" applyFill="1" applyBorder="1" applyAlignment="1">
      <alignment/>
    </xf>
    <xf numFmtId="0" fontId="3" fillId="0" borderId="8" xfId="0" applyFont="1" applyBorder="1" applyAlignment="1" applyProtection="1">
      <alignment/>
      <protection/>
    </xf>
    <xf numFmtId="171" fontId="0" fillId="0" borderId="17" xfId="0" applyNumberFormat="1" applyFill="1" applyBorder="1" applyAlignment="1">
      <alignment/>
    </xf>
    <xf numFmtId="171" fontId="0" fillId="0" borderId="21" xfId="0" applyNumberFormat="1" applyFill="1" applyBorder="1" applyAlignment="1">
      <alignment/>
    </xf>
    <xf numFmtId="171" fontId="1" fillId="3" borderId="31" xfId="0" applyNumberFormat="1" applyFont="1" applyFill="1" applyBorder="1" applyAlignment="1" applyProtection="1">
      <alignment/>
      <protection hidden="1"/>
    </xf>
    <xf numFmtId="0" fontId="0" fillId="3" borderId="8" xfId="0" applyFill="1" applyBorder="1" applyAlignment="1" applyProtection="1">
      <alignment/>
      <protection/>
    </xf>
    <xf numFmtId="0" fontId="1" fillId="3" borderId="0"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0" fillId="3" borderId="23" xfId="0" applyFill="1" applyBorder="1" applyAlignment="1" applyProtection="1">
      <alignment/>
      <protection/>
    </xf>
    <xf numFmtId="0" fontId="0" fillId="0" borderId="19" xfId="0" applyBorder="1" applyAlignment="1">
      <alignment horizontal="right"/>
    </xf>
    <xf numFmtId="0" fontId="0" fillId="0" borderId="11" xfId="0" applyFill="1" applyBorder="1" applyAlignment="1">
      <alignment/>
    </xf>
    <xf numFmtId="171" fontId="1" fillId="0" borderId="35" xfId="0" applyNumberFormat="1" applyFont="1" applyFill="1" applyBorder="1" applyAlignment="1">
      <alignment horizontal="right"/>
    </xf>
    <xf numFmtId="171" fontId="1" fillId="0" borderId="35" xfId="0" applyNumberFormat="1" applyFont="1" applyFill="1" applyBorder="1" applyAlignment="1">
      <alignment/>
    </xf>
    <xf numFmtId="171" fontId="1" fillId="0" borderId="36" xfId="0" applyNumberFormat="1" applyFont="1" applyFill="1" applyBorder="1" applyAlignment="1">
      <alignment/>
    </xf>
    <xf numFmtId="0" fontId="0" fillId="3" borderId="20" xfId="0" applyFill="1" applyBorder="1" applyAlignment="1" applyProtection="1">
      <alignment/>
      <protection/>
    </xf>
    <xf numFmtId="0" fontId="0" fillId="3" borderId="20" xfId="0" applyFill="1" applyBorder="1" applyAlignment="1">
      <alignment/>
    </xf>
    <xf numFmtId="0" fontId="3" fillId="3" borderId="11" xfId="0" applyFont="1" applyFill="1" applyBorder="1" applyAlignment="1" applyProtection="1">
      <alignment horizontal="left" vertical="center"/>
      <protection/>
    </xf>
    <xf numFmtId="0" fontId="3" fillId="0" borderId="8" xfId="0" applyFont="1" applyBorder="1" applyAlignment="1">
      <alignment/>
    </xf>
    <xf numFmtId="0" fontId="3" fillId="0" borderId="8" xfId="0" applyFont="1" applyFill="1" applyBorder="1" applyAlignment="1" applyProtection="1">
      <alignment horizontal="left"/>
      <protection/>
    </xf>
    <xf numFmtId="0" fontId="1" fillId="0" borderId="6" xfId="0" applyFont="1" applyBorder="1" applyAlignment="1">
      <alignment horizontal="right"/>
    </xf>
    <xf numFmtId="0" fontId="0" fillId="3" borderId="31" xfId="0" applyFill="1" applyBorder="1" applyAlignment="1" applyProtection="1">
      <alignment horizontal="right"/>
      <protection/>
    </xf>
    <xf numFmtId="0" fontId="0" fillId="3" borderId="32" xfId="0" applyFill="1" applyBorder="1" applyAlignment="1" applyProtection="1">
      <alignment horizontal="right"/>
      <protection/>
    </xf>
    <xf numFmtId="0" fontId="0" fillId="3" borderId="7" xfId="0" applyFill="1" applyBorder="1" applyAlignment="1" applyProtection="1">
      <alignment/>
      <protection/>
    </xf>
    <xf numFmtId="0" fontId="1" fillId="0" borderId="2" xfId="0" applyFont="1" applyBorder="1" applyAlignment="1">
      <alignment horizontal="center"/>
    </xf>
    <xf numFmtId="0" fontId="0" fillId="3" borderId="37" xfId="0" applyFill="1" applyBorder="1" applyAlignment="1">
      <alignment/>
    </xf>
    <xf numFmtId="0" fontId="0" fillId="3" borderId="38" xfId="0" applyFill="1" applyBorder="1" applyAlignment="1">
      <alignment/>
    </xf>
    <xf numFmtId="0" fontId="0" fillId="3" borderId="2" xfId="0" applyFill="1" applyBorder="1" applyAlignment="1">
      <alignment/>
    </xf>
    <xf numFmtId="0" fontId="0" fillId="3" borderId="13" xfId="0" applyFill="1" applyBorder="1" applyAlignment="1">
      <alignment/>
    </xf>
    <xf numFmtId="0" fontId="0" fillId="3" borderId="39" xfId="0" applyFill="1" applyBorder="1" applyAlignment="1" applyProtection="1">
      <alignment horizontal="right"/>
      <protection/>
    </xf>
    <xf numFmtId="0" fontId="0" fillId="3" borderId="13" xfId="0" applyFill="1" applyBorder="1" applyAlignment="1" applyProtection="1">
      <alignment horizontal="right"/>
      <protection/>
    </xf>
    <xf numFmtId="0" fontId="0" fillId="3" borderId="39" xfId="0" applyFill="1" applyBorder="1" applyAlignment="1">
      <alignment/>
    </xf>
    <xf numFmtId="171" fontId="1" fillId="3" borderId="39" xfId="0" applyNumberFormat="1" applyFont="1" applyFill="1" applyBorder="1" applyAlignment="1">
      <alignment/>
    </xf>
    <xf numFmtId="2" fontId="0" fillId="3" borderId="39" xfId="0" applyNumberFormat="1" applyFill="1" applyBorder="1" applyAlignment="1">
      <alignment/>
    </xf>
    <xf numFmtId="171" fontId="0" fillId="3" borderId="40" xfId="0" applyNumberFormat="1" applyFill="1" applyBorder="1" applyAlignment="1" applyProtection="1">
      <alignment/>
      <protection/>
    </xf>
    <xf numFmtId="171" fontId="0" fillId="3" borderId="21" xfId="0" applyNumberFormat="1" applyFill="1" applyBorder="1" applyAlignment="1" applyProtection="1">
      <alignment/>
      <protection/>
    </xf>
    <xf numFmtId="171" fontId="0" fillId="0" borderId="41" xfId="0" applyNumberFormat="1" applyFill="1" applyBorder="1" applyAlignment="1">
      <alignment/>
    </xf>
    <xf numFmtId="171" fontId="0" fillId="0" borderId="33" xfId="0" applyNumberFormat="1" applyFill="1" applyBorder="1" applyAlignment="1" applyProtection="1">
      <alignment/>
      <protection/>
    </xf>
    <xf numFmtId="0" fontId="0" fillId="3" borderId="18" xfId="0" applyFill="1" applyBorder="1" applyAlignment="1" applyProtection="1">
      <alignment/>
      <protection/>
    </xf>
    <xf numFmtId="171" fontId="1" fillId="3" borderId="18" xfId="0" applyNumberFormat="1" applyFont="1" applyFill="1" applyBorder="1" applyAlignment="1" applyProtection="1">
      <alignment/>
      <protection hidden="1"/>
    </xf>
    <xf numFmtId="0" fontId="0" fillId="3" borderId="18" xfId="0" applyFill="1" applyBorder="1" applyAlignment="1">
      <alignment/>
    </xf>
    <xf numFmtId="171" fontId="1" fillId="3" borderId="18" xfId="0" applyNumberFormat="1" applyFont="1" applyFill="1" applyBorder="1" applyAlignment="1">
      <alignment/>
    </xf>
    <xf numFmtId="2" fontId="0" fillId="3" borderId="18" xfId="0" applyNumberFormat="1" applyFill="1" applyBorder="1" applyAlignment="1">
      <alignment/>
    </xf>
    <xf numFmtId="171" fontId="0" fillId="3" borderId="18" xfId="0" applyNumberFormat="1" applyFill="1" applyBorder="1" applyAlignment="1" applyProtection="1">
      <alignment/>
      <protection/>
    </xf>
    <xf numFmtId="171" fontId="0" fillId="3" borderId="2" xfId="0" applyNumberFormat="1" applyFill="1" applyBorder="1" applyAlignment="1" applyProtection="1">
      <alignment/>
      <protection/>
    </xf>
    <xf numFmtId="0" fontId="19" fillId="0" borderId="30" xfId="0" applyFont="1" applyBorder="1" applyAlignment="1">
      <alignment horizontal="center"/>
    </xf>
    <xf numFmtId="0" fontId="0" fillId="3" borderId="39" xfId="0" applyFill="1" applyBorder="1" applyAlignment="1" applyProtection="1">
      <alignment/>
      <protection/>
    </xf>
    <xf numFmtId="0" fontId="0" fillId="3" borderId="11" xfId="0" applyFill="1" applyBorder="1" applyAlignment="1" applyProtection="1">
      <alignment/>
      <protection/>
    </xf>
    <xf numFmtId="171" fontId="0" fillId="3" borderId="39" xfId="0" applyNumberFormat="1" applyFill="1" applyBorder="1" applyAlignment="1" applyProtection="1">
      <alignment/>
      <protection/>
    </xf>
    <xf numFmtId="171" fontId="0" fillId="3" borderId="13" xfId="0" applyNumberFormat="1" applyFill="1" applyBorder="1" applyAlignment="1" applyProtection="1">
      <alignment/>
      <protection/>
    </xf>
    <xf numFmtId="0" fontId="0" fillId="3" borderId="19" xfId="0" applyFill="1" applyBorder="1" applyAlignment="1" applyProtection="1">
      <alignment/>
      <protection/>
    </xf>
    <xf numFmtId="171" fontId="0" fillId="3" borderId="17" xfId="0" applyNumberFormat="1" applyFill="1" applyBorder="1" applyAlignment="1" applyProtection="1">
      <alignment/>
      <protection/>
    </xf>
    <xf numFmtId="0" fontId="3" fillId="0" borderId="42" xfId="0" applyFont="1" applyBorder="1" applyAlignment="1" applyProtection="1">
      <alignment/>
      <protection/>
    </xf>
    <xf numFmtId="0" fontId="0" fillId="0" borderId="23" xfId="0" applyBorder="1" applyAlignment="1">
      <alignment/>
    </xf>
    <xf numFmtId="1" fontId="0" fillId="0" borderId="0" xfId="0" applyNumberFormat="1" applyBorder="1" applyAlignment="1">
      <alignment horizontal="center"/>
    </xf>
    <xf numFmtId="0" fontId="0" fillId="0" borderId="0" xfId="0" applyBorder="1" applyAlignment="1">
      <alignment horizontal="right" vertical="top"/>
    </xf>
    <xf numFmtId="171" fontId="0" fillId="0" borderId="3" xfId="0" applyNumberFormat="1" applyBorder="1" applyAlignment="1">
      <alignment horizontal="center"/>
    </xf>
    <xf numFmtId="171" fontId="0" fillId="0" borderId="3" xfId="0" applyNumberForma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Border="1" applyAlignment="1">
      <alignment horizontal="left"/>
    </xf>
    <xf numFmtId="0" fontId="0" fillId="0" borderId="0" xfId="0" applyFill="1" applyAlignment="1" applyProtection="1">
      <alignment/>
      <protection/>
    </xf>
    <xf numFmtId="171" fontId="1" fillId="0" borderId="3" xfId="0" applyNumberFormat="1" applyFont="1" applyFill="1" applyBorder="1" applyAlignment="1">
      <alignment/>
    </xf>
    <xf numFmtId="0" fontId="1" fillId="3" borderId="20" xfId="0" applyFont="1" applyFill="1" applyBorder="1" applyAlignment="1" applyProtection="1">
      <alignment/>
      <protection/>
    </xf>
    <xf numFmtId="171" fontId="0" fillId="3" borderId="2" xfId="0" applyNumberFormat="1" applyFill="1" applyBorder="1" applyAlignment="1" applyProtection="1">
      <alignment/>
      <protection/>
    </xf>
    <xf numFmtId="0" fontId="2" fillId="0" borderId="11" xfId="0" applyFont="1" applyBorder="1" applyAlignment="1">
      <alignment/>
    </xf>
    <xf numFmtId="171" fontId="1" fillId="0" borderId="12" xfId="0" applyNumberFormat="1" applyFont="1" applyFill="1" applyBorder="1" applyAlignment="1">
      <alignment/>
    </xf>
    <xf numFmtId="171" fontId="0" fillId="3" borderId="13" xfId="0" applyNumberFormat="1" applyFill="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2" fillId="0" borderId="0" xfId="0" applyFont="1" applyFill="1" applyAlignment="1" applyProtection="1">
      <alignment/>
      <protection/>
    </xf>
    <xf numFmtId="0" fontId="3" fillId="0" borderId="29" xfId="0" applyFont="1" applyBorder="1" applyAlignment="1" applyProtection="1">
      <alignment horizontal="center"/>
      <protection/>
    </xf>
    <xf numFmtId="0" fontId="3" fillId="0" borderId="27" xfId="0" applyFont="1" applyBorder="1" applyAlignment="1" applyProtection="1">
      <alignment horizontal="center"/>
      <protection/>
    </xf>
    <xf numFmtId="0" fontId="0" fillId="3" borderId="11" xfId="0" applyFill="1" applyBorder="1" applyAlignment="1" applyProtection="1">
      <alignment horizontal="center"/>
      <protection/>
    </xf>
    <xf numFmtId="2" fontId="0" fillId="3" borderId="40" xfId="0" applyNumberFormat="1" applyFill="1" applyBorder="1" applyAlignment="1" applyProtection="1">
      <alignment/>
      <protection/>
    </xf>
    <xf numFmtId="2" fontId="0" fillId="3" borderId="21" xfId="0" applyNumberFormat="1" applyFill="1" applyBorder="1" applyAlignment="1" applyProtection="1">
      <alignment/>
      <protection/>
    </xf>
    <xf numFmtId="2" fontId="0" fillId="3" borderId="43" xfId="0" applyNumberFormat="1" applyFill="1" applyBorder="1" applyAlignment="1" applyProtection="1">
      <alignment/>
      <protection/>
    </xf>
    <xf numFmtId="2" fontId="0" fillId="3" borderId="34" xfId="0" applyNumberFormat="1" applyFill="1" applyBorder="1" applyAlignment="1" applyProtection="1">
      <alignment/>
      <protection/>
    </xf>
    <xf numFmtId="0" fontId="0" fillId="3" borderId="0" xfId="0" applyFill="1" applyBorder="1" applyAlignment="1" applyProtection="1">
      <alignment/>
      <protection/>
    </xf>
    <xf numFmtId="0" fontId="1" fillId="3" borderId="0" xfId="0" applyFont="1" applyFill="1" applyBorder="1" applyAlignment="1" applyProtection="1">
      <alignment horizontal="right"/>
      <protection/>
    </xf>
    <xf numFmtId="0" fontId="0" fillId="3" borderId="0" xfId="0" applyFill="1" applyBorder="1" applyAlignment="1" applyProtection="1">
      <alignment horizontal="center"/>
      <protection/>
    </xf>
    <xf numFmtId="0" fontId="0" fillId="0" borderId="5" xfId="0" applyBorder="1" applyAlignment="1">
      <alignment horizontal="center"/>
    </xf>
    <xf numFmtId="0" fontId="3" fillId="0" borderId="44" xfId="0" applyFont="1" applyBorder="1" applyAlignment="1">
      <alignment horizontal="center"/>
    </xf>
    <xf numFmtId="0" fontId="0" fillId="0" borderId="0" xfId="0" applyBorder="1" applyAlignment="1">
      <alignment horizontal="left" vertical="top"/>
    </xf>
    <xf numFmtId="0" fontId="2" fillId="0" borderId="0" xfId="0" applyFont="1" applyBorder="1" applyAlignment="1">
      <alignment horizontal="right"/>
    </xf>
    <xf numFmtId="0" fontId="2" fillId="0" borderId="0" xfId="0" applyFont="1" applyAlignment="1">
      <alignment horizontal="left"/>
    </xf>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71" fontId="0" fillId="0" borderId="0" xfId="0" applyNumberFormat="1" applyBorder="1" applyAlignment="1">
      <alignment horizontal="center" vertical="center"/>
    </xf>
    <xf numFmtId="0" fontId="1" fillId="0" borderId="45" xfId="0" applyFont="1" applyBorder="1" applyAlignment="1">
      <alignment horizontal="center" vertical="center"/>
    </xf>
    <xf numFmtId="0" fontId="11" fillId="0" borderId="0" xfId="0" applyFont="1" applyBorder="1" applyAlignment="1">
      <alignment/>
    </xf>
    <xf numFmtId="0" fontId="11" fillId="0" borderId="0" xfId="0" applyFont="1" applyAlignment="1" applyProtection="1">
      <alignment/>
      <protection/>
    </xf>
    <xf numFmtId="0" fontId="11" fillId="0" borderId="7" xfId="0" applyFont="1" applyBorder="1" applyAlignment="1">
      <alignment/>
    </xf>
    <xf numFmtId="171" fontId="3" fillId="2" borderId="3" xfId="0" applyNumberFormat="1" applyFont="1" applyFill="1" applyBorder="1" applyAlignment="1" applyProtection="1">
      <alignment horizontal="center"/>
      <protection locked="0"/>
    </xf>
    <xf numFmtId="171" fontId="3" fillId="2" borderId="2" xfId="0" applyNumberFormat="1" applyFont="1" applyFill="1" applyBorder="1" applyAlignment="1" applyProtection="1">
      <alignment horizontal="center"/>
      <protection locked="0"/>
    </xf>
    <xf numFmtId="0" fontId="1" fillId="0" borderId="0" xfId="0" applyFont="1" applyFill="1" applyAlignment="1" applyProtection="1">
      <alignment horizontal="left"/>
      <protection/>
    </xf>
    <xf numFmtId="178" fontId="0" fillId="0" borderId="0" xfId="0" applyNumberFormat="1" applyAlignment="1" applyProtection="1">
      <alignment horizontal="center"/>
      <protection/>
    </xf>
    <xf numFmtId="0" fontId="0" fillId="0" borderId="0" xfId="0" applyFill="1" applyAlignment="1" applyProtection="1">
      <alignment horizontal="left" vertical="top"/>
      <protection/>
    </xf>
    <xf numFmtId="0" fontId="0" fillId="0" borderId="7" xfId="0" applyFill="1" applyBorder="1" applyAlignment="1">
      <alignment horizontal="left" vertical="top"/>
    </xf>
    <xf numFmtId="0" fontId="0" fillId="0" borderId="23" xfId="0" applyFill="1" applyBorder="1" applyAlignment="1">
      <alignment horizontal="left" vertical="top"/>
    </xf>
    <xf numFmtId="0" fontId="0" fillId="0" borderId="46" xfId="0" applyBorder="1" applyAlignment="1">
      <alignment horizontal="center"/>
    </xf>
    <xf numFmtId="0" fontId="0" fillId="0" borderId="47" xfId="0" applyBorder="1" applyAlignment="1">
      <alignment horizontal="center"/>
    </xf>
    <xf numFmtId="44" fontId="2" fillId="5" borderId="2" xfId="17" applyFont="1" applyFill="1" applyBorder="1" applyAlignment="1" applyProtection="1">
      <alignment/>
      <protection locked="0"/>
    </xf>
    <xf numFmtId="44" fontId="2" fillId="5" borderId="3" xfId="17" applyFont="1" applyFill="1" applyBorder="1" applyAlignment="1" applyProtection="1">
      <alignment/>
      <protection locked="0"/>
    </xf>
    <xf numFmtId="44" fontId="2" fillId="5" borderId="2" xfId="17" applyFont="1" applyFill="1" applyBorder="1" applyAlignment="1" applyProtection="1">
      <alignment/>
      <protection locked="0"/>
    </xf>
    <xf numFmtId="44" fontId="2" fillId="5" borderId="3" xfId="17" applyFont="1" applyFill="1" applyBorder="1" applyAlignment="1" applyProtection="1">
      <alignment/>
      <protection locked="0"/>
    </xf>
    <xf numFmtId="0" fontId="0" fillId="0" borderId="6" xfId="0" applyBorder="1" applyAlignment="1">
      <alignment horizontal="left" vertical="top"/>
    </xf>
    <xf numFmtId="0" fontId="0" fillId="0" borderId="6" xfId="0" applyFill="1" applyBorder="1" applyAlignment="1">
      <alignment horizontal="left" vertical="top"/>
    </xf>
    <xf numFmtId="0" fontId="33" fillId="0" borderId="1" xfId="0" applyFont="1" applyFill="1" applyBorder="1" applyAlignment="1">
      <alignment horizontal="center" vertical="center"/>
    </xf>
    <xf numFmtId="0" fontId="3" fillId="0" borderId="1" xfId="0" applyFont="1" applyBorder="1" applyAlignment="1" quotePrefix="1">
      <alignment horizontal="left"/>
    </xf>
    <xf numFmtId="0" fontId="34" fillId="0" borderId="48" xfId="0" applyFont="1" applyBorder="1" applyAlignment="1">
      <alignment horizontal="center"/>
    </xf>
    <xf numFmtId="0" fontId="2" fillId="0" borderId="0" xfId="21" applyFont="1">
      <alignment/>
      <protection/>
    </xf>
    <xf numFmtId="0" fontId="19" fillId="0" borderId="27" xfId="0" applyFont="1" applyBorder="1" applyAlignment="1">
      <alignment horizontal="center"/>
    </xf>
    <xf numFmtId="0" fontId="19" fillId="0" borderId="49" xfId="0" applyFont="1" applyBorder="1" applyAlignment="1">
      <alignment horizontal="center"/>
    </xf>
    <xf numFmtId="0" fontId="3" fillId="0" borderId="16" xfId="0" applyFont="1" applyBorder="1" applyAlignment="1">
      <alignment horizontal="right"/>
    </xf>
    <xf numFmtId="0" fontId="3" fillId="0" borderId="50" xfId="0" applyFont="1" applyBorder="1" applyAlignment="1">
      <alignment horizontal="right"/>
    </xf>
    <xf numFmtId="0" fontId="1" fillId="5" borderId="51"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52" xfId="0" applyFont="1" applyFill="1" applyBorder="1" applyAlignment="1" applyProtection="1">
      <alignment horizontal="center" vertical="center"/>
      <protection locked="0"/>
    </xf>
    <xf numFmtId="0" fontId="18" fillId="0" borderId="0" xfId="0" applyFont="1" applyBorder="1" applyAlignment="1">
      <alignment/>
    </xf>
    <xf numFmtId="0" fontId="0" fillId="0" borderId="0" xfId="0" applyFont="1" applyBorder="1" applyAlignment="1" applyProtection="1">
      <alignment/>
      <protection/>
    </xf>
    <xf numFmtId="0" fontId="0" fillId="0" borderId="7" xfId="0" applyFont="1" applyBorder="1" applyAlignment="1">
      <alignment horizontal="left" vertical="center"/>
    </xf>
    <xf numFmtId="0" fontId="0" fillId="0" borderId="0" xfId="0" applyFont="1" applyAlignment="1" applyProtection="1">
      <alignment/>
      <protection/>
    </xf>
    <xf numFmtId="0" fontId="0" fillId="0" borderId="0" xfId="0" applyFill="1" applyBorder="1" applyAlignment="1">
      <alignment horizontal="left" vertical="top" wrapText="1"/>
    </xf>
    <xf numFmtId="0" fontId="2" fillId="0" borderId="0" xfId="0" applyFont="1" applyAlignment="1">
      <alignment horizontal="center"/>
    </xf>
    <xf numFmtId="0" fontId="2" fillId="0" borderId="1" xfId="0" applyFont="1" applyBorder="1" applyAlignment="1">
      <alignment horizontal="right"/>
    </xf>
    <xf numFmtId="0" fontId="1" fillId="0" borderId="1" xfId="0" applyFont="1" applyBorder="1" applyAlignment="1">
      <alignment horizontal="right"/>
    </xf>
    <xf numFmtId="0" fontId="29" fillId="0" borderId="0" xfId="0" applyFont="1" applyBorder="1" applyAlignment="1">
      <alignment horizontal="left"/>
    </xf>
    <xf numFmtId="0" fontId="0" fillId="0" borderId="0" xfId="0" applyAlignment="1" applyProtection="1">
      <alignment horizontal="right"/>
      <protection/>
    </xf>
    <xf numFmtId="0" fontId="0" fillId="0" borderId="0" xfId="0" applyAlignment="1" applyProtection="1">
      <alignment horizontal="center"/>
      <protection/>
    </xf>
    <xf numFmtId="0" fontId="19" fillId="0" borderId="2" xfId="0" applyFont="1" applyBorder="1" applyAlignment="1">
      <alignment horizontal="center"/>
    </xf>
    <xf numFmtId="0" fontId="19" fillId="0" borderId="13" xfId="0" applyFont="1" applyBorder="1" applyAlignment="1">
      <alignment horizontal="center"/>
    </xf>
    <xf numFmtId="171" fontId="0" fillId="0" borderId="12" xfId="0" applyNumberFormat="1" applyBorder="1" applyAlignment="1">
      <alignment/>
    </xf>
    <xf numFmtId="171" fontId="0" fillId="0" borderId="3" xfId="0" applyNumberFormat="1" applyBorder="1" applyAlignment="1">
      <alignment/>
    </xf>
    <xf numFmtId="171" fontId="1" fillId="0" borderId="12" xfId="0" applyNumberFormat="1" applyFont="1" applyBorder="1" applyAlignment="1">
      <alignment/>
    </xf>
    <xf numFmtId="0" fontId="3" fillId="0" borderId="1" xfId="0" applyFont="1" applyBorder="1" applyAlignment="1">
      <alignment horizontal="left"/>
    </xf>
    <xf numFmtId="171" fontId="1" fillId="0" borderId="52" xfId="0" applyNumberFormat="1" applyFont="1" applyBorder="1" applyAlignment="1">
      <alignment/>
    </xf>
    <xf numFmtId="171" fontId="1" fillId="0" borderId="53" xfId="0" applyNumberFormat="1" applyFont="1" applyBorder="1" applyAlignment="1">
      <alignment/>
    </xf>
    <xf numFmtId="171" fontId="1" fillId="0" borderId="54" xfId="0" applyNumberFormat="1" applyFont="1" applyBorder="1" applyAlignment="1">
      <alignment/>
    </xf>
    <xf numFmtId="171" fontId="1" fillId="0" borderId="55" xfId="0" applyNumberFormat="1" applyFont="1" applyBorder="1" applyAlignment="1">
      <alignment/>
    </xf>
    <xf numFmtId="171" fontId="1" fillId="0" borderId="5" xfId="0" applyNumberFormat="1" applyFont="1" applyBorder="1" applyAlignment="1">
      <alignment/>
    </xf>
    <xf numFmtId="0" fontId="0" fillId="0" borderId="1" xfId="0" applyBorder="1" applyAlignment="1" applyProtection="1">
      <alignment/>
      <protection/>
    </xf>
    <xf numFmtId="0" fontId="2" fillId="0" borderId="0" xfId="0" applyFont="1" applyFill="1" applyAlignment="1" applyProtection="1">
      <alignment/>
      <protection/>
    </xf>
    <xf numFmtId="0" fontId="3" fillId="0" borderId="0" xfId="0" applyFont="1" applyAlignment="1" applyProtection="1">
      <alignment/>
      <protection/>
    </xf>
    <xf numFmtId="0" fontId="0" fillId="0" borderId="0" xfId="0" applyFill="1" applyBorder="1" applyAlignment="1" applyProtection="1">
      <alignment horizontal="right"/>
      <protection/>
    </xf>
    <xf numFmtId="0" fontId="3" fillId="0" borderId="15" xfId="0" applyFont="1" applyBorder="1" applyAlignment="1" applyProtection="1">
      <alignment/>
      <protection/>
    </xf>
    <xf numFmtId="0" fontId="0" fillId="0" borderId="16" xfId="0" applyBorder="1" applyAlignment="1" applyProtection="1">
      <alignment/>
      <protection/>
    </xf>
    <xf numFmtId="0" fontId="3" fillId="0" borderId="16" xfId="0" applyFont="1" applyBorder="1" applyAlignment="1" applyProtection="1">
      <alignment horizontal="right"/>
      <protection/>
    </xf>
    <xf numFmtId="0" fontId="3" fillId="0" borderId="15" xfId="0" applyFont="1" applyBorder="1" applyAlignment="1" applyProtection="1">
      <alignment horizontal="center"/>
      <protection/>
    </xf>
    <xf numFmtId="0" fontId="0" fillId="0" borderId="16" xfId="0" applyBorder="1" applyAlignment="1" applyProtection="1">
      <alignment horizontal="center"/>
      <protection/>
    </xf>
    <xf numFmtId="0" fontId="19" fillId="0" borderId="30" xfId="0" applyFont="1" applyBorder="1" applyAlignment="1" applyProtection="1">
      <alignment horizontal="center"/>
      <protection/>
    </xf>
    <xf numFmtId="0" fontId="19" fillId="0" borderId="49" xfId="0" applyFont="1" applyBorder="1" applyAlignment="1" applyProtection="1">
      <alignment horizontal="center"/>
      <protection/>
    </xf>
    <xf numFmtId="0" fontId="0" fillId="0" borderId="8" xfId="0" applyBorder="1" applyAlignment="1" applyProtection="1">
      <alignment horizontal="center"/>
      <protection/>
    </xf>
    <xf numFmtId="0" fontId="11" fillId="0" borderId="0" xfId="0" applyFont="1" applyBorder="1" applyAlignment="1" applyProtection="1">
      <alignment horizontal="right"/>
      <protection/>
    </xf>
    <xf numFmtId="171" fontId="1" fillId="0" borderId="3" xfId="0" applyNumberFormat="1" applyFont="1" applyBorder="1" applyAlignment="1" applyProtection="1">
      <alignment/>
      <protection/>
    </xf>
    <xf numFmtId="171" fontId="1" fillId="0" borderId="13" xfId="0" applyNumberFormat="1" applyFont="1" applyBorder="1" applyAlignment="1" applyProtection="1">
      <alignment/>
      <protection/>
    </xf>
    <xf numFmtId="171" fontId="1" fillId="0" borderId="8" xfId="0" applyNumberFormat="1" applyFont="1" applyBorder="1" applyAlignment="1" applyProtection="1">
      <alignment/>
      <protection/>
    </xf>
    <xf numFmtId="171" fontId="1" fillId="0" borderId="12" xfId="0" applyNumberFormat="1" applyFont="1" applyBorder="1" applyAlignment="1" applyProtection="1">
      <alignment/>
      <protection/>
    </xf>
    <xf numFmtId="0" fontId="1" fillId="0" borderId="1" xfId="0" applyFont="1" applyBorder="1" applyAlignment="1" applyProtection="1">
      <alignment horizontal="left"/>
      <protection/>
    </xf>
    <xf numFmtId="171" fontId="1" fillId="0" borderId="0" xfId="0" applyNumberFormat="1" applyFont="1" applyAlignment="1" applyProtection="1">
      <alignment/>
      <protection/>
    </xf>
    <xf numFmtId="171" fontId="1" fillId="0" borderId="52" xfId="0" applyNumberFormat="1" applyFont="1" applyBorder="1" applyAlignment="1" applyProtection="1">
      <alignment/>
      <protection/>
    </xf>
    <xf numFmtId="0" fontId="3" fillId="0" borderId="1" xfId="0" applyFont="1" applyBorder="1" applyAlignment="1" applyProtection="1">
      <alignment horizontal="left"/>
      <protection/>
    </xf>
    <xf numFmtId="171" fontId="1" fillId="0" borderId="53" xfId="0" applyNumberFormat="1" applyFont="1" applyBorder="1" applyAlignment="1" applyProtection="1">
      <alignment/>
      <protection/>
    </xf>
    <xf numFmtId="171" fontId="1" fillId="0" borderId="54" xfId="0" applyNumberFormat="1" applyFont="1" applyBorder="1" applyAlignment="1" applyProtection="1">
      <alignment/>
      <protection/>
    </xf>
    <xf numFmtId="0" fontId="1" fillId="0" borderId="0" xfId="0" applyFont="1" applyBorder="1" applyAlignment="1" applyProtection="1">
      <alignment horizontal="right"/>
      <protection/>
    </xf>
    <xf numFmtId="0" fontId="0" fillId="3" borderId="37" xfId="0" applyFill="1" applyBorder="1" applyAlignment="1" applyProtection="1">
      <alignment/>
      <protection/>
    </xf>
    <xf numFmtId="0" fontId="0" fillId="3" borderId="56" xfId="0" applyFill="1" applyBorder="1" applyAlignment="1" applyProtection="1">
      <alignment/>
      <protection/>
    </xf>
    <xf numFmtId="0" fontId="0" fillId="3" borderId="38" xfId="0" applyFill="1" applyBorder="1" applyAlignment="1" applyProtection="1">
      <alignment/>
      <protection/>
    </xf>
    <xf numFmtId="0" fontId="0" fillId="0" borderId="6" xfId="0" applyBorder="1" applyAlignment="1" applyProtection="1">
      <alignment/>
      <protection/>
    </xf>
    <xf numFmtId="0" fontId="1" fillId="0" borderId="6" xfId="0" applyFont="1" applyBorder="1" applyAlignment="1" applyProtection="1">
      <alignment horizontal="right"/>
      <protection/>
    </xf>
    <xf numFmtId="0" fontId="0" fillId="3" borderId="25" xfId="0"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3" borderId="31" xfId="0" applyFill="1" applyBorder="1" applyAlignment="1" applyProtection="1">
      <alignment/>
      <protection/>
    </xf>
    <xf numFmtId="0" fontId="0" fillId="0" borderId="19"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71" fontId="51" fillId="0" borderId="0" xfId="0" applyNumberFormat="1" applyFont="1" applyBorder="1" applyAlignment="1">
      <alignment/>
    </xf>
    <xf numFmtId="0" fontId="2" fillId="2" borderId="11" xfId="0" applyFont="1" applyFill="1" applyBorder="1" applyAlignment="1" applyProtection="1">
      <alignment horizontal="left"/>
      <protection locked="0"/>
    </xf>
    <xf numFmtId="0" fontId="1" fillId="4" borderId="17" xfId="0" applyFont="1" applyFill="1" applyBorder="1" applyAlignment="1">
      <alignment horizontal="center"/>
    </xf>
    <xf numFmtId="0" fontId="11" fillId="0" borderId="0" xfId="0" applyFont="1" applyBorder="1" applyAlignment="1">
      <alignment horizontal="left"/>
    </xf>
    <xf numFmtId="0" fontId="3" fillId="0" borderId="25" xfId="0" applyFont="1" applyBorder="1" applyAlignment="1">
      <alignment horizontal="center" vertical="center"/>
    </xf>
    <xf numFmtId="0" fontId="53" fillId="0" borderId="0" xfId="22" applyFont="1" applyProtection="1">
      <alignment/>
      <protection/>
    </xf>
    <xf numFmtId="0" fontId="0" fillId="0" borderId="16" xfId="0" applyFill="1" applyBorder="1" applyAlignment="1">
      <alignment horizontal="left" vertical="top"/>
    </xf>
    <xf numFmtId="0" fontId="0" fillId="0" borderId="50" xfId="0" applyFill="1" applyBorder="1" applyAlignment="1">
      <alignment horizontal="left" vertical="top"/>
    </xf>
    <xf numFmtId="0" fontId="2" fillId="0" borderId="5" xfId="21" applyFont="1" applyFill="1" applyBorder="1" applyProtection="1">
      <alignment/>
      <protection/>
    </xf>
    <xf numFmtId="0" fontId="2" fillId="0" borderId="5" xfId="21" applyFont="1" applyFill="1" applyBorder="1" applyAlignment="1" applyProtection="1">
      <alignment horizontal="right"/>
      <protection/>
    </xf>
    <xf numFmtId="0" fontId="4" fillId="0" borderId="5" xfId="21" applyFont="1" applyFill="1" applyBorder="1" applyAlignment="1" applyProtection="1">
      <alignment horizontal="center"/>
      <protection/>
    </xf>
    <xf numFmtId="0" fontId="2" fillId="0" borderId="3" xfId="21" applyBorder="1">
      <alignment/>
      <protection/>
    </xf>
    <xf numFmtId="0" fontId="2" fillId="0" borderId="3" xfId="21" applyBorder="1" applyProtection="1">
      <alignment/>
      <protection/>
    </xf>
    <xf numFmtId="0" fontId="2" fillId="0" borderId="2" xfId="21" applyFont="1" applyFill="1" applyBorder="1" applyProtection="1">
      <alignment/>
      <protection/>
    </xf>
    <xf numFmtId="0" fontId="2" fillId="0" borderId="2" xfId="21" applyFont="1" applyFill="1" applyBorder="1" applyAlignment="1" applyProtection="1">
      <alignment horizontal="right"/>
      <protection/>
    </xf>
    <xf numFmtId="0" fontId="4" fillId="0" borderId="2" xfId="21" applyFont="1" applyFill="1" applyBorder="1" applyAlignment="1" applyProtection="1">
      <alignment horizontal="center"/>
      <protection/>
    </xf>
    <xf numFmtId="0" fontId="2" fillId="0" borderId="2" xfId="21" applyBorder="1">
      <alignment/>
      <protection/>
    </xf>
    <xf numFmtId="0" fontId="0" fillId="0" borderId="57" xfId="0" applyBorder="1" applyAlignment="1">
      <alignment/>
    </xf>
    <xf numFmtId="0" fontId="1" fillId="5" borderId="44" xfId="0" applyFont="1" applyFill="1" applyBorder="1" applyAlignment="1" applyProtection="1">
      <alignment horizontal="center" vertical="center"/>
      <protection locked="0"/>
    </xf>
    <xf numFmtId="0" fontId="1" fillId="5" borderId="30" xfId="0" applyFont="1" applyFill="1" applyBorder="1" applyAlignment="1" applyProtection="1">
      <alignment horizontal="center" vertical="center"/>
      <protection locked="0"/>
    </xf>
    <xf numFmtId="0" fontId="1" fillId="5" borderId="49" xfId="0" applyFont="1" applyFill="1" applyBorder="1" applyAlignment="1" applyProtection="1">
      <alignment horizontal="center" vertical="center"/>
      <protection locked="0"/>
    </xf>
    <xf numFmtId="0" fontId="1" fillId="5" borderId="27"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37" fillId="0" borderId="6" xfId="0" applyFont="1" applyBorder="1" applyAlignment="1">
      <alignment horizontal="left" vertical="center"/>
    </xf>
    <xf numFmtId="0" fontId="37" fillId="0" borderId="0" xfId="0" applyFont="1" applyBorder="1" applyAlignment="1">
      <alignment horizontal="left" vertical="center"/>
    </xf>
    <xf numFmtId="0" fontId="46" fillId="0" borderId="0" xfId="0" applyFont="1" applyFill="1" applyBorder="1" applyAlignment="1" quotePrefix="1">
      <alignment horizontal="center" vertical="center"/>
    </xf>
    <xf numFmtId="0" fontId="3" fillId="2" borderId="27"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0" fillId="0" borderId="39" xfId="0" applyFill="1" applyBorder="1" applyAlignment="1">
      <alignment horizontal="center" vertical="center"/>
    </xf>
    <xf numFmtId="0" fontId="0" fillId="0" borderId="38"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46" fillId="0" borderId="0" xfId="0" applyFont="1" applyFill="1" applyBorder="1" applyAlignment="1">
      <alignment horizontal="center" vertical="center"/>
    </xf>
    <xf numFmtId="0" fontId="0" fillId="0" borderId="37"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 fillId="2" borderId="24"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0" fillId="0" borderId="29" xfId="0" applyFill="1" applyBorder="1" applyAlignment="1">
      <alignment horizontal="center" vertical="center"/>
    </xf>
    <xf numFmtId="0" fontId="11" fillId="0" borderId="61" xfId="0" applyFont="1" applyFill="1" applyBorder="1" applyAlignment="1">
      <alignment horizontal="center" vertical="center"/>
    </xf>
    <xf numFmtId="0" fontId="2" fillId="0" borderId="26" xfId="0" applyFont="1" applyBorder="1" applyAlignment="1">
      <alignment/>
    </xf>
    <xf numFmtId="0" fontId="2" fillId="0" borderId="6" xfId="0" applyFont="1" applyBorder="1" applyAlignment="1">
      <alignment horizontal="right"/>
    </xf>
    <xf numFmtId="0" fontId="0" fillId="0" borderId="6" xfId="0" applyFill="1" applyBorder="1" applyAlignment="1">
      <alignment/>
    </xf>
    <xf numFmtId="0" fontId="2" fillId="0" borderId="6" xfId="0" applyFont="1" applyFill="1" applyBorder="1" applyAlignment="1">
      <alignment horizontal="right"/>
    </xf>
    <xf numFmtId="0" fontId="2" fillId="0" borderId="47" xfId="0" applyFont="1" applyBorder="1" applyAlignment="1">
      <alignment/>
    </xf>
    <xf numFmtId="0" fontId="0" fillId="5" borderId="3" xfId="0" applyFill="1" applyBorder="1" applyAlignment="1" applyProtection="1">
      <alignment horizontal="center"/>
      <protection locked="0"/>
    </xf>
    <xf numFmtId="0" fontId="0" fillId="5" borderId="18" xfId="0" applyFill="1" applyBorder="1" applyAlignment="1" applyProtection="1">
      <alignment horizontal="right"/>
      <protection locked="0"/>
    </xf>
    <xf numFmtId="0" fontId="0" fillId="5" borderId="39" xfId="0" applyFill="1" applyBorder="1" applyAlignment="1" applyProtection="1">
      <alignment horizontal="right"/>
      <protection locked="0"/>
    </xf>
    <xf numFmtId="0" fontId="0" fillId="5" borderId="4" xfId="0" applyFill="1" applyBorder="1" applyAlignment="1" applyProtection="1">
      <alignment horizontal="right"/>
      <protection locked="0"/>
    </xf>
    <xf numFmtId="0" fontId="0" fillId="5" borderId="14" xfId="0" applyFill="1" applyBorder="1" applyAlignment="1" applyProtection="1">
      <alignment horizontal="right"/>
      <protection locked="0"/>
    </xf>
    <xf numFmtId="0" fontId="0" fillId="5" borderId="17" xfId="0" applyFill="1" applyBorder="1" applyAlignment="1" applyProtection="1">
      <alignment/>
      <protection locked="0"/>
    </xf>
    <xf numFmtId="0" fontId="0" fillId="5" borderId="34" xfId="0" applyFill="1" applyBorder="1" applyAlignment="1" applyProtection="1">
      <alignment/>
      <protection locked="0"/>
    </xf>
    <xf numFmtId="0" fontId="0" fillId="5" borderId="4" xfId="0" applyFill="1" applyBorder="1" applyAlignment="1" applyProtection="1">
      <alignment/>
      <protection locked="0"/>
    </xf>
    <xf numFmtId="0" fontId="0" fillId="5" borderId="62" xfId="0" applyFill="1" applyBorder="1" applyAlignment="1" applyProtection="1">
      <alignment/>
      <protection locked="0"/>
    </xf>
    <xf numFmtId="0" fontId="0" fillId="0" borderId="5" xfId="0" applyFill="1" applyBorder="1" applyAlignment="1" applyProtection="1">
      <alignment horizontal="center"/>
      <protection/>
    </xf>
    <xf numFmtId="0" fontId="0" fillId="3" borderId="22" xfId="0" applyFill="1" applyBorder="1" applyAlignment="1" applyProtection="1">
      <alignment horizontal="center"/>
      <protection/>
    </xf>
    <xf numFmtId="0" fontId="0" fillId="3" borderId="19" xfId="0" applyFill="1" applyBorder="1" applyAlignment="1" applyProtection="1">
      <alignment horizontal="center"/>
      <protection/>
    </xf>
    <xf numFmtId="0" fontId="0" fillId="0" borderId="47" xfId="0" applyBorder="1" applyAlignment="1" applyProtection="1">
      <alignment/>
      <protection/>
    </xf>
    <xf numFmtId="171" fontId="1" fillId="0" borderId="63" xfId="0" applyNumberFormat="1" applyFont="1" applyFill="1" applyBorder="1" applyAlignment="1">
      <alignment horizontal="right"/>
    </xf>
    <xf numFmtId="171" fontId="1" fillId="0" borderId="28" xfId="0" applyNumberFormat="1" applyFont="1" applyFill="1" applyBorder="1" applyAlignment="1" applyProtection="1">
      <alignment/>
      <protection/>
    </xf>
    <xf numFmtId="0" fontId="19" fillId="0" borderId="8" xfId="0" applyFont="1" applyBorder="1" applyAlignment="1">
      <alignment/>
    </xf>
    <xf numFmtId="0" fontId="1" fillId="0" borderId="0" xfId="0" applyFont="1" applyBorder="1" applyAlignment="1" applyProtection="1">
      <alignment/>
      <protection/>
    </xf>
    <xf numFmtId="0" fontId="3" fillId="0" borderId="47" xfId="0" applyFont="1" applyBorder="1" applyAlignment="1" applyProtection="1">
      <alignment horizontal="right"/>
      <protection/>
    </xf>
    <xf numFmtId="0" fontId="0" fillId="0" borderId="59" xfId="0" applyFill="1" applyBorder="1" applyAlignment="1" applyProtection="1">
      <alignment horizontal="center"/>
      <protection/>
    </xf>
    <xf numFmtId="0" fontId="0" fillId="0" borderId="64" xfId="0" applyFill="1" applyBorder="1" applyAlignment="1" applyProtection="1">
      <alignment horizontal="center"/>
      <protection/>
    </xf>
    <xf numFmtId="0" fontId="0" fillId="0" borderId="24" xfId="0" applyBorder="1" applyAlignment="1">
      <alignment horizontal="left"/>
    </xf>
    <xf numFmtId="0" fontId="1" fillId="0" borderId="44" xfId="0" applyFont="1" applyBorder="1" applyAlignment="1" applyProtection="1">
      <alignment horizontal="center"/>
      <protection/>
    </xf>
    <xf numFmtId="171" fontId="1" fillId="0" borderId="27" xfId="0" applyNumberFormat="1" applyFont="1" applyBorder="1" applyAlignment="1" applyProtection="1">
      <alignment/>
      <protection/>
    </xf>
    <xf numFmtId="171" fontId="1" fillId="0" borderId="51" xfId="0" applyNumberFormat="1" applyFont="1" applyBorder="1" applyAlignment="1" applyProtection="1">
      <alignment/>
      <protection/>
    </xf>
    <xf numFmtId="0" fontId="0" fillId="3" borderId="60" xfId="0" applyFill="1" applyBorder="1" applyAlignment="1" applyProtection="1">
      <alignment/>
      <protection/>
    </xf>
    <xf numFmtId="0" fontId="0" fillId="3" borderId="29" xfId="0" applyFill="1" applyBorder="1" applyAlignment="1" applyProtection="1">
      <alignment/>
      <protection/>
    </xf>
    <xf numFmtId="0" fontId="0" fillId="6" borderId="51" xfId="0" applyFill="1" applyBorder="1" applyAlignment="1" applyProtection="1">
      <alignment horizontal="right"/>
      <protection/>
    </xf>
    <xf numFmtId="0" fontId="0" fillId="3" borderId="22" xfId="0" applyFill="1" applyBorder="1" applyAlignment="1" applyProtection="1">
      <alignment horizontal="right"/>
      <protection/>
    </xf>
    <xf numFmtId="0" fontId="0" fillId="0" borderId="51" xfId="0" applyFill="1" applyBorder="1" applyAlignment="1" applyProtection="1">
      <alignment horizontal="right"/>
      <protection/>
    </xf>
    <xf numFmtId="0" fontId="0" fillId="3" borderId="8" xfId="0" applyFill="1" applyBorder="1" applyAlignment="1" applyProtection="1">
      <alignment horizontal="right"/>
      <protection/>
    </xf>
    <xf numFmtId="0" fontId="0" fillId="3" borderId="29" xfId="0" applyFill="1" applyBorder="1" applyAlignment="1" applyProtection="1">
      <alignment horizontal="right"/>
      <protection/>
    </xf>
    <xf numFmtId="0" fontId="0" fillId="5" borderId="27" xfId="0" applyFill="1" applyBorder="1" applyAlignment="1" applyProtection="1">
      <alignment horizontal="right"/>
      <protection locked="0"/>
    </xf>
    <xf numFmtId="0" fontId="0" fillId="5" borderId="65" xfId="0" applyFill="1" applyBorder="1" applyAlignment="1" applyProtection="1">
      <alignment horizontal="right"/>
      <protection locked="0"/>
    </xf>
    <xf numFmtId="171" fontId="1" fillId="0" borderId="66" xfId="0" applyNumberFormat="1" applyFont="1" applyFill="1" applyBorder="1" applyAlignment="1">
      <alignment horizontal="right"/>
    </xf>
    <xf numFmtId="171" fontId="1" fillId="3" borderId="42" xfId="0" applyNumberFormat="1" applyFont="1" applyFill="1" applyBorder="1" applyAlignment="1" applyProtection="1">
      <alignment/>
      <protection hidden="1"/>
    </xf>
    <xf numFmtId="171" fontId="1" fillId="3" borderId="67" xfId="0" applyNumberFormat="1" applyFont="1" applyFill="1" applyBorder="1" applyAlignment="1" applyProtection="1">
      <alignment/>
      <protection hidden="1"/>
    </xf>
    <xf numFmtId="0" fontId="0" fillId="3" borderId="8" xfId="0" applyFill="1" applyBorder="1" applyAlignment="1">
      <alignment/>
    </xf>
    <xf numFmtId="171" fontId="1" fillId="3" borderId="8" xfId="0" applyNumberFormat="1" applyFont="1" applyFill="1" applyBorder="1" applyAlignment="1">
      <alignment/>
    </xf>
    <xf numFmtId="0" fontId="0" fillId="3" borderId="22" xfId="0" applyFill="1" applyBorder="1" applyAlignment="1">
      <alignment/>
    </xf>
    <xf numFmtId="171" fontId="0" fillId="0" borderId="61" xfId="0" applyNumberFormat="1" applyFill="1" applyBorder="1" applyAlignment="1">
      <alignment/>
    </xf>
    <xf numFmtId="2" fontId="0" fillId="3" borderId="42" xfId="0" applyNumberFormat="1" applyFill="1" applyBorder="1" applyAlignment="1" applyProtection="1">
      <alignment/>
      <protection/>
    </xf>
    <xf numFmtId="171" fontId="1" fillId="3" borderId="8" xfId="0" applyNumberFormat="1" applyFont="1" applyFill="1" applyBorder="1" applyAlignment="1" applyProtection="1">
      <alignment/>
      <protection hidden="1"/>
    </xf>
    <xf numFmtId="2" fontId="0" fillId="3" borderId="8" xfId="0" applyNumberFormat="1" applyFill="1" applyBorder="1" applyAlignment="1">
      <alignment/>
    </xf>
    <xf numFmtId="171" fontId="0" fillId="0" borderId="29" xfId="0" applyNumberFormat="1" applyFill="1" applyBorder="1" applyAlignment="1" applyProtection="1">
      <alignment/>
      <protection/>
    </xf>
    <xf numFmtId="171" fontId="0" fillId="3" borderId="42" xfId="0" applyNumberFormat="1" applyFill="1" applyBorder="1" applyAlignment="1" applyProtection="1">
      <alignment/>
      <protection/>
    </xf>
    <xf numFmtId="0" fontId="0" fillId="3" borderId="22" xfId="0" applyFill="1" applyBorder="1" applyAlignment="1" applyProtection="1">
      <alignment/>
      <protection/>
    </xf>
    <xf numFmtId="2" fontId="0" fillId="0" borderId="27" xfId="0" applyNumberFormat="1" applyFill="1" applyBorder="1" applyAlignment="1">
      <alignment/>
    </xf>
    <xf numFmtId="171" fontId="0" fillId="0" borderId="29" xfId="0" applyNumberFormat="1" applyBorder="1" applyAlignment="1">
      <alignment/>
    </xf>
    <xf numFmtId="171" fontId="1" fillId="0" borderId="65" xfId="0" applyNumberFormat="1" applyFont="1" applyBorder="1" applyAlignment="1">
      <alignment/>
    </xf>
    <xf numFmtId="171" fontId="1" fillId="0" borderId="68" xfId="0" applyNumberFormat="1" applyFont="1" applyBorder="1" applyAlignment="1">
      <alignment/>
    </xf>
    <xf numFmtId="171" fontId="1" fillId="0" borderId="69" xfId="0" applyNumberFormat="1" applyFont="1" applyBorder="1" applyAlignment="1">
      <alignment/>
    </xf>
    <xf numFmtId="171" fontId="1" fillId="0" borderId="70" xfId="0" applyNumberFormat="1" applyFont="1" applyBorder="1" applyAlignment="1">
      <alignment/>
    </xf>
    <xf numFmtId="0" fontId="0" fillId="0" borderId="41" xfId="0" applyBorder="1" applyAlignment="1">
      <alignment horizontal="left"/>
    </xf>
    <xf numFmtId="0" fontId="0" fillId="0" borderId="12" xfId="0" applyFont="1" applyBorder="1" applyAlignment="1">
      <alignment horizontal="left"/>
    </xf>
    <xf numFmtId="0" fontId="4" fillId="3" borderId="0" xfId="22" applyFont="1" applyFill="1" applyAlignment="1" applyProtection="1">
      <alignment horizontal="center"/>
      <protection locked="0"/>
    </xf>
    <xf numFmtId="0" fontId="2" fillId="3" borderId="0" xfId="22" applyFill="1" applyAlignment="1" applyProtection="1">
      <alignment horizontal="center"/>
      <protection/>
    </xf>
    <xf numFmtId="0" fontId="2" fillId="3" borderId="0" xfId="21" applyFont="1" applyFill="1" applyAlignment="1" applyProtection="1">
      <alignment horizontal="center"/>
      <protection/>
    </xf>
    <xf numFmtId="0" fontId="4" fillId="3" borderId="0" xfId="21" applyFont="1" applyFill="1" applyAlignment="1" applyProtection="1">
      <alignment horizontal="center"/>
      <protection locked="0"/>
    </xf>
    <xf numFmtId="0" fontId="4" fillId="3" borderId="0" xfId="21" applyFont="1" applyFill="1" applyAlignment="1" applyProtection="1">
      <alignment horizontal="center"/>
      <protection/>
    </xf>
    <xf numFmtId="0" fontId="2" fillId="3" borderId="0" xfId="21" applyFill="1">
      <alignment/>
      <protection/>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9" fillId="0" borderId="40" xfId="0" applyFont="1" applyBorder="1" applyAlignment="1">
      <alignment horizontal="center" vertical="center"/>
    </xf>
    <xf numFmtId="0" fontId="1" fillId="0" borderId="2" xfId="0" applyFont="1" applyBorder="1" applyAlignment="1">
      <alignment horizontal="center" vertical="center"/>
    </xf>
    <xf numFmtId="0" fontId="0" fillId="0" borderId="11" xfId="0" applyFill="1" applyBorder="1" applyAlignment="1" applyProtection="1">
      <alignment horizontal="center"/>
      <protection/>
    </xf>
    <xf numFmtId="0" fontId="1" fillId="0" borderId="29" xfId="0" applyFont="1" applyBorder="1" applyAlignment="1" applyProtection="1">
      <alignment horizontal="center"/>
      <protection/>
    </xf>
    <xf numFmtId="0" fontId="0" fillId="3" borderId="26" xfId="0" applyFill="1" applyBorder="1" applyAlignment="1" applyProtection="1">
      <alignment/>
      <protection/>
    </xf>
    <xf numFmtId="0" fontId="0" fillId="5" borderId="20" xfId="0" applyFill="1" applyBorder="1" applyAlignment="1" applyProtection="1">
      <alignment/>
      <protection locked="0"/>
    </xf>
    <xf numFmtId="0" fontId="0" fillId="5" borderId="72" xfId="0" applyFill="1" applyBorder="1" applyAlignment="1" applyProtection="1">
      <alignment/>
      <protection locked="0"/>
    </xf>
    <xf numFmtId="171" fontId="0" fillId="0" borderId="27" xfId="0" applyNumberFormat="1" applyFill="1" applyBorder="1" applyAlignment="1">
      <alignment/>
    </xf>
    <xf numFmtId="2" fontId="0" fillId="3" borderId="67" xfId="0" applyNumberFormat="1" applyFill="1" applyBorder="1" applyAlignment="1" applyProtection="1">
      <alignment/>
      <protection/>
    </xf>
    <xf numFmtId="171" fontId="0" fillId="0" borderId="22" xfId="0" applyNumberFormat="1" applyFill="1" applyBorder="1" applyAlignment="1" applyProtection="1">
      <alignment/>
      <protection/>
    </xf>
    <xf numFmtId="171" fontId="0" fillId="3" borderId="8" xfId="0" applyNumberFormat="1" applyFill="1" applyBorder="1" applyAlignment="1" applyProtection="1">
      <alignment/>
      <protection/>
    </xf>
    <xf numFmtId="171" fontId="39" fillId="0" borderId="51" xfId="0" applyNumberFormat="1" applyFont="1" applyFill="1" applyBorder="1" applyAlignment="1">
      <alignment horizontal="center"/>
    </xf>
    <xf numFmtId="171" fontId="39" fillId="0" borderId="52" xfId="0" applyNumberFormat="1" applyFont="1" applyFill="1" applyBorder="1" applyAlignment="1">
      <alignment horizontal="center"/>
    </xf>
    <xf numFmtId="171" fontId="39" fillId="0" borderId="5" xfId="0" applyNumberFormat="1" applyFont="1" applyFill="1" applyBorder="1" applyAlignment="1">
      <alignment horizontal="center"/>
    </xf>
    <xf numFmtId="171" fontId="1" fillId="0" borderId="66" xfId="0" applyNumberFormat="1" applyFont="1" applyFill="1" applyBorder="1" applyAlignment="1">
      <alignment/>
    </xf>
    <xf numFmtId="0" fontId="0" fillId="0" borderId="0" xfId="0" applyFont="1" applyBorder="1" applyAlignment="1">
      <alignment horizontal="left" vertical="top"/>
    </xf>
    <xf numFmtId="0" fontId="0" fillId="0" borderId="48" xfId="0" applyBorder="1" applyAlignment="1">
      <alignment horizontal="center"/>
    </xf>
    <xf numFmtId="171" fontId="1" fillId="0" borderId="67" xfId="0" applyNumberFormat="1" applyFont="1" applyBorder="1" applyAlignment="1">
      <alignment/>
    </xf>
    <xf numFmtId="171" fontId="1" fillId="0" borderId="73" xfId="0" applyNumberFormat="1" applyFont="1" applyBorder="1" applyAlignment="1">
      <alignment/>
    </xf>
    <xf numFmtId="0" fontId="0" fillId="0" borderId="48" xfId="0" applyBorder="1" applyAlignment="1">
      <alignment/>
    </xf>
    <xf numFmtId="0" fontId="1" fillId="5" borderId="9" xfId="0" applyFont="1" applyFill="1" applyBorder="1" applyAlignment="1" applyProtection="1">
      <alignment horizontal="center" vertical="center"/>
      <protection locked="0"/>
    </xf>
    <xf numFmtId="0" fontId="1" fillId="2" borderId="74"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3" fillId="0" borderId="1" xfId="0" applyFont="1" applyBorder="1" applyAlignment="1" applyProtection="1">
      <alignment horizontal="center"/>
      <protection/>
    </xf>
    <xf numFmtId="0" fontId="0" fillId="6" borderId="51" xfId="0" applyFill="1" applyBorder="1" applyAlignment="1" applyProtection="1">
      <alignment/>
      <protection/>
    </xf>
    <xf numFmtId="0" fontId="0" fillId="0" borderId="47" xfId="0" applyFill="1" applyBorder="1" applyAlignment="1">
      <alignment/>
    </xf>
    <xf numFmtId="0" fontId="1" fillId="0" borderId="1" xfId="0" applyFont="1" applyBorder="1" applyAlignment="1">
      <alignment horizontal="center" vertical="center" wrapText="1"/>
    </xf>
    <xf numFmtId="0" fontId="3" fillId="0" borderId="8" xfId="0" applyFont="1" applyFill="1" applyBorder="1" applyAlignment="1">
      <alignment horizontal="right" vertical="center"/>
    </xf>
    <xf numFmtId="0" fontId="0" fillId="0" borderId="0" xfId="0" applyAlignment="1">
      <alignment horizontal="right" vertical="center"/>
    </xf>
    <xf numFmtId="0" fontId="2" fillId="0" borderId="0" xfId="0" applyFont="1" applyFill="1" applyBorder="1" applyAlignment="1">
      <alignment/>
    </xf>
    <xf numFmtId="0" fontId="2" fillId="0" borderId="0" xfId="0" applyFont="1" applyBorder="1" applyAlignment="1">
      <alignment/>
    </xf>
    <xf numFmtId="0" fontId="2" fillId="0" borderId="48" xfId="0" applyFont="1" applyBorder="1" applyAlignment="1">
      <alignment/>
    </xf>
    <xf numFmtId="1" fontId="3" fillId="0" borderId="3"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0" fontId="0" fillId="0" borderId="8" xfId="0" applyBorder="1" applyAlignment="1">
      <alignment vertical="center"/>
    </xf>
    <xf numFmtId="0" fontId="1" fillId="0" borderId="0" xfId="0" applyFont="1" applyBorder="1" applyAlignment="1">
      <alignment horizontal="right" vertical="center"/>
    </xf>
    <xf numFmtId="0" fontId="0" fillId="0" borderId="0" xfId="0" applyBorder="1" applyAlignment="1">
      <alignment vertical="center" wrapText="1"/>
    </xf>
    <xf numFmtId="0" fontId="0" fillId="0" borderId="8" xfId="0" applyBorder="1" applyAlignment="1">
      <alignment horizontal="right" vertical="center"/>
    </xf>
    <xf numFmtId="0" fontId="0" fillId="0" borderId="0" xfId="0" applyBorder="1" applyAlignment="1">
      <alignment horizontal="right" vertical="center"/>
    </xf>
    <xf numFmtId="0" fontId="0" fillId="0" borderId="8" xfId="0" applyFont="1" applyBorder="1" applyAlignment="1">
      <alignment horizontal="right"/>
    </xf>
    <xf numFmtId="0" fontId="19" fillId="0" borderId="19" xfId="0" applyFont="1" applyBorder="1" applyAlignment="1">
      <alignment horizontal="right"/>
    </xf>
    <xf numFmtId="171" fontId="11" fillId="0" borderId="3" xfId="0" applyNumberFormat="1" applyFont="1" applyBorder="1" applyAlignment="1">
      <alignment horizontal="center"/>
    </xf>
    <xf numFmtId="0" fontId="11" fillId="0" borderId="10" xfId="0" applyFont="1" applyBorder="1" applyAlignment="1">
      <alignment horizontal="right"/>
    </xf>
    <xf numFmtId="0" fontId="3" fillId="2" borderId="61"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166" fontId="2" fillId="0" borderId="3" xfId="15" applyNumberFormat="1" applyFont="1" applyFill="1" applyBorder="1" applyAlignment="1" applyProtection="1">
      <alignment horizontal="center"/>
      <protection/>
    </xf>
    <xf numFmtId="0" fontId="2" fillId="0" borderId="0" xfId="21" applyNumberFormat="1" applyFont="1" applyFill="1" applyProtection="1">
      <alignment/>
      <protection/>
    </xf>
    <xf numFmtId="0" fontId="3" fillId="0" borderId="1" xfId="0" applyFont="1" applyBorder="1" applyAlignment="1">
      <alignment horizontal="center"/>
    </xf>
    <xf numFmtId="0" fontId="3" fillId="0" borderId="47" xfId="0" applyFont="1" applyBorder="1" applyAlignment="1">
      <alignment horizontal="right"/>
    </xf>
    <xf numFmtId="0" fontId="2" fillId="5" borderId="75" xfId="0" applyFont="1" applyFill="1" applyBorder="1" applyAlignment="1" applyProtection="1">
      <alignment horizontal="center" vertical="center"/>
      <protection locked="0"/>
    </xf>
    <xf numFmtId="0" fontId="2" fillId="5" borderId="59" xfId="0" applyFont="1" applyFill="1" applyBorder="1" applyAlignment="1" applyProtection="1">
      <alignment horizontal="center" vertical="center"/>
      <protection locked="0"/>
    </xf>
    <xf numFmtId="0" fontId="2" fillId="3" borderId="76" xfId="0" applyFont="1" applyFill="1" applyBorder="1" applyAlignment="1">
      <alignment/>
    </xf>
    <xf numFmtId="0" fontId="11" fillId="3" borderId="77" xfId="0" applyFont="1" applyFill="1" applyBorder="1" applyAlignment="1">
      <alignment horizontal="center"/>
    </xf>
    <xf numFmtId="0" fontId="2" fillId="0" borderId="0" xfId="22" applyFont="1" applyFill="1" applyBorder="1" applyAlignment="1" applyProtection="1">
      <alignment horizontal="center" vertical="center"/>
      <protection/>
    </xf>
    <xf numFmtId="166" fontId="4" fillId="0" borderId="0" xfId="22" applyNumberFormat="1" applyFont="1" applyAlignment="1" applyProtection="1">
      <alignment horizontal="center"/>
      <protection/>
    </xf>
    <xf numFmtId="0" fontId="2" fillId="0" borderId="57" xfId="0" applyFont="1" applyFill="1" applyBorder="1" applyAlignment="1">
      <alignment/>
    </xf>
    <xf numFmtId="0" fontId="3" fillId="0" borderId="2" xfId="0" applyFont="1" applyFill="1" applyBorder="1" applyAlignment="1">
      <alignment horizontal="center"/>
    </xf>
    <xf numFmtId="0" fontId="0" fillId="0" borderId="0" xfId="22" applyFont="1" applyFill="1">
      <alignment/>
      <protection/>
    </xf>
    <xf numFmtId="0" fontId="2" fillId="0" borderId="0" xfId="0" applyFont="1" applyFill="1" applyAlignment="1" applyProtection="1">
      <alignment horizontal="center" vertical="center"/>
      <protection/>
    </xf>
    <xf numFmtId="0" fontId="2" fillId="0" borderId="1" xfId="0" applyFont="1" applyFill="1" applyBorder="1" applyAlignment="1" applyProtection="1">
      <alignment horizontal="center" vertical="center"/>
      <protection/>
    </xf>
    <xf numFmtId="0" fontId="0" fillId="0" borderId="47" xfId="0" applyBorder="1" applyAlignment="1">
      <alignment/>
    </xf>
    <xf numFmtId="0" fontId="11" fillId="5" borderId="58" xfId="0" applyFont="1" applyFill="1" applyBorder="1" applyAlignment="1" applyProtection="1">
      <alignment horizontal="center"/>
      <protection locked="0"/>
    </xf>
    <xf numFmtId="0" fontId="11" fillId="5" borderId="5" xfId="0" applyFont="1" applyFill="1" applyBorder="1" applyAlignment="1" applyProtection="1">
      <alignment horizontal="center"/>
      <protection locked="0"/>
    </xf>
    <xf numFmtId="0" fontId="0" fillId="0" borderId="78" xfId="0" applyFill="1" applyBorder="1" applyAlignment="1">
      <alignment/>
    </xf>
    <xf numFmtId="0" fontId="0" fillId="0" borderId="78" xfId="0" applyBorder="1" applyAlignment="1">
      <alignment/>
    </xf>
    <xf numFmtId="0" fontId="0" fillId="5" borderId="21" xfId="0" applyFill="1" applyBorder="1" applyAlignment="1" applyProtection="1">
      <alignment/>
      <protection locked="0"/>
    </xf>
    <xf numFmtId="0" fontId="0" fillId="5" borderId="14" xfId="0" applyFill="1" applyBorder="1" applyAlignment="1" applyProtection="1">
      <alignment/>
      <protection locked="0"/>
    </xf>
    <xf numFmtId="0" fontId="0" fillId="0" borderId="56" xfId="0" applyBorder="1" applyAlignment="1" applyProtection="1">
      <alignment/>
      <protection/>
    </xf>
    <xf numFmtId="0" fontId="1" fillId="0" borderId="44" xfId="0" applyFont="1" applyBorder="1" applyAlignment="1">
      <alignment horizontal="center"/>
    </xf>
    <xf numFmtId="171" fontId="1" fillId="0" borderId="27" xfId="0" applyNumberFormat="1" applyFont="1" applyBorder="1" applyAlignment="1">
      <alignment/>
    </xf>
    <xf numFmtId="171" fontId="1" fillId="0" borderId="78" xfId="0" applyNumberFormat="1" applyFont="1" applyBorder="1" applyAlignment="1">
      <alignment/>
    </xf>
    <xf numFmtId="0" fontId="0" fillId="3" borderId="67" xfId="0" applyFill="1" applyBorder="1" applyAlignment="1">
      <alignment/>
    </xf>
    <xf numFmtId="0" fontId="0" fillId="3" borderId="29" xfId="0" applyFill="1" applyBorder="1" applyAlignment="1">
      <alignment/>
    </xf>
    <xf numFmtId="0" fontId="0" fillId="3" borderId="44" xfId="0" applyFill="1" applyBorder="1" applyAlignment="1" applyProtection="1">
      <alignment/>
      <protection/>
    </xf>
    <xf numFmtId="0" fontId="0" fillId="0" borderId="51" xfId="0" applyFill="1" applyBorder="1" applyAlignment="1" applyProtection="1">
      <alignment horizontal="center"/>
      <protection/>
    </xf>
    <xf numFmtId="0" fontId="0" fillId="3" borderId="67" xfId="0" applyFill="1" applyBorder="1" applyAlignment="1" applyProtection="1">
      <alignment/>
      <protection/>
    </xf>
    <xf numFmtId="0" fontId="0" fillId="5" borderId="27" xfId="0" applyFill="1" applyBorder="1" applyAlignment="1" applyProtection="1">
      <alignment/>
      <protection locked="0"/>
    </xf>
    <xf numFmtId="0" fontId="0" fillId="5" borderId="65" xfId="0" applyFill="1" applyBorder="1" applyAlignment="1" applyProtection="1">
      <alignment/>
      <protection locked="0"/>
    </xf>
    <xf numFmtId="171" fontId="1" fillId="3" borderId="67" xfId="0" applyNumberFormat="1" applyFont="1" applyFill="1" applyBorder="1" applyAlignment="1">
      <alignment/>
    </xf>
    <xf numFmtId="171" fontId="0" fillId="3" borderId="61" xfId="0" applyNumberFormat="1" applyFill="1" applyBorder="1" applyAlignment="1" applyProtection="1">
      <alignment/>
      <protection/>
    </xf>
    <xf numFmtId="0" fontId="0" fillId="3" borderId="60" xfId="0" applyFill="1" applyBorder="1" applyAlignment="1">
      <alignment/>
    </xf>
    <xf numFmtId="0" fontId="0" fillId="3" borderId="29" xfId="0" applyFill="1" applyBorder="1" applyAlignment="1" applyProtection="1">
      <alignment horizontal="center"/>
      <protection/>
    </xf>
    <xf numFmtId="171" fontId="0" fillId="0" borderId="27" xfId="0" applyNumberFormat="1" applyFill="1" applyBorder="1" applyAlignment="1" applyProtection="1">
      <alignment/>
      <protection/>
    </xf>
    <xf numFmtId="0" fontId="1" fillId="0" borderId="0" xfId="0" applyFont="1" applyBorder="1" applyAlignment="1">
      <alignment horizontal="center" vertical="top"/>
    </xf>
    <xf numFmtId="1" fontId="3" fillId="0" borderId="3" xfId="0" applyNumberFormat="1" applyFont="1" applyBorder="1" applyAlignment="1">
      <alignment horizontal="center" vertical="top" wrapText="1"/>
    </xf>
    <xf numFmtId="1" fontId="3" fillId="0" borderId="3" xfId="0" applyNumberFormat="1" applyFont="1" applyBorder="1" applyAlignment="1">
      <alignment horizontal="center"/>
    </xf>
    <xf numFmtId="0" fontId="0" fillId="0" borderId="0" xfId="0" applyFont="1" applyBorder="1" applyAlignment="1">
      <alignment horizontal="right" vertical="center"/>
    </xf>
    <xf numFmtId="171" fontId="1" fillId="0" borderId="79" xfId="0" applyNumberFormat="1" applyFont="1" applyBorder="1" applyAlignment="1">
      <alignment/>
    </xf>
    <xf numFmtId="171" fontId="1" fillId="0" borderId="80" xfId="0" applyNumberFormat="1" applyFont="1" applyBorder="1" applyAlignment="1">
      <alignment/>
    </xf>
    <xf numFmtId="0" fontId="0" fillId="0" borderId="11" xfId="0" applyBorder="1" applyAlignment="1">
      <alignment horizontal="left"/>
    </xf>
    <xf numFmtId="0" fontId="0" fillId="0" borderId="24" xfId="0" applyFont="1" applyBorder="1" applyAlignment="1">
      <alignment horizontal="left"/>
    </xf>
    <xf numFmtId="171" fontId="1" fillId="0" borderId="28" xfId="0" applyNumberFormat="1" applyFont="1" applyBorder="1" applyAlignment="1">
      <alignment/>
    </xf>
    <xf numFmtId="0" fontId="0" fillId="0" borderId="28" xfId="0" applyBorder="1" applyAlignment="1" applyProtection="1">
      <alignment horizontal="center"/>
      <protection/>
    </xf>
    <xf numFmtId="0" fontId="0" fillId="0" borderId="0" xfId="0" applyAlignment="1">
      <alignment vertical="center" wrapText="1"/>
    </xf>
    <xf numFmtId="171" fontId="1" fillId="0" borderId="81" xfId="0" applyNumberFormat="1" applyFont="1" applyBorder="1" applyAlignment="1">
      <alignment/>
    </xf>
    <xf numFmtId="171" fontId="1" fillId="0" borderId="82" xfId="0" applyNumberFormat="1" applyFont="1" applyBorder="1" applyAlignment="1">
      <alignment/>
    </xf>
    <xf numFmtId="0" fontId="3" fillId="0" borderId="47" xfId="0" applyFont="1" applyFill="1" applyBorder="1" applyAlignment="1">
      <alignment horizontal="right"/>
    </xf>
    <xf numFmtId="0" fontId="3" fillId="0" borderId="1" xfId="0" applyFont="1" applyFill="1" applyBorder="1" applyAlignment="1">
      <alignment horizontal="center"/>
    </xf>
    <xf numFmtId="171" fontId="1" fillId="0" borderId="27" xfId="0" applyNumberFormat="1" applyFont="1" applyFill="1" applyBorder="1" applyAlignment="1">
      <alignment/>
    </xf>
    <xf numFmtId="171" fontId="1" fillId="3" borderId="27" xfId="0" applyNumberFormat="1" applyFont="1" applyFill="1" applyBorder="1" applyAlignment="1" applyProtection="1">
      <alignment/>
      <protection hidden="1"/>
    </xf>
    <xf numFmtId="171" fontId="1" fillId="3" borderId="61" xfId="0" applyNumberFormat="1" applyFont="1" applyFill="1" applyBorder="1" applyAlignment="1" applyProtection="1">
      <alignment/>
      <protection hidden="1"/>
    </xf>
    <xf numFmtId="171" fontId="1" fillId="0" borderId="61" xfId="0" applyNumberFormat="1" applyFont="1" applyBorder="1" applyAlignment="1">
      <alignment/>
    </xf>
    <xf numFmtId="171" fontId="1" fillId="0" borderId="51" xfId="0" applyNumberFormat="1" applyFont="1" applyBorder="1" applyAlignment="1">
      <alignment/>
    </xf>
    <xf numFmtId="171" fontId="1" fillId="0" borderId="8" xfId="0" applyNumberFormat="1" applyFont="1" applyBorder="1" applyAlignment="1">
      <alignment/>
    </xf>
    <xf numFmtId="2" fontId="0" fillId="0" borderId="27" xfId="0" applyNumberFormat="1" applyFill="1" applyBorder="1" applyAlignment="1">
      <alignment/>
    </xf>
    <xf numFmtId="171" fontId="0" fillId="0" borderId="29" xfId="0" applyNumberFormat="1" applyBorder="1" applyAlignment="1">
      <alignment/>
    </xf>
    <xf numFmtId="171" fontId="1" fillId="0" borderId="65" xfId="0" applyNumberFormat="1" applyFont="1" applyBorder="1" applyAlignment="1">
      <alignment/>
    </xf>
    <xf numFmtId="171" fontId="1" fillId="0" borderId="8" xfId="0" applyNumberFormat="1" applyFont="1" applyBorder="1" applyAlignment="1">
      <alignment/>
    </xf>
    <xf numFmtId="0" fontId="0" fillId="0" borderId="48" xfId="0" applyBorder="1" applyAlignment="1">
      <alignment/>
    </xf>
    <xf numFmtId="0" fontId="3" fillId="0" borderId="8" xfId="0" applyFont="1" applyBorder="1" applyAlignment="1">
      <alignment horizontal="left" vertical="center"/>
    </xf>
    <xf numFmtId="0" fontId="0" fillId="0" borderId="83" xfId="0" applyFont="1" applyBorder="1" applyAlignment="1">
      <alignment horizontal="left" vertical="center"/>
    </xf>
    <xf numFmtId="0" fontId="2" fillId="0" borderId="1" xfId="0" applyFont="1" applyFill="1" applyBorder="1" applyAlignment="1">
      <alignment horizontal="left" vertical="top" wrapText="1"/>
    </xf>
    <xf numFmtId="0" fontId="0" fillId="0" borderId="0" xfId="0" applyFill="1" applyAlignment="1" applyProtection="1">
      <alignment/>
      <protection/>
    </xf>
    <xf numFmtId="0" fontId="3" fillId="0" borderId="0" xfId="22" applyFont="1" applyFill="1" applyBorder="1" applyAlignment="1" applyProtection="1">
      <alignment horizontal="left" vertical="top"/>
      <protection/>
    </xf>
    <xf numFmtId="0" fontId="3" fillId="0" borderId="0" xfId="22" applyFont="1" applyFill="1" applyBorder="1" applyAlignment="1" applyProtection="1">
      <alignment horizontal="left" vertical="top" wrapText="1"/>
      <protection/>
    </xf>
    <xf numFmtId="37" fontId="37" fillId="0" borderId="0" xfId="0" applyNumberFormat="1" applyFont="1" applyBorder="1" applyAlignment="1" applyProtection="1">
      <alignment horizontal="center" vertical="center"/>
      <protection/>
    </xf>
    <xf numFmtId="0" fontId="2" fillId="0" borderId="0" xfId="21" applyFont="1" applyFill="1" applyBorder="1" applyAlignment="1" applyProtection="1">
      <alignment horizontal="center"/>
      <protection/>
    </xf>
    <xf numFmtId="37" fontId="11" fillId="0" borderId="51" xfId="0" applyNumberFormat="1" applyFont="1" applyBorder="1" applyAlignment="1">
      <alignment/>
    </xf>
    <xf numFmtId="37" fontId="11" fillId="0" borderId="5" xfId="0" applyNumberFormat="1" applyFont="1" applyBorder="1" applyAlignment="1">
      <alignment/>
    </xf>
    <xf numFmtId="37" fontId="11" fillId="0" borderId="52" xfId="0" applyNumberFormat="1" applyFont="1" applyBorder="1" applyAlignment="1">
      <alignment/>
    </xf>
    <xf numFmtId="0" fontId="11" fillId="0" borderId="0" xfId="21" applyFont="1" quotePrefix="1">
      <alignment/>
      <protection/>
    </xf>
    <xf numFmtId="0" fontId="2" fillId="0" borderId="60" xfId="21" applyFont="1" applyFill="1" applyBorder="1" applyAlignment="1" applyProtection="1">
      <alignment horizontal="center"/>
      <protection/>
    </xf>
    <xf numFmtId="0" fontId="2" fillId="0" borderId="37" xfId="21" applyFont="1" applyFill="1" applyBorder="1" applyAlignment="1" applyProtection="1">
      <alignment horizontal="center"/>
      <protection/>
    </xf>
    <xf numFmtId="0" fontId="2" fillId="0" borderId="38" xfId="21" applyFont="1" applyFill="1" applyBorder="1" applyAlignment="1" applyProtection="1">
      <alignment horizontal="center"/>
      <protection/>
    </xf>
    <xf numFmtId="37" fontId="11" fillId="0" borderId="44" xfId="0" applyNumberFormat="1" applyFont="1" applyBorder="1" applyAlignment="1">
      <alignment/>
    </xf>
    <xf numFmtId="37" fontId="11" fillId="0" borderId="30" xfId="0" applyNumberFormat="1" applyFont="1" applyBorder="1" applyAlignment="1">
      <alignment/>
    </xf>
    <xf numFmtId="37" fontId="11" fillId="0" borderId="49" xfId="0" applyNumberFormat="1" applyFont="1" applyBorder="1" applyAlignment="1">
      <alignment/>
    </xf>
    <xf numFmtId="0" fontId="54" fillId="0" borderId="0" xfId="0" applyFont="1" applyAlignment="1">
      <alignment/>
    </xf>
    <xf numFmtId="0" fontId="2" fillId="0" borderId="0" xfId="0" applyFont="1" applyFill="1" applyBorder="1" applyAlignment="1">
      <alignment horizontal="left" vertical="top" wrapText="1"/>
    </xf>
    <xf numFmtId="0" fontId="2" fillId="0" borderId="8" xfId="22" applyFont="1" applyFill="1" applyBorder="1" applyAlignment="1" applyProtection="1">
      <alignment horizontal="left"/>
      <protection/>
    </xf>
    <xf numFmtId="0" fontId="2" fillId="0" borderId="7" xfId="0" applyFont="1" applyFill="1" applyBorder="1" applyAlignment="1">
      <alignment/>
    </xf>
    <xf numFmtId="0" fontId="3" fillId="0" borderId="13" xfId="0" applyFont="1" applyBorder="1" applyAlignment="1">
      <alignment horizontal="center"/>
    </xf>
    <xf numFmtId="0" fontId="3" fillId="0" borderId="49" xfId="0" applyFont="1" applyBorder="1" applyAlignment="1">
      <alignment horizontal="center"/>
    </xf>
    <xf numFmtId="0" fontId="4" fillId="0" borderId="6" xfId="0" applyFont="1" applyBorder="1" applyAlignment="1">
      <alignment/>
    </xf>
    <xf numFmtId="0" fontId="2" fillId="0" borderId="6" xfId="0" applyFont="1" applyBorder="1" applyAlignment="1">
      <alignment/>
    </xf>
    <xf numFmtId="0" fontId="2" fillId="0" borderId="6" xfId="0" applyFont="1" applyFill="1" applyBorder="1" applyAlignment="1">
      <alignment/>
    </xf>
    <xf numFmtId="0" fontId="0" fillId="0" borderId="6" xfId="22" applyFont="1" applyBorder="1" applyAlignment="1" quotePrefix="1">
      <alignment horizontal="left"/>
      <protection/>
    </xf>
    <xf numFmtId="0" fontId="0" fillId="0" borderId="6" xfId="22" applyFont="1" applyBorder="1" quotePrefix="1">
      <alignment/>
      <protection/>
    </xf>
    <xf numFmtId="0" fontId="0" fillId="2" borderId="29"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2" fillId="0" borderId="0" xfId="0" applyFont="1" applyBorder="1" applyAlignment="1">
      <alignment horizontal="left" vertical="top" wrapText="1"/>
    </xf>
    <xf numFmtId="0" fontId="0" fillId="0" borderId="0" xfId="0" applyAlignment="1">
      <alignment horizontal="left" wrapText="1"/>
    </xf>
    <xf numFmtId="0" fontId="1" fillId="0" borderId="0" xfId="0" applyFont="1" applyAlignment="1">
      <alignment/>
    </xf>
    <xf numFmtId="0" fontId="0" fillId="0" borderId="0" xfId="0" applyAlignment="1">
      <alignment wrapText="1"/>
    </xf>
    <xf numFmtId="0" fontId="0" fillId="0" borderId="0" xfId="0" applyAlignment="1">
      <alignment horizontal="left" wrapText="1" indent="1"/>
    </xf>
    <xf numFmtId="0" fontId="0" fillId="0" borderId="0" xfId="0" applyAlignment="1">
      <alignment horizontal="left" vertical="top" wrapText="1"/>
    </xf>
    <xf numFmtId="0" fontId="2" fillId="0" borderId="0" xfId="0" applyFont="1" applyBorder="1" applyAlignment="1">
      <alignment horizontal="left" vertical="top"/>
    </xf>
    <xf numFmtId="0" fontId="0" fillId="0" borderId="0" xfId="0" applyAlignment="1">
      <alignment horizontal="left" vertical="top"/>
    </xf>
    <xf numFmtId="0" fontId="27" fillId="0" borderId="0" xfId="0" applyFont="1" applyAlignment="1">
      <alignment/>
    </xf>
    <xf numFmtId="0" fontId="1" fillId="0" borderId="0" xfId="0" applyFont="1" applyBorder="1" applyAlignment="1" applyProtection="1">
      <alignment horizontal="left" vertical="center"/>
      <protection/>
    </xf>
    <xf numFmtId="0" fontId="0" fillId="0" borderId="0" xfId="0" applyAlignment="1">
      <alignment vertical="top"/>
    </xf>
    <xf numFmtId="0" fontId="55" fillId="0" borderId="0" xfId="0" applyFont="1" applyAlignment="1">
      <alignment/>
    </xf>
    <xf numFmtId="0" fontId="34" fillId="0" borderId="0" xfId="0" applyFont="1" applyAlignment="1">
      <alignment horizontal="center"/>
    </xf>
    <xf numFmtId="0" fontId="28" fillId="0" borderId="0" xfId="20" applyAlignment="1">
      <alignment/>
    </xf>
    <xf numFmtId="0" fontId="28" fillId="0" borderId="0" xfId="20" applyAlignment="1" applyProtection="1">
      <alignment/>
      <protection/>
    </xf>
    <xf numFmtId="0" fontId="28" fillId="0" borderId="8" xfId="20" applyBorder="1" applyAlignment="1">
      <alignment/>
    </xf>
    <xf numFmtId="0" fontId="28" fillId="0" borderId="0" xfId="20" applyBorder="1" applyAlignment="1">
      <alignment/>
    </xf>
    <xf numFmtId="0" fontId="28" fillId="0" borderId="0" xfId="20" applyBorder="1" applyAlignment="1" applyProtection="1">
      <alignment/>
      <protection/>
    </xf>
    <xf numFmtId="0" fontId="0" fillId="0" borderId="0" xfId="0" applyAlignment="1">
      <alignment horizontal="left" indent="3"/>
    </xf>
    <xf numFmtId="0" fontId="39" fillId="0" borderId="0" xfId="0" applyFont="1" applyAlignment="1">
      <alignment/>
    </xf>
    <xf numFmtId="0" fontId="39" fillId="7" borderId="17" xfId="0" applyFont="1" applyFill="1" applyBorder="1" applyAlignment="1">
      <alignment/>
    </xf>
    <xf numFmtId="0" fontId="39" fillId="0" borderId="0" xfId="0" applyFont="1" applyAlignment="1" applyProtection="1">
      <alignment/>
      <protection/>
    </xf>
    <xf numFmtId="0" fontId="57" fillId="0" borderId="8" xfId="0" applyFont="1" applyBorder="1" applyAlignment="1">
      <alignment/>
    </xf>
    <xf numFmtId="0" fontId="1" fillId="0" borderId="10" xfId="0" applyFont="1" applyBorder="1" applyAlignment="1">
      <alignment horizontal="center"/>
    </xf>
    <xf numFmtId="0" fontId="3" fillId="0" borderId="77" xfId="0" applyFont="1" applyBorder="1" applyAlignment="1" applyProtection="1">
      <alignment horizontal="right"/>
      <protection/>
    </xf>
    <xf numFmtId="171" fontId="1" fillId="0" borderId="69" xfId="0" applyNumberFormat="1" applyFont="1" applyBorder="1" applyAlignment="1">
      <alignment/>
    </xf>
    <xf numFmtId="2" fontId="0" fillId="5" borderId="84" xfId="0" applyNumberFormat="1" applyFill="1" applyBorder="1" applyAlignment="1" applyProtection="1">
      <alignment/>
      <protection locked="0"/>
    </xf>
    <xf numFmtId="2" fontId="0" fillId="5" borderId="85" xfId="0" applyNumberFormat="1" applyFill="1" applyBorder="1" applyAlignment="1" applyProtection="1">
      <alignment/>
      <protection locked="0"/>
    </xf>
    <xf numFmtId="2" fontId="0" fillId="5" borderId="27" xfId="0" applyNumberFormat="1" applyFill="1" applyBorder="1" applyAlignment="1" applyProtection="1">
      <alignment/>
      <protection locked="0"/>
    </xf>
    <xf numFmtId="2" fontId="0" fillId="5" borderId="3" xfId="0" applyNumberFormat="1" applyFill="1" applyBorder="1" applyAlignment="1" applyProtection="1">
      <alignment/>
      <protection locked="0"/>
    </xf>
    <xf numFmtId="2" fontId="0" fillId="5" borderId="86" xfId="0" applyNumberFormat="1" applyFill="1" applyBorder="1" applyAlignment="1" applyProtection="1">
      <alignment/>
      <protection locked="0"/>
    </xf>
    <xf numFmtId="2" fontId="0" fillId="5" borderId="12" xfId="0" applyNumberFormat="1" applyFill="1" applyBorder="1" applyAlignment="1" applyProtection="1">
      <alignment/>
      <protection locked="0"/>
    </xf>
    <xf numFmtId="0" fontId="0" fillId="0" borderId="28" xfId="0" applyFont="1" applyBorder="1" applyAlignment="1">
      <alignment horizontal="right"/>
    </xf>
    <xf numFmtId="0" fontId="0" fillId="0" borderId="47"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xf>
    <xf numFmtId="0" fontId="0" fillId="0" borderId="1" xfId="0" applyBorder="1" applyAlignment="1">
      <alignment/>
    </xf>
    <xf numFmtId="0" fontId="0" fillId="0" borderId="57" xfId="0" applyFont="1" applyBorder="1" applyAlignment="1">
      <alignment horizontal="right"/>
    </xf>
    <xf numFmtId="0" fontId="1" fillId="0" borderId="1" xfId="0" applyFont="1" applyBorder="1" applyAlignment="1">
      <alignment horizontal="center"/>
    </xf>
    <xf numFmtId="0" fontId="0" fillId="2" borderId="5" xfId="0" applyFill="1" applyBorder="1" applyAlignment="1" applyProtection="1">
      <alignment horizontal="center"/>
      <protection locked="0"/>
    </xf>
    <xf numFmtId="0" fontId="0" fillId="0" borderId="12" xfId="0" applyBorder="1" applyAlignment="1">
      <alignment/>
    </xf>
    <xf numFmtId="0" fontId="39" fillId="0" borderId="5" xfId="0" applyFont="1" applyFill="1" applyBorder="1" applyAlignment="1" applyProtection="1">
      <alignment horizontal="center"/>
      <protection/>
    </xf>
    <xf numFmtId="0" fontId="59" fillId="0" borderId="0" xfId="0" applyFont="1" applyAlignment="1">
      <alignment/>
    </xf>
    <xf numFmtId="0" fontId="27" fillId="0" borderId="0" xfId="0" applyFont="1" applyAlignment="1">
      <alignment wrapText="1"/>
    </xf>
    <xf numFmtId="0" fontId="0" fillId="2" borderId="9" xfId="0" applyFill="1" applyBorder="1" applyAlignment="1" applyProtection="1">
      <alignment horizontal="center"/>
      <protection locked="0"/>
    </xf>
    <xf numFmtId="0" fontId="11" fillId="5" borderId="59" xfId="0" applyFont="1" applyFill="1" applyBorder="1" applyAlignment="1" applyProtection="1">
      <alignment horizontal="center" vertical="center"/>
      <protection locked="0"/>
    </xf>
    <xf numFmtId="0" fontId="11" fillId="5" borderId="64" xfId="0" applyFont="1" applyFill="1" applyBorder="1" applyAlignment="1" applyProtection="1">
      <alignment horizontal="center" vertical="center"/>
      <protection locked="0"/>
    </xf>
    <xf numFmtId="0" fontId="11" fillId="5" borderId="58"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right" vertical="center" wrapText="1"/>
    </xf>
    <xf numFmtId="0" fontId="2" fillId="2" borderId="19" xfId="0" applyFont="1" applyFill="1" applyBorder="1" applyAlignment="1" applyProtection="1">
      <alignment horizontal="left"/>
      <protection locked="0"/>
    </xf>
    <xf numFmtId="0" fontId="36" fillId="0" borderId="0" xfId="0" applyFont="1" applyBorder="1" applyAlignment="1">
      <alignment horizontal="left"/>
    </xf>
    <xf numFmtId="0" fontId="33" fillId="0" borderId="0" xfId="0" applyFont="1" applyFill="1" applyBorder="1" applyAlignment="1" applyProtection="1">
      <alignment horizontal="center"/>
      <protection/>
    </xf>
    <xf numFmtId="0" fontId="3" fillId="0" borderId="87" xfId="0" applyFont="1" applyBorder="1" applyAlignment="1">
      <alignment horizontal="left"/>
    </xf>
    <xf numFmtId="0" fontId="3" fillId="0" borderId="88" xfId="0" applyFont="1" applyBorder="1" applyAlignment="1">
      <alignment horizontal="left"/>
    </xf>
    <xf numFmtId="0" fontId="3" fillId="0" borderId="45" xfId="0" applyFont="1" applyBorder="1" applyAlignment="1">
      <alignment horizontal="left"/>
    </xf>
    <xf numFmtId="0" fontId="0" fillId="0" borderId="8" xfId="0" applyFont="1" applyBorder="1" applyAlignment="1">
      <alignment horizontal="right" vertical="center" wrapText="1"/>
    </xf>
    <xf numFmtId="0" fontId="0" fillId="2" borderId="19" xfId="0" applyFill="1" applyBorder="1" applyAlignment="1" applyProtection="1">
      <alignment horizontal="left"/>
      <protection locked="0"/>
    </xf>
    <xf numFmtId="0" fontId="33" fillId="0" borderId="0" xfId="0" applyFont="1" applyFill="1" applyBorder="1" applyAlignment="1">
      <alignment horizontal="center" vertical="top"/>
    </xf>
    <xf numFmtId="0" fontId="33" fillId="0" borderId="0" xfId="0" applyFont="1" applyFill="1" applyBorder="1" applyAlignment="1">
      <alignment horizontal="center" vertical="center"/>
    </xf>
    <xf numFmtId="0" fontId="1" fillId="0" borderId="0" xfId="0" applyFont="1" applyBorder="1" applyAlignment="1">
      <alignment horizontal="left"/>
    </xf>
    <xf numFmtId="0" fontId="47" fillId="8" borderId="50" xfId="0" applyFont="1" applyFill="1" applyBorder="1" applyAlignment="1">
      <alignment horizontal="left" vertical="top" wrapText="1"/>
    </xf>
    <xf numFmtId="0" fontId="49" fillId="0" borderId="0" xfId="0" applyFont="1" applyFill="1" applyAlignment="1">
      <alignment horizontal="left" vertical="top" wrapText="1"/>
    </xf>
    <xf numFmtId="0" fontId="0" fillId="0" borderId="23" xfId="0" applyBorder="1" applyAlignment="1">
      <alignment horizontal="left" vertical="top" wrapText="1"/>
    </xf>
    <xf numFmtId="0" fontId="0" fillId="0" borderId="34"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33" xfId="0" applyBorder="1" applyAlignment="1">
      <alignment horizontal="left" vertical="top" wrapText="1"/>
    </xf>
    <xf numFmtId="0" fontId="47" fillId="8" borderId="15" xfId="0" applyFont="1" applyFill="1" applyBorder="1" applyAlignment="1">
      <alignment horizontal="left" vertical="top" wrapText="1"/>
    </xf>
    <xf numFmtId="0" fontId="47" fillId="8" borderId="16" xfId="0" applyFont="1" applyFill="1" applyBorder="1" applyAlignment="1">
      <alignment horizontal="left" vertical="top" wrapText="1"/>
    </xf>
    <xf numFmtId="0" fontId="3" fillId="0" borderId="19" xfId="0" applyFont="1" applyFill="1" applyBorder="1" applyAlignment="1" applyProtection="1">
      <alignment horizontal="left"/>
      <protection/>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0" fontId="28" fillId="0" borderId="0" xfId="20" applyAlignment="1">
      <alignment horizontal="center"/>
    </xf>
    <xf numFmtId="0" fontId="0" fillId="0" borderId="0" xfId="0" applyAlignment="1">
      <alignment horizontal="left" vertical="center" indent="3"/>
    </xf>
    <xf numFmtId="0" fontId="1" fillId="0" borderId="0" xfId="0" applyFont="1" applyAlignment="1">
      <alignment horizontal="left" vertical="top" wrapText="1"/>
    </xf>
    <xf numFmtId="0" fontId="0" fillId="0" borderId="0" xfId="0" applyAlignment="1">
      <alignment horizontal="left" wrapText="1"/>
    </xf>
    <xf numFmtId="0" fontId="34" fillId="0" borderId="0" xfId="0" applyFont="1" applyAlignment="1">
      <alignment horizontal="center"/>
    </xf>
    <xf numFmtId="0" fontId="1" fillId="4" borderId="0" xfId="0" applyFont="1" applyFill="1" applyAlignment="1">
      <alignment horizontal="left" vertical="top" wrapText="1"/>
    </xf>
    <xf numFmtId="0" fontId="0" fillId="4" borderId="0" xfId="0" applyFill="1" applyAlignment="1">
      <alignment horizontal="left" vertical="top" wrapText="1"/>
    </xf>
    <xf numFmtId="0" fontId="27" fillId="0" borderId="0" xfId="0" applyFont="1" applyAlignment="1">
      <alignment horizontal="left" wrapText="1"/>
    </xf>
    <xf numFmtId="0" fontId="28" fillId="0" borderId="0" xfId="20" applyAlignment="1" quotePrefix="1">
      <alignment horizontal="center"/>
    </xf>
    <xf numFmtId="0" fontId="11" fillId="4" borderId="40"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34"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9"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4" borderId="57" xfId="0" applyFont="1" applyFill="1" applyBorder="1" applyAlignment="1">
      <alignment horizontal="left" vertical="top" wrapText="1"/>
    </xf>
    <xf numFmtId="0" fontId="0" fillId="4" borderId="42" xfId="0" applyFill="1" applyBorder="1" applyAlignment="1">
      <alignment horizontal="left" vertical="top" wrapText="1"/>
    </xf>
    <xf numFmtId="0" fontId="11" fillId="5" borderId="24" xfId="0" applyFont="1" applyFill="1" applyBorder="1" applyAlignment="1" applyProtection="1">
      <alignment horizontal="center"/>
      <protection locked="0"/>
    </xf>
    <xf numFmtId="0" fontId="2" fillId="0" borderId="24"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44" fillId="0" borderId="6" xfId="0" applyFont="1" applyFill="1" applyBorder="1" applyAlignment="1">
      <alignment horizontal="left"/>
    </xf>
    <xf numFmtId="0" fontId="45" fillId="0" borderId="6"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0" xfId="0" applyFont="1" applyFill="1" applyBorder="1" applyAlignment="1">
      <alignment horizontal="center" vertical="center"/>
    </xf>
    <xf numFmtId="0" fontId="19" fillId="0" borderId="90" xfId="21" applyFont="1" applyFill="1" applyBorder="1" applyAlignment="1" applyProtection="1">
      <alignment horizontal="center"/>
      <protection/>
    </xf>
    <xf numFmtId="0" fontId="19" fillId="0" borderId="91" xfId="21" applyFont="1" applyFill="1" applyBorder="1" applyAlignment="1" applyProtection="1">
      <alignment horizontal="center"/>
      <protection/>
    </xf>
    <xf numFmtId="0" fontId="19" fillId="0" borderId="92" xfId="21" applyFont="1" applyFill="1" applyBorder="1" applyAlignment="1" applyProtection="1">
      <alignment horizontal="center"/>
      <protection/>
    </xf>
    <xf numFmtId="0" fontId="2" fillId="0" borderId="5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89"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7" xfId="0" applyFont="1" applyFill="1"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xf>
    <xf numFmtId="0" fontId="0" fillId="0" borderId="25" xfId="0" applyBorder="1" applyAlignment="1">
      <alignment horizontal="center"/>
    </xf>
    <xf numFmtId="0" fontId="0" fillId="0" borderId="89" xfId="0" applyBorder="1" applyAlignment="1">
      <alignment horizontal="center"/>
    </xf>
    <xf numFmtId="0" fontId="0" fillId="0" borderId="57" xfId="0" applyBorder="1" applyAlignment="1">
      <alignment horizontal="center"/>
    </xf>
    <xf numFmtId="0" fontId="2" fillId="0" borderId="32" xfId="22" applyFont="1" applyBorder="1" applyAlignment="1" applyProtection="1">
      <alignment horizontal="center" vertical="center"/>
      <protection/>
    </xf>
    <xf numFmtId="0" fontId="2" fillId="0" borderId="19" xfId="22" applyFont="1" applyBorder="1" applyAlignment="1" applyProtection="1">
      <alignment horizontal="center" vertical="center"/>
      <protection/>
    </xf>
    <xf numFmtId="0" fontId="2" fillId="0" borderId="33" xfId="22" applyFont="1" applyBorder="1" applyAlignment="1" applyProtection="1">
      <alignment horizontal="center" vertical="center"/>
      <protection/>
    </xf>
    <xf numFmtId="0" fontId="3" fillId="0" borderId="15" xfId="0" applyFont="1" applyBorder="1" applyAlignment="1">
      <alignment horizontal="center"/>
    </xf>
    <xf numFmtId="0" fontId="3" fillId="0" borderId="16" xfId="0" applyFont="1" applyBorder="1" applyAlignment="1">
      <alignment horizontal="center"/>
    </xf>
    <xf numFmtId="0" fontId="3" fillId="0" borderId="50" xfId="0" applyFont="1" applyBorder="1" applyAlignment="1">
      <alignment horizontal="center"/>
    </xf>
    <xf numFmtId="0" fontId="2" fillId="2" borderId="57" xfId="0" applyFont="1" applyFill="1" applyBorder="1" applyAlignment="1" applyProtection="1">
      <alignment horizontal="center" vertical="center"/>
      <protection locked="0"/>
    </xf>
    <xf numFmtId="0" fontId="2" fillId="0" borderId="48" xfId="0" applyFont="1" applyBorder="1" applyAlignment="1">
      <alignment horizontal="center"/>
    </xf>
    <xf numFmtId="0" fontId="2" fillId="2" borderId="4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5" borderId="42" xfId="0" applyFont="1" applyFill="1" applyBorder="1" applyAlignment="1" applyProtection="1">
      <alignment horizontal="center" vertical="center"/>
      <protection locked="0"/>
    </xf>
    <xf numFmtId="0" fontId="3" fillId="5" borderId="43"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3" fillId="5" borderId="5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171" fontId="2" fillId="0" borderId="8" xfId="0" applyNumberFormat="1" applyFont="1" applyFill="1" applyBorder="1" applyAlignment="1" applyProtection="1">
      <alignment horizontal="center" vertical="center"/>
      <protection/>
    </xf>
    <xf numFmtId="171" fontId="2" fillId="0" borderId="0" xfId="0" applyNumberFormat="1" applyFont="1" applyFill="1" applyBorder="1" applyAlignment="1" applyProtection="1">
      <alignment horizontal="center" vertical="center"/>
      <protection/>
    </xf>
    <xf numFmtId="171" fontId="2" fillId="0" borderId="7" xfId="0" applyNumberFormat="1" applyFont="1" applyFill="1" applyBorder="1" applyAlignment="1" applyProtection="1">
      <alignment horizontal="center" vertical="center"/>
      <protection/>
    </xf>
    <xf numFmtId="171" fontId="2" fillId="0" borderId="47" xfId="0" applyNumberFormat="1" applyFont="1" applyFill="1" applyBorder="1" applyAlignment="1" applyProtection="1">
      <alignment horizontal="center" vertical="center"/>
      <protection/>
    </xf>
    <xf numFmtId="171" fontId="2" fillId="0" borderId="1" xfId="0" applyNumberFormat="1" applyFont="1" applyFill="1" applyBorder="1" applyAlignment="1" applyProtection="1">
      <alignment horizontal="center" vertical="center"/>
      <protection/>
    </xf>
    <xf numFmtId="171" fontId="2" fillId="0" borderId="57" xfId="0" applyNumberFormat="1" applyFont="1" applyFill="1" applyBorder="1" applyAlignment="1" applyProtection="1">
      <alignment horizontal="center" vertical="center"/>
      <protection/>
    </xf>
    <xf numFmtId="0" fontId="39" fillId="3" borderId="48" xfId="0" applyFont="1" applyFill="1" applyBorder="1" applyAlignment="1">
      <alignment horizontal="center" vertical="center"/>
    </xf>
    <xf numFmtId="0" fontId="3" fillId="0" borderId="48" xfId="0" applyFont="1" applyFill="1" applyBorder="1" applyAlignment="1">
      <alignment horizontal="center" vertical="center"/>
    </xf>
    <xf numFmtId="0" fontId="39" fillId="0" borderId="48" xfId="0" applyFont="1" applyFill="1" applyBorder="1" applyAlignment="1">
      <alignment horizontal="center" vertical="center"/>
    </xf>
    <xf numFmtId="37" fontId="39" fillId="0" borderId="48" xfId="0" applyNumberFormat="1" applyFont="1" applyFill="1" applyBorder="1" applyAlignment="1">
      <alignment horizontal="center" vertical="center"/>
    </xf>
    <xf numFmtId="184" fontId="2" fillId="0" borderId="3" xfId="17" applyNumberFormat="1" applyFont="1" applyFill="1" applyBorder="1" applyAlignment="1" applyProtection="1">
      <alignment horizontal="center"/>
      <protection/>
    </xf>
    <xf numFmtId="184" fontId="2" fillId="0" borderId="12" xfId="17" applyNumberFormat="1" applyFont="1" applyFill="1" applyBorder="1" applyAlignment="1" applyProtection="1">
      <alignment horizontal="center"/>
      <protection/>
    </xf>
    <xf numFmtId="184" fontId="2" fillId="0" borderId="4" xfId="17" applyNumberFormat="1" applyFont="1" applyFill="1" applyBorder="1" applyAlignment="1" applyProtection="1">
      <alignment horizontal="center"/>
      <protection/>
    </xf>
    <xf numFmtId="184" fontId="2" fillId="0" borderId="14" xfId="17" applyNumberFormat="1" applyFont="1" applyFill="1" applyBorder="1" applyAlignment="1" applyProtection="1">
      <alignment horizontal="center"/>
      <protection/>
    </xf>
    <xf numFmtId="184" fontId="2" fillId="0" borderId="2" xfId="17" applyNumberFormat="1" applyFont="1" applyFill="1" applyBorder="1" applyAlignment="1" applyProtection="1">
      <alignment horizontal="center"/>
      <protection/>
    </xf>
    <xf numFmtId="184" fontId="2" fillId="0" borderId="13" xfId="17" applyNumberFormat="1" applyFont="1" applyFill="1" applyBorder="1" applyAlignment="1" applyProtection="1">
      <alignment horizontal="center"/>
      <protection/>
    </xf>
    <xf numFmtId="0" fontId="39" fillId="0" borderId="48" xfId="0" applyFont="1" applyBorder="1" applyAlignment="1" applyProtection="1">
      <alignment horizontal="center"/>
      <protection/>
    </xf>
    <xf numFmtId="0" fontId="2" fillId="3" borderId="48" xfId="0" applyFont="1" applyFill="1" applyBorder="1" applyAlignment="1" applyProtection="1">
      <alignment horizontal="center"/>
      <protection/>
    </xf>
    <xf numFmtId="0" fontId="39" fillId="9" borderId="48" xfId="0" applyFont="1" applyFill="1" applyBorder="1" applyAlignment="1" applyProtection="1">
      <alignment horizontal="center"/>
      <protection/>
    </xf>
    <xf numFmtId="37" fontId="37" fillId="0" borderId="48" xfId="0" applyNumberFormat="1" applyFont="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2" fillId="0" borderId="26"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0" borderId="22" xfId="0" applyFont="1" applyBorder="1" applyAlignment="1">
      <alignment horizontal="left" vertical="center"/>
    </xf>
    <xf numFmtId="0" fontId="2" fillId="0" borderId="19" xfId="0" applyFont="1" applyBorder="1" applyAlignment="1">
      <alignment horizontal="left" vertical="center"/>
    </xf>
    <xf numFmtId="0" fontId="2" fillId="0" borderId="33" xfId="0" applyFont="1" applyBorder="1" applyAlignment="1">
      <alignment horizontal="left" vertical="center"/>
    </xf>
    <xf numFmtId="0" fontId="2" fillId="0" borderId="42"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0" fillId="2" borderId="2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1" fillId="0" borderId="93" xfId="0" applyFont="1" applyBorder="1" applyAlignment="1" applyProtection="1">
      <alignment horizontal="right"/>
      <protection/>
    </xf>
    <xf numFmtId="0" fontId="1" fillId="0" borderId="64" xfId="0" applyFont="1" applyBorder="1" applyAlignment="1" applyProtection="1">
      <alignment horizontal="right"/>
      <protection/>
    </xf>
    <xf numFmtId="0" fontId="1" fillId="0" borderId="58" xfId="0" applyFont="1" applyBorder="1" applyAlignment="1" applyProtection="1">
      <alignment horizontal="right"/>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50" xfId="0" applyFont="1" applyBorder="1" applyAlignment="1" applyProtection="1">
      <alignment horizontal="center"/>
      <protection/>
    </xf>
    <xf numFmtId="0" fontId="0" fillId="0" borderId="0" xfId="0" applyFont="1" applyBorder="1" applyAlignment="1">
      <alignment horizontal="center" vertical="center"/>
    </xf>
    <xf numFmtId="0" fontId="0" fillId="0" borderId="71" xfId="0" applyFont="1" applyBorder="1" applyAlignment="1">
      <alignment horizontal="center" vertical="center"/>
    </xf>
    <xf numFmtId="0" fontId="0" fillId="5" borderId="20"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26"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25"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47"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57" xfId="0" applyFill="1" applyBorder="1" applyAlignment="1" applyProtection="1">
      <alignment horizontal="left" vertical="top" wrapText="1"/>
      <protection locked="0"/>
    </xf>
    <xf numFmtId="0" fontId="1" fillId="0" borderId="20" xfId="0" applyFont="1" applyBorder="1" applyAlignment="1">
      <alignment horizontal="right"/>
    </xf>
    <xf numFmtId="0" fontId="1" fillId="0" borderId="11" xfId="0" applyFont="1" applyBorder="1" applyAlignment="1">
      <alignment horizontal="right"/>
    </xf>
    <xf numFmtId="0" fontId="1" fillId="0" borderId="9" xfId="0" applyFont="1" applyBorder="1" applyAlignment="1">
      <alignment horizontal="right"/>
    </xf>
    <xf numFmtId="177" fontId="39" fillId="2" borderId="88" xfId="0" applyNumberFormat="1" applyFont="1" applyFill="1" applyBorder="1" applyAlignment="1" applyProtection="1">
      <alignment horizontal="center"/>
      <protection locked="0"/>
    </xf>
    <xf numFmtId="184" fontId="3" fillId="0" borderId="53" xfId="0" applyNumberFormat="1" applyFont="1" applyBorder="1" applyAlignment="1" applyProtection="1">
      <alignment horizontal="center"/>
      <protection/>
    </xf>
    <xf numFmtId="184" fontId="3" fillId="0" borderId="54" xfId="0" applyNumberFormat="1" applyFont="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2" fillId="0" borderId="89"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2" fillId="0" borderId="44" xfId="22" applyFont="1" applyBorder="1" applyAlignment="1" applyProtection="1">
      <alignment horizontal="center" vertical="center"/>
      <protection/>
    </xf>
    <xf numFmtId="0" fontId="2" fillId="0" borderId="30" xfId="22" applyFont="1" applyBorder="1" applyAlignment="1" applyProtection="1">
      <alignment horizontal="center" vertical="center"/>
      <protection/>
    </xf>
    <xf numFmtId="0" fontId="2" fillId="0" borderId="27" xfId="22" applyFont="1" applyBorder="1" applyAlignment="1" applyProtection="1">
      <alignment horizontal="center" vertical="center"/>
      <protection/>
    </xf>
    <xf numFmtId="0" fontId="2" fillId="0" borderId="3" xfId="22" applyFont="1" applyBorder="1" applyAlignment="1" applyProtection="1">
      <alignment horizontal="center" vertical="center"/>
      <protection/>
    </xf>
    <xf numFmtId="37" fontId="2" fillId="0" borderId="2" xfId="0" applyNumberFormat="1" applyFont="1" applyFill="1" applyBorder="1" applyAlignment="1">
      <alignment horizontal="center"/>
    </xf>
    <xf numFmtId="0" fontId="2" fillId="2" borderId="94"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37" fontId="37" fillId="0" borderId="48" xfId="0" applyNumberFormat="1" applyFont="1" applyBorder="1" applyAlignment="1" applyProtection="1">
      <alignment horizontal="center" vertical="center"/>
      <protection/>
    </xf>
    <xf numFmtId="37" fontId="2" fillId="0" borderId="2" xfId="0" applyNumberFormat="1" applyFont="1" applyBorder="1" applyAlignment="1" applyProtection="1">
      <alignment horizontal="center"/>
      <protection/>
    </xf>
    <xf numFmtId="0" fontId="2" fillId="2" borderId="27"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protection locked="0"/>
    </xf>
    <xf numFmtId="0" fontId="11" fillId="0" borderId="42" xfId="0" applyFont="1" applyFill="1" applyBorder="1" applyAlignment="1" applyProtection="1">
      <alignment horizontal="center" vertical="center" wrapText="1"/>
      <protection/>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5" borderId="3"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2" borderId="12"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19" fillId="0" borderId="26" xfId="0" applyFont="1" applyBorder="1" applyAlignment="1">
      <alignment horizontal="center" vertical="center"/>
    </xf>
    <xf numFmtId="0" fontId="19" fillId="0" borderId="74" xfId="0" applyFont="1" applyBorder="1" applyAlignment="1">
      <alignment horizontal="center" vertical="center"/>
    </xf>
    <xf numFmtId="0" fontId="19" fillId="0" borderId="47" xfId="0" applyFont="1" applyBorder="1" applyAlignment="1">
      <alignment horizontal="center" vertical="center"/>
    </xf>
    <xf numFmtId="0" fontId="19" fillId="0" borderId="55" xfId="0" applyFont="1" applyBorder="1" applyAlignment="1">
      <alignment horizontal="center" vertical="center"/>
    </xf>
    <xf numFmtId="0" fontId="2" fillId="0" borderId="26"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2" fillId="0" borderId="93" xfId="21" applyFont="1" applyFill="1" applyBorder="1" applyAlignment="1" applyProtection="1">
      <alignment horizontal="center"/>
      <protection/>
    </xf>
    <xf numFmtId="0" fontId="2" fillId="0" borderId="64" xfId="21" applyFont="1" applyFill="1" applyBorder="1" applyAlignment="1" applyProtection="1">
      <alignment horizontal="center"/>
      <protection/>
    </xf>
    <xf numFmtId="0" fontId="2" fillId="0" borderId="37" xfId="0" applyFont="1" applyBorder="1" applyAlignment="1">
      <alignment horizontal="center" vertical="center" wrapText="1"/>
    </xf>
    <xf numFmtId="0" fontId="2" fillId="0" borderId="53" xfId="0" applyFont="1" applyBorder="1" applyAlignment="1">
      <alignment horizontal="center" vertical="center" wrapText="1"/>
    </xf>
    <xf numFmtId="0" fontId="46" fillId="4" borderId="26" xfId="0" applyFont="1" applyFill="1" applyBorder="1" applyAlignment="1">
      <alignment horizontal="center" vertical="center"/>
    </xf>
    <xf numFmtId="0" fontId="46" fillId="4" borderId="6" xfId="0" applyFont="1" applyFill="1" applyBorder="1" applyAlignment="1">
      <alignment horizontal="center" vertical="center"/>
    </xf>
    <xf numFmtId="0" fontId="46" fillId="4" borderId="25" xfId="0" applyFont="1" applyFill="1" applyBorder="1" applyAlignment="1">
      <alignment horizontal="center" vertical="center"/>
    </xf>
    <xf numFmtId="0" fontId="46" fillId="4" borderId="47"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57" xfId="0" applyFont="1" applyFill="1" applyBorder="1" applyAlignment="1">
      <alignment horizontal="center" vertical="center"/>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47" xfId="0" applyFont="1" applyBorder="1" applyAlignment="1">
      <alignment horizontal="left" vertical="top" wrapText="1"/>
    </xf>
    <xf numFmtId="0" fontId="11" fillId="0" borderId="1" xfId="0" applyFont="1" applyBorder="1" applyAlignment="1">
      <alignment horizontal="left" vertical="top" wrapText="1"/>
    </xf>
    <xf numFmtId="0" fontId="11" fillId="0" borderId="57" xfId="0" applyFont="1" applyBorder="1" applyAlignment="1">
      <alignment horizontal="left" vertical="top" wrapText="1"/>
    </xf>
    <xf numFmtId="0" fontId="39" fillId="0" borderId="40" xfId="0" applyFont="1" applyBorder="1" applyAlignment="1">
      <alignment horizontal="center" vertical="center"/>
    </xf>
    <xf numFmtId="0" fontId="39" fillId="0" borderId="23" xfId="0" applyFont="1" applyBorder="1" applyAlignment="1">
      <alignment horizontal="center" vertical="center"/>
    </xf>
    <xf numFmtId="0" fontId="39" fillId="0" borderId="43"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5" xfId="0" applyFont="1" applyFill="1" applyBorder="1" applyAlignment="1">
      <alignment horizontal="left" vertical="center"/>
    </xf>
    <xf numFmtId="0" fontId="0" fillId="0" borderId="16" xfId="0" applyFill="1" applyBorder="1" applyAlignment="1">
      <alignment horizontal="left" vertical="center"/>
    </xf>
    <xf numFmtId="0" fontId="2" fillId="0" borderId="44" xfId="0" applyFont="1" applyFill="1" applyBorder="1" applyAlignment="1">
      <alignment horizontal="center" vertical="center" wrapText="1"/>
    </xf>
    <xf numFmtId="0" fontId="0" fillId="0" borderId="51" xfId="0" applyBorder="1" applyAlignment="1">
      <alignment horizontal="center" vertical="center" wrapText="1"/>
    </xf>
    <xf numFmtId="0" fontId="1"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left" vertical="center"/>
    </xf>
    <xf numFmtId="0" fontId="0" fillId="0" borderId="12" xfId="0" applyBorder="1" applyAlignment="1">
      <alignment horizontal="left" vertical="center"/>
    </xf>
    <xf numFmtId="0" fontId="1" fillId="0" borderId="27" xfId="0" applyFont="1" applyFill="1" applyBorder="1" applyAlignment="1">
      <alignment horizontal="left" vertical="center"/>
    </xf>
    <xf numFmtId="0" fontId="1" fillId="0" borderId="3" xfId="0" applyFont="1" applyFill="1" applyBorder="1" applyAlignment="1">
      <alignment horizontal="left" vertical="center"/>
    </xf>
    <xf numFmtId="0" fontId="11" fillId="0" borderId="64" xfId="0" applyFont="1" applyBorder="1" applyAlignment="1">
      <alignment horizontal="center" vertical="center"/>
    </xf>
    <xf numFmtId="0" fontId="11" fillId="0" borderId="83" xfId="0" applyFont="1" applyBorder="1" applyAlignment="1">
      <alignment horizontal="center" vertical="center"/>
    </xf>
    <xf numFmtId="0" fontId="1" fillId="0" borderId="20" xfId="0" applyFont="1" applyFill="1" applyBorder="1" applyAlignment="1">
      <alignment horizontal="left" vertical="center"/>
    </xf>
    <xf numFmtId="0" fontId="1" fillId="0" borderId="11" xfId="0" applyFont="1" applyFill="1" applyBorder="1" applyAlignment="1">
      <alignment horizontal="left" vertical="center"/>
    </xf>
    <xf numFmtId="0" fontId="1" fillId="0" borderId="41" xfId="0" applyFont="1" applyFill="1" applyBorder="1" applyAlignment="1">
      <alignment horizontal="left" vertical="center"/>
    </xf>
    <xf numFmtId="0" fontId="11" fillId="0" borderId="51" xfId="0" applyFont="1" applyBorder="1" applyAlignment="1">
      <alignment horizontal="center" vertical="center"/>
    </xf>
    <xf numFmtId="0" fontId="11" fillId="0" borderId="5" xfId="0" applyFont="1" applyBorder="1" applyAlignment="1">
      <alignment horizontal="center" vertical="center"/>
    </xf>
    <xf numFmtId="0" fontId="11" fillId="0" borderId="59" xfId="0" applyFont="1" applyBorder="1" applyAlignment="1">
      <alignment horizontal="center" vertical="center"/>
    </xf>
    <xf numFmtId="0" fontId="11" fillId="0" borderId="58" xfId="0" applyFont="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50" xfId="0" applyFill="1" applyBorder="1" applyAlignment="1">
      <alignment horizontal="center" vertical="center"/>
    </xf>
    <xf numFmtId="0" fontId="1" fillId="0" borderId="56" xfId="0" applyFont="1" applyBorder="1" applyAlignment="1">
      <alignment horizontal="center" vertical="center"/>
    </xf>
    <xf numFmtId="0" fontId="1" fillId="0" borderId="6" xfId="0" applyFont="1" applyBorder="1" applyAlignment="1">
      <alignment horizontal="center" vertical="center"/>
    </xf>
    <xf numFmtId="0" fontId="1" fillId="0" borderId="74" xfId="0" applyFont="1" applyBorder="1" applyAlignment="1">
      <alignment horizontal="center" vertical="center"/>
    </xf>
    <xf numFmtId="0" fontId="52" fillId="0" borderId="59" xfId="0" applyFont="1" applyFill="1" applyBorder="1" applyAlignment="1" applyProtection="1">
      <alignment horizontal="center" vertical="center"/>
      <protection/>
    </xf>
    <xf numFmtId="0" fontId="52" fillId="0" borderId="64" xfId="0" applyFont="1" applyFill="1" applyBorder="1" applyAlignment="1" applyProtection="1">
      <alignment horizontal="center" vertical="center"/>
      <protection/>
    </xf>
    <xf numFmtId="0" fontId="52" fillId="0" borderId="58" xfId="0"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2" borderId="22"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0" borderId="30" xfId="0" applyBorder="1" applyAlignment="1">
      <alignment horizontal="left" vertical="center"/>
    </xf>
    <xf numFmtId="0" fontId="0" fillId="0" borderId="49" xfId="0" applyBorder="1" applyAlignment="1">
      <alignment horizontal="left" vertical="center"/>
    </xf>
    <xf numFmtId="0" fontId="0" fillId="0" borderId="3" xfId="0" applyBorder="1" applyAlignment="1">
      <alignment horizontal="left" vertical="center" wrapText="1"/>
    </xf>
    <xf numFmtId="0" fontId="0" fillId="0" borderId="12" xfId="0" applyBorder="1" applyAlignment="1">
      <alignment horizontal="left" vertical="center" wrapText="1"/>
    </xf>
    <xf numFmtId="0" fontId="1" fillId="0" borderId="44" xfId="0" applyFont="1" applyFill="1" applyBorder="1" applyAlignment="1" quotePrefix="1">
      <alignment horizontal="left" vertical="center"/>
    </xf>
    <xf numFmtId="0" fontId="1" fillId="0" borderId="30" xfId="0" applyFont="1" applyFill="1" applyBorder="1" applyAlignment="1" quotePrefix="1">
      <alignment horizontal="left" vertical="center"/>
    </xf>
    <xf numFmtId="0" fontId="1" fillId="0" borderId="56" xfId="0" applyFont="1" applyFill="1" applyBorder="1" applyAlignment="1">
      <alignment horizontal="center" vertical="center"/>
    </xf>
    <xf numFmtId="0" fontId="1" fillId="0" borderId="74" xfId="0" applyFont="1" applyFill="1" applyBorder="1" applyAlignment="1">
      <alignment horizontal="center" vertical="center"/>
    </xf>
    <xf numFmtId="0" fontId="0" fillId="0" borderId="5" xfId="0" applyBorder="1" applyAlignment="1">
      <alignment horizontal="center" vertical="center"/>
    </xf>
    <xf numFmtId="0" fontId="0" fillId="0" borderId="52" xfId="0" applyBorder="1" applyAlignment="1">
      <alignment horizontal="center" vertical="center"/>
    </xf>
    <xf numFmtId="0" fontId="1" fillId="0" borderId="27" xfId="0" applyFont="1" applyFill="1" applyBorder="1" applyAlignment="1" quotePrefix="1">
      <alignment horizontal="left" vertical="center"/>
    </xf>
    <xf numFmtId="0" fontId="1" fillId="0" borderId="3" xfId="0" applyFont="1" applyFill="1" applyBorder="1" applyAlignment="1" quotePrefix="1">
      <alignment horizontal="left" vertical="center"/>
    </xf>
    <xf numFmtId="0" fontId="11" fillId="5" borderId="26"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1" fillId="5" borderId="25"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47"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1" fillId="5" borderId="57" xfId="0" applyFont="1" applyFill="1" applyBorder="1" applyAlignment="1" applyProtection="1">
      <alignment horizontal="left" vertical="top" wrapText="1"/>
      <protection locked="0"/>
    </xf>
    <xf numFmtId="0" fontId="46" fillId="4" borderId="76"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46" fillId="4" borderId="77" xfId="0" applyFont="1" applyFill="1" applyBorder="1" applyAlignment="1">
      <alignment horizontal="center" vertical="center" wrapText="1"/>
    </xf>
    <xf numFmtId="0" fontId="37" fillId="0" borderId="26" xfId="0" applyFont="1" applyBorder="1" applyAlignment="1">
      <alignment horizontal="left" vertical="center" wrapText="1"/>
    </xf>
    <xf numFmtId="0" fontId="37" fillId="0" borderId="6" xfId="0" applyFont="1" applyBorder="1" applyAlignment="1">
      <alignment horizontal="left" vertical="center" wrapText="1"/>
    </xf>
    <xf numFmtId="0" fontId="37" fillId="0" borderId="25" xfId="0" applyFont="1" applyBorder="1" applyAlignment="1">
      <alignment horizontal="left" vertical="center" wrapText="1"/>
    </xf>
    <xf numFmtId="0" fontId="37" fillId="0" borderId="8" xfId="0" applyFont="1" applyBorder="1" applyAlignment="1">
      <alignment horizontal="left" vertical="center" wrapText="1"/>
    </xf>
    <xf numFmtId="0" fontId="37" fillId="0" borderId="0" xfId="0" applyFont="1" applyBorder="1" applyAlignment="1">
      <alignment horizontal="left" vertical="center" wrapText="1"/>
    </xf>
    <xf numFmtId="0" fontId="37" fillId="0" borderId="7" xfId="0" applyFont="1" applyBorder="1" applyAlignment="1">
      <alignment horizontal="left" vertical="center" wrapText="1"/>
    </xf>
    <xf numFmtId="0" fontId="37" fillId="0" borderId="47" xfId="0" applyFont="1" applyBorder="1" applyAlignment="1">
      <alignment horizontal="left" vertical="center" wrapText="1"/>
    </xf>
    <xf numFmtId="0" fontId="37" fillId="0" borderId="1" xfId="0" applyFont="1" applyBorder="1" applyAlignment="1">
      <alignment horizontal="left" vertical="center" wrapText="1"/>
    </xf>
    <xf numFmtId="0" fontId="37" fillId="0" borderId="57" xfId="0" applyFont="1" applyBorder="1" applyAlignment="1">
      <alignment horizontal="left" vertical="center" wrapText="1"/>
    </xf>
    <xf numFmtId="0" fontId="38" fillId="0" borderId="26"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57" xfId="0" applyFont="1" applyBorder="1" applyAlignment="1">
      <alignment horizontal="center" vertical="center" wrapText="1"/>
    </xf>
    <xf numFmtId="0" fontId="2" fillId="5" borderId="38" xfId="0" applyFont="1"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1" fillId="0" borderId="26" xfId="0" applyFont="1" applyBorder="1" applyAlignment="1">
      <alignment horizontal="left"/>
    </xf>
    <xf numFmtId="0" fontId="11" fillId="0" borderId="6" xfId="0" applyFont="1" applyBorder="1" applyAlignment="1">
      <alignment horizontal="left"/>
    </xf>
    <xf numFmtId="0" fontId="11" fillId="0" borderId="25" xfId="0" applyFont="1" applyBorder="1" applyAlignment="1">
      <alignment horizontal="left"/>
    </xf>
    <xf numFmtId="37" fontId="2" fillId="0" borderId="9" xfId="0" applyNumberFormat="1" applyFont="1" applyFill="1" applyBorder="1" applyAlignment="1">
      <alignment horizontal="center"/>
    </xf>
    <xf numFmtId="37" fontId="2" fillId="0" borderId="3" xfId="0" applyNumberFormat="1" applyFont="1" applyFill="1" applyBorder="1" applyAlignment="1">
      <alignment horizontal="center"/>
    </xf>
    <xf numFmtId="0" fontId="2" fillId="0" borderId="0" xfId="0" applyFont="1" applyBorder="1" applyAlignment="1">
      <alignment horizontal="left" vertical="top" wrapText="1"/>
    </xf>
    <xf numFmtId="184" fontId="3" fillId="0" borderId="53" xfId="0" applyNumberFormat="1" applyFont="1" applyFill="1" applyBorder="1" applyAlignment="1">
      <alignment horizontal="center"/>
    </xf>
    <xf numFmtId="184" fontId="3" fillId="0" borderId="54" xfId="0" applyNumberFormat="1" applyFont="1" applyFill="1" applyBorder="1" applyAlignment="1">
      <alignment horizontal="center"/>
    </xf>
    <xf numFmtId="0" fontId="2" fillId="0" borderId="94" xfId="0" applyFont="1" applyBorder="1" applyAlignment="1">
      <alignment horizontal="center" vertical="center"/>
    </xf>
    <xf numFmtId="0" fontId="2" fillId="0" borderId="16" xfId="0" applyFont="1" applyBorder="1" applyAlignment="1">
      <alignment horizontal="center" vertical="center"/>
    </xf>
    <xf numFmtId="0" fontId="2" fillId="0" borderId="50" xfId="0" applyFont="1" applyBorder="1" applyAlignment="1">
      <alignment horizontal="center" vertical="center"/>
    </xf>
    <xf numFmtId="0" fontId="11" fillId="0" borderId="27" xfId="0" applyFont="1" applyBorder="1" applyAlignment="1">
      <alignment horizontal="center"/>
    </xf>
    <xf numFmtId="0" fontId="34" fillId="10" borderId="23" xfId="0" applyFont="1" applyFill="1" applyBorder="1" applyAlignment="1">
      <alignment horizontal="right" vertical="center"/>
    </xf>
    <xf numFmtId="0" fontId="34" fillId="10" borderId="43" xfId="0" applyFont="1" applyFill="1" applyBorder="1" applyAlignment="1">
      <alignment horizontal="right" vertical="center"/>
    </xf>
    <xf numFmtId="0" fontId="34" fillId="10" borderId="40" xfId="0" applyFont="1" applyFill="1" applyBorder="1" applyAlignment="1">
      <alignment horizontal="right" vertical="center"/>
    </xf>
    <xf numFmtId="0" fontId="57" fillId="0" borderId="26" xfId="0" applyFont="1" applyBorder="1" applyAlignment="1">
      <alignment horizontal="center" vertical="center"/>
    </xf>
    <xf numFmtId="0" fontId="57" fillId="0" borderId="88" xfId="0" applyFont="1" applyBorder="1" applyAlignment="1">
      <alignment horizontal="center" vertical="center"/>
    </xf>
    <xf numFmtId="0" fontId="11" fillId="0" borderId="0" xfId="0" applyFont="1" applyAlignment="1">
      <alignment horizontal="left" vertical="top" wrapText="1"/>
    </xf>
    <xf numFmtId="0" fontId="1" fillId="0" borderId="60"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78" xfId="0" applyFont="1" applyBorder="1" applyAlignment="1">
      <alignment horizontal="center" vertical="center" wrapText="1"/>
    </xf>
    <xf numFmtId="0" fontId="46" fillId="4" borderId="8"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7" xfId="0" applyFont="1" applyFill="1" applyBorder="1" applyAlignment="1">
      <alignment horizontal="center" vertical="center"/>
    </xf>
    <xf numFmtId="0" fontId="0" fillId="2" borderId="93"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39" fillId="0" borderId="34" xfId="0" applyFont="1" applyBorder="1" applyAlignment="1">
      <alignment horizontal="center" vertical="center"/>
    </xf>
    <xf numFmtId="0" fontId="34" fillId="10" borderId="15" xfId="0" applyFont="1" applyFill="1" applyBorder="1" applyAlignment="1">
      <alignment horizontal="left" vertical="center"/>
    </xf>
    <xf numFmtId="0" fontId="34" fillId="10" borderId="16" xfId="0" applyFont="1" applyFill="1" applyBorder="1" applyAlignment="1">
      <alignment horizontal="left" vertical="center"/>
    </xf>
    <xf numFmtId="0" fontId="39" fillId="0" borderId="75" xfId="0" applyFont="1" applyFill="1" applyBorder="1" applyAlignment="1" applyProtection="1">
      <alignment horizontal="center"/>
      <protection/>
    </xf>
    <xf numFmtId="0" fontId="39" fillId="0" borderId="88" xfId="0" applyFont="1" applyFill="1" applyBorder="1" applyAlignment="1" applyProtection="1">
      <alignment horizontal="center"/>
      <protection/>
    </xf>
    <xf numFmtId="0" fontId="39" fillId="0" borderId="45" xfId="0" applyFont="1" applyFill="1" applyBorder="1" applyAlignment="1" applyProtection="1">
      <alignment horizontal="center"/>
      <protection/>
    </xf>
    <xf numFmtId="0" fontId="3" fillId="0" borderId="59" xfId="0" applyFont="1" applyBorder="1" applyAlignment="1">
      <alignment horizontal="center"/>
    </xf>
    <xf numFmtId="0" fontId="3" fillId="0" borderId="58" xfId="0" applyFont="1" applyBorder="1" applyAlignment="1">
      <alignment horizontal="center"/>
    </xf>
    <xf numFmtId="0" fontId="39" fillId="2" borderId="1" xfId="0" applyFont="1" applyFill="1" applyBorder="1" applyAlignment="1" applyProtection="1">
      <alignment horizontal="center"/>
      <protection locked="0"/>
    </xf>
    <xf numFmtId="0" fontId="0" fillId="0" borderId="6" xfId="0" applyBorder="1" applyAlignment="1">
      <alignment/>
    </xf>
    <xf numFmtId="0" fontId="0" fillId="0" borderId="25" xfId="0" applyBorder="1" applyAlignment="1">
      <alignment/>
    </xf>
    <xf numFmtId="0" fontId="0" fillId="0" borderId="47" xfId="0" applyBorder="1" applyAlignment="1">
      <alignment/>
    </xf>
    <xf numFmtId="0" fontId="0" fillId="0" borderId="1" xfId="0" applyBorder="1" applyAlignment="1">
      <alignment/>
    </xf>
    <xf numFmtId="0" fontId="0" fillId="0" borderId="57" xfId="0" applyBorder="1" applyAlignment="1">
      <alignment/>
    </xf>
    <xf numFmtId="0" fontId="1" fillId="0" borderId="44"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xf>
    <xf numFmtId="0" fontId="1" fillId="0" borderId="10" xfId="0" applyFont="1" applyBorder="1" applyAlignment="1">
      <alignment horizontal="center"/>
    </xf>
    <xf numFmtId="0" fontId="1" fillId="0" borderId="2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39" fillId="0" borderId="75" xfId="0" applyNumberFormat="1" applyFont="1" applyFill="1" applyBorder="1" applyAlignment="1" applyProtection="1">
      <alignment horizontal="left"/>
      <protection/>
    </xf>
    <xf numFmtId="0" fontId="39" fillId="0" borderId="88" xfId="0" applyNumberFormat="1" applyFont="1" applyFill="1" applyBorder="1" applyAlignment="1" applyProtection="1">
      <alignment horizontal="left"/>
      <protection/>
    </xf>
    <xf numFmtId="0" fontId="39" fillId="0" borderId="45" xfId="0" applyNumberFormat="1" applyFont="1" applyFill="1" applyBorder="1" applyAlignment="1" applyProtection="1">
      <alignment horizontal="left"/>
      <protection/>
    </xf>
    <xf numFmtId="0" fontId="11"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19" fillId="0" borderId="26" xfId="21" applyFont="1" applyFill="1" applyBorder="1" applyAlignment="1" applyProtection="1">
      <alignment horizontal="center" vertical="center" wrapText="1"/>
      <protection/>
    </xf>
    <xf numFmtId="0" fontId="19" fillId="0" borderId="6" xfId="21" applyFont="1" applyFill="1" applyBorder="1" applyAlignment="1" applyProtection="1">
      <alignment horizontal="center" vertical="center" wrapText="1"/>
      <protection/>
    </xf>
    <xf numFmtId="0" fontId="19" fillId="0" borderId="22" xfId="21" applyFont="1" applyFill="1" applyBorder="1" applyAlignment="1" applyProtection="1">
      <alignment horizontal="center" vertical="center" wrapText="1"/>
      <protection/>
    </xf>
    <xf numFmtId="0" fontId="19" fillId="0" borderId="19" xfId="21" applyFont="1" applyFill="1" applyBorder="1" applyAlignment="1" applyProtection="1">
      <alignment horizontal="center" vertical="center" wrapText="1"/>
      <protection/>
    </xf>
    <xf numFmtId="0" fontId="2" fillId="0" borderId="20" xfId="21" applyFont="1" applyFill="1" applyBorder="1" applyAlignment="1" applyProtection="1">
      <alignment horizontal="center"/>
      <protection/>
    </xf>
    <xf numFmtId="0" fontId="2" fillId="0" borderId="11" xfId="21" applyFont="1" applyFill="1" applyBorder="1" applyAlignment="1" applyProtection="1">
      <alignment horizontal="center"/>
      <protection/>
    </xf>
    <xf numFmtId="0" fontId="2" fillId="5" borderId="37"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53" xfId="0" applyFont="1" applyFill="1" applyBorder="1" applyAlignment="1" applyProtection="1">
      <alignment horizontal="center" vertical="center"/>
      <protection locked="0"/>
    </xf>
    <xf numFmtId="0" fontId="11" fillId="0" borderId="89" xfId="0" applyFont="1" applyBorder="1" applyAlignment="1">
      <alignment horizontal="center" vertical="center"/>
    </xf>
    <xf numFmtId="0" fontId="11" fillId="0" borderId="55" xfId="0" applyFont="1" applyBorder="1" applyAlignment="1">
      <alignment horizontal="center" vertical="center"/>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1" fillId="0" borderId="19" xfId="0" applyFont="1" applyBorder="1" applyAlignment="1">
      <alignment horizontal="left" vertical="top" wrapText="1"/>
    </xf>
    <xf numFmtId="0" fontId="11" fillId="0" borderId="33" xfId="0" applyFont="1" applyBorder="1" applyAlignment="1">
      <alignment horizontal="left" vertical="top" wrapText="1"/>
    </xf>
    <xf numFmtId="0" fontId="11" fillId="0" borderId="23" xfId="0" applyFont="1" applyBorder="1" applyAlignment="1">
      <alignment horizontal="left" vertical="top" wrapText="1"/>
    </xf>
    <xf numFmtId="0" fontId="11" fillId="0" borderId="34" xfId="0" applyFont="1" applyBorder="1" applyAlignment="1">
      <alignment horizontal="left" vertical="top" wrapText="1"/>
    </xf>
    <xf numFmtId="0" fontId="1" fillId="0" borderId="93" xfId="0" applyFont="1" applyBorder="1" applyAlignment="1">
      <alignment horizontal="right"/>
    </xf>
    <xf numFmtId="0" fontId="1" fillId="0" borderId="64" xfId="0" applyFont="1" applyBorder="1" applyAlignment="1">
      <alignment horizontal="right"/>
    </xf>
    <xf numFmtId="0" fontId="1" fillId="0" borderId="58" xfId="0" applyFont="1" applyBorder="1" applyAlignment="1">
      <alignment horizontal="right"/>
    </xf>
    <xf numFmtId="184" fontId="2" fillId="0" borderId="2" xfId="17" applyNumberFormat="1" applyFont="1" applyFill="1" applyBorder="1" applyAlignment="1">
      <alignment horizontal="center"/>
    </xf>
    <xf numFmtId="184" fontId="2" fillId="0" borderId="13" xfId="17" applyNumberFormat="1" applyFont="1" applyFill="1" applyBorder="1" applyAlignment="1">
      <alignment horizontal="center"/>
    </xf>
    <xf numFmtId="171" fontId="37" fillId="0" borderId="48" xfId="0" applyNumberFormat="1" applyFont="1" applyBorder="1" applyAlignment="1" applyProtection="1">
      <alignment horizontal="center" vertical="center"/>
      <protection/>
    </xf>
    <xf numFmtId="0" fontId="19" fillId="0" borderId="60" xfId="0" applyFont="1" applyBorder="1" applyAlignment="1">
      <alignment horizontal="center" vertical="center"/>
    </xf>
    <xf numFmtId="0" fontId="0" fillId="0" borderId="78" xfId="0" applyBorder="1" applyAlignment="1">
      <alignment horizontal="center" vertical="center"/>
    </xf>
    <xf numFmtId="0" fontId="11" fillId="0" borderId="56" xfId="0" applyFont="1" applyBorder="1" applyAlignment="1">
      <alignment horizontal="center" vertical="center"/>
    </xf>
    <xf numFmtId="0" fontId="11" fillId="0" borderId="74" xfId="0" applyFont="1" applyBorder="1" applyAlignment="1">
      <alignment horizontal="center" vertical="center"/>
    </xf>
    <xf numFmtId="0" fontId="0" fillId="0" borderId="89" xfId="0" applyBorder="1" applyAlignment="1">
      <alignment horizontal="center" vertical="center"/>
    </xf>
    <xf numFmtId="0" fontId="0" fillId="0" borderId="55" xfId="0" applyBorder="1" applyAlignment="1">
      <alignment horizontal="center" vertical="center"/>
    </xf>
    <xf numFmtId="37" fontId="2" fillId="0" borderId="3" xfId="0" applyNumberFormat="1" applyFont="1" applyFill="1" applyBorder="1" applyAlignment="1" applyProtection="1">
      <alignment horizontal="center"/>
      <protection/>
    </xf>
    <xf numFmtId="0" fontId="11" fillId="0" borderId="26" xfId="0" applyFont="1" applyFill="1" applyBorder="1" applyAlignment="1" applyProtection="1">
      <alignment horizontal="center" vertical="center" wrapText="1"/>
      <protection/>
    </xf>
    <xf numFmtId="0" fontId="11" fillId="0" borderId="7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5" xfId="0" applyFont="1" applyBorder="1" applyAlignment="1">
      <alignment horizontal="center" vertical="center" wrapText="1"/>
    </xf>
    <xf numFmtId="0" fontId="11" fillId="5" borderId="37" xfId="0" applyFont="1" applyFill="1" applyBorder="1" applyAlignment="1" applyProtection="1">
      <alignment horizontal="center" vertical="center" wrapText="1"/>
      <protection locked="0"/>
    </xf>
    <xf numFmtId="0" fontId="11" fillId="5" borderId="53" xfId="0" applyFont="1" applyFill="1" applyBorder="1" applyAlignment="1" applyProtection="1">
      <alignment horizontal="center" vertical="center" wrapText="1"/>
      <protection locked="0"/>
    </xf>
    <xf numFmtId="0" fontId="11" fillId="5" borderId="59" xfId="0" applyFont="1" applyFill="1" applyBorder="1" applyAlignment="1" applyProtection="1">
      <alignment horizontal="center" vertical="center" wrapText="1"/>
      <protection locked="0"/>
    </xf>
    <xf numFmtId="0" fontId="11" fillId="5" borderId="64" xfId="0" applyFont="1" applyFill="1" applyBorder="1" applyAlignment="1" applyProtection="1">
      <alignment horizontal="center" vertical="center" wrapText="1"/>
      <protection locked="0"/>
    </xf>
    <xf numFmtId="0" fontId="11" fillId="5" borderId="58" xfId="0" applyFont="1" applyFill="1" applyBorder="1" applyAlignment="1" applyProtection="1">
      <alignment horizontal="center" vertical="center" wrapText="1"/>
      <protection locked="0"/>
    </xf>
    <xf numFmtId="0" fontId="2" fillId="0" borderId="0" xfId="22" applyFont="1" applyFill="1" applyBorder="1" applyAlignment="1" applyProtection="1">
      <alignment horizontal="left" vertical="top" wrapText="1"/>
      <protection/>
    </xf>
    <xf numFmtId="0" fontId="2" fillId="0" borderId="1" xfId="22" applyFont="1" applyFill="1" applyBorder="1" applyAlignment="1" applyProtection="1">
      <alignment horizontal="left" vertical="top" wrapText="1"/>
      <protection/>
    </xf>
    <xf numFmtId="0" fontId="3" fillId="0" borderId="20" xfId="0" applyFont="1" applyBorder="1" applyAlignment="1" applyProtection="1">
      <alignment horizontal="left"/>
      <protection/>
    </xf>
    <xf numFmtId="0" fontId="3" fillId="0" borderId="11" xfId="0" applyFont="1" applyBorder="1" applyAlignment="1" applyProtection="1">
      <alignment horizontal="left"/>
      <protection/>
    </xf>
    <xf numFmtId="0" fontId="11" fillId="0" borderId="60" xfId="0" applyFont="1" applyFill="1" applyBorder="1" applyAlignment="1" applyProtection="1">
      <alignment horizontal="center" vertical="center" wrapText="1"/>
      <protection/>
    </xf>
    <xf numFmtId="0" fontId="11" fillId="0" borderId="3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53" xfId="0" applyFont="1" applyBorder="1" applyAlignment="1">
      <alignment horizontal="center" vertical="center" wrapText="1"/>
    </xf>
    <xf numFmtId="0" fontId="11" fillId="5" borderId="56"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74" xfId="0" applyFont="1" applyFill="1" applyBorder="1" applyAlignment="1" applyProtection="1">
      <alignment horizontal="center" vertical="center" wrapText="1"/>
      <protection locked="0"/>
    </xf>
    <xf numFmtId="0" fontId="11" fillId="5" borderId="89"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1" fillId="5" borderId="5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xf>
    <xf numFmtId="0" fontId="11" fillId="0" borderId="19"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64" xfId="0" applyFont="1" applyBorder="1" applyAlignment="1">
      <alignment horizontal="center" vertical="center" wrapText="1"/>
    </xf>
    <xf numFmtId="0" fontId="46" fillId="4" borderId="26" xfId="0" applyFont="1" applyFill="1" applyBorder="1" applyAlignment="1" applyProtection="1">
      <alignment horizontal="center" vertical="center"/>
      <protection/>
    </xf>
    <xf numFmtId="0" fontId="46" fillId="4" borderId="6" xfId="0" applyFont="1" applyFill="1" applyBorder="1" applyAlignment="1" applyProtection="1">
      <alignment horizontal="center" vertical="center"/>
      <protection/>
    </xf>
    <xf numFmtId="0" fontId="46" fillId="4" borderId="25" xfId="0" applyFont="1" applyFill="1" applyBorder="1" applyAlignment="1" applyProtection="1">
      <alignment horizontal="center" vertical="center"/>
      <protection/>
    </xf>
    <xf numFmtId="0" fontId="46" fillId="4" borderId="47" xfId="0" applyFont="1" applyFill="1" applyBorder="1" applyAlignment="1" applyProtection="1">
      <alignment horizontal="center" vertical="center"/>
      <protection/>
    </xf>
    <xf numFmtId="0" fontId="46" fillId="4" borderId="1" xfId="0" applyFont="1" applyFill="1" applyBorder="1" applyAlignment="1" applyProtection="1">
      <alignment horizontal="center" vertical="center"/>
      <protection/>
    </xf>
    <xf numFmtId="0" fontId="46" fillId="4" borderId="57" xfId="0" applyFont="1" applyFill="1" applyBorder="1" applyAlignment="1" applyProtection="1">
      <alignment horizontal="center" vertical="center"/>
      <protection/>
    </xf>
    <xf numFmtId="0" fontId="11" fillId="5" borderId="43" xfId="0" applyFont="1" applyFill="1" applyBorder="1" applyAlignment="1" applyProtection="1">
      <alignment horizontal="center" vertical="center"/>
      <protection locked="0"/>
    </xf>
    <xf numFmtId="0" fontId="11" fillId="5" borderId="55" xfId="0" applyFont="1" applyFill="1" applyBorder="1" applyAlignment="1" applyProtection="1">
      <alignment horizontal="center" vertical="center"/>
      <protection locked="0"/>
    </xf>
    <xf numFmtId="0" fontId="11" fillId="0" borderId="27" xfId="0" applyFont="1" applyBorder="1" applyAlignment="1" applyProtection="1">
      <alignment horizontal="center" vertical="center" wrapText="1"/>
      <protection/>
    </xf>
    <xf numFmtId="0" fontId="11" fillId="0" borderId="3"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5" xfId="0" applyFont="1" applyBorder="1" applyAlignment="1" applyProtection="1">
      <alignment horizontal="center" vertical="center" wrapText="1"/>
      <protection/>
    </xf>
    <xf numFmtId="0" fontId="11" fillId="0" borderId="44"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11" fillId="0" borderId="51" xfId="0" applyFont="1" applyFill="1" applyBorder="1" applyAlignment="1" applyProtection="1">
      <alignment horizontal="center" vertical="center" wrapText="1"/>
      <protection/>
    </xf>
    <xf numFmtId="0" fontId="11" fillId="0" borderId="5" xfId="0" applyFont="1" applyFill="1" applyBorder="1" applyAlignment="1" applyProtection="1">
      <alignment horizontal="center" vertical="center" wrapText="1"/>
      <protection/>
    </xf>
    <xf numFmtId="0" fontId="11" fillId="0" borderId="6" xfId="0" applyFont="1" applyBorder="1" applyAlignment="1" applyProtection="1">
      <alignment horizontal="center" vertical="center" wrapText="1"/>
      <protection locked="0"/>
    </xf>
    <xf numFmtId="0" fontId="11" fillId="0" borderId="74" xfId="0" applyFont="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9" fillId="0" borderId="20" xfId="0" applyFont="1" applyBorder="1" applyAlignment="1">
      <alignment horizontal="right"/>
    </xf>
    <xf numFmtId="0" fontId="19" fillId="0" borderId="11" xfId="0" applyFont="1" applyBorder="1" applyAlignment="1">
      <alignment horizontal="right"/>
    </xf>
    <xf numFmtId="0" fontId="19" fillId="0" borderId="9" xfId="0" applyFont="1" applyBorder="1" applyAlignment="1">
      <alignment horizontal="right"/>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11" fillId="5" borderId="17" xfId="0" applyFont="1" applyFill="1" applyBorder="1" applyAlignment="1" applyProtection="1">
      <alignment horizontal="center" vertical="center" wrapText="1"/>
      <protection locked="0"/>
    </xf>
    <xf numFmtId="0" fontId="11" fillId="0" borderId="61" xfId="0" applyFont="1" applyBorder="1" applyAlignment="1">
      <alignment horizontal="center" vertical="center"/>
    </xf>
    <xf numFmtId="0" fontId="11" fillId="0" borderId="17" xfId="0" applyFont="1" applyBorder="1" applyAlignment="1">
      <alignment horizontal="center" vertical="center"/>
    </xf>
    <xf numFmtId="0" fontId="11" fillId="0" borderId="78" xfId="0" applyFont="1" applyBorder="1" applyAlignment="1">
      <alignment horizontal="center" vertical="center"/>
    </xf>
    <xf numFmtId="0" fontId="11" fillId="0" borderId="53" xfId="0" applyFont="1" applyBorder="1" applyAlignment="1">
      <alignment horizontal="center" vertical="center"/>
    </xf>
    <xf numFmtId="0" fontId="11" fillId="5" borderId="17" xfId="0" applyFont="1" applyFill="1" applyBorder="1" applyAlignment="1" applyProtection="1">
      <alignment horizontal="center" vertical="center"/>
      <protection locked="0"/>
    </xf>
    <xf numFmtId="0" fontId="11" fillId="5" borderId="53"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71" xfId="0" applyBorder="1" applyAlignment="1">
      <alignment horizontal="center" vertical="center"/>
    </xf>
    <xf numFmtId="0" fontId="11" fillId="0" borderId="6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8" xfId="0" applyFont="1" applyFill="1" applyBorder="1" applyAlignment="1" applyProtection="1">
      <alignment horizontal="left" wrapText="1"/>
      <protection/>
    </xf>
    <xf numFmtId="0" fontId="11" fillId="0" borderId="0"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39" fillId="9" borderId="48" xfId="0" applyFont="1" applyFill="1" applyBorder="1" applyAlignment="1">
      <alignment horizontal="center" vertical="center"/>
    </xf>
    <xf numFmtId="0" fontId="2" fillId="0" borderId="22" xfId="0" applyFont="1" applyBorder="1" applyAlignment="1">
      <alignment horizontal="center" vertical="center" wrapText="1"/>
    </xf>
    <xf numFmtId="0" fontId="2" fillId="2" borderId="47" xfId="0" applyFont="1" applyFill="1" applyBorder="1" applyAlignment="1" applyProtection="1">
      <alignment horizontal="center" vertical="center"/>
      <protection locked="0"/>
    </xf>
    <xf numFmtId="3" fontId="2" fillId="0" borderId="26" xfId="15" applyNumberFormat="1" applyFont="1" applyFill="1" applyBorder="1" applyAlignment="1" applyProtection="1">
      <alignment horizontal="center" vertical="center"/>
      <protection/>
    </xf>
    <xf numFmtId="3" fontId="2" fillId="0" borderId="25" xfId="15" applyNumberFormat="1" applyFont="1" applyFill="1" applyBorder="1" applyAlignment="1" applyProtection="1">
      <alignment horizontal="center" vertical="center"/>
      <protection/>
    </xf>
    <xf numFmtId="3" fontId="2" fillId="0" borderId="47" xfId="15" applyNumberFormat="1" applyFont="1" applyFill="1" applyBorder="1" applyAlignment="1" applyProtection="1">
      <alignment horizontal="center" vertical="center"/>
      <protection/>
    </xf>
    <xf numFmtId="3" fontId="2" fillId="0" borderId="57" xfId="15" applyNumberFormat="1" applyFont="1" applyFill="1" applyBorder="1" applyAlignment="1" applyProtection="1">
      <alignment horizontal="center" vertical="center"/>
      <protection/>
    </xf>
    <xf numFmtId="3" fontId="2" fillId="0" borderId="8" xfId="0" applyNumberFormat="1" applyFont="1" applyFill="1" applyBorder="1" applyAlignment="1" applyProtection="1">
      <alignment horizontal="center" vertical="center"/>
      <protection/>
    </xf>
    <xf numFmtId="3" fontId="2" fillId="0" borderId="7" xfId="0" applyNumberFormat="1" applyFont="1" applyFill="1" applyBorder="1" applyAlignment="1" applyProtection="1">
      <alignment horizontal="center" vertical="center"/>
      <protection/>
    </xf>
    <xf numFmtId="3" fontId="2" fillId="0" borderId="47" xfId="0" applyNumberFormat="1" applyFont="1" applyFill="1" applyBorder="1" applyAlignment="1" applyProtection="1">
      <alignment horizontal="center" vertical="center"/>
      <protection/>
    </xf>
    <xf numFmtId="3" fontId="2" fillId="0" borderId="57" xfId="0" applyNumberFormat="1" applyFont="1" applyFill="1" applyBorder="1" applyAlignment="1" applyProtection="1">
      <alignment horizontal="center" vertical="center"/>
      <protection/>
    </xf>
    <xf numFmtId="184" fontId="2" fillId="0" borderId="3" xfId="17" applyNumberFormat="1" applyFont="1" applyFill="1" applyBorder="1" applyAlignment="1">
      <alignment horizontal="center"/>
    </xf>
    <xf numFmtId="184" fontId="2" fillId="0" borderId="12" xfId="17" applyNumberFormat="1" applyFont="1" applyFill="1" applyBorder="1" applyAlignment="1">
      <alignment horizontal="center"/>
    </xf>
    <xf numFmtId="37" fontId="2" fillId="0" borderId="9" xfId="0" applyNumberFormat="1" applyFont="1" applyFill="1" applyBorder="1" applyAlignment="1" applyProtection="1">
      <alignment horizontal="center"/>
      <protection/>
    </xf>
    <xf numFmtId="184" fontId="2" fillId="0" borderId="4" xfId="17" applyNumberFormat="1" applyFont="1" applyFill="1" applyBorder="1" applyAlignment="1">
      <alignment horizontal="center"/>
    </xf>
    <xf numFmtId="184" fontId="2" fillId="0" borderId="14" xfId="17" applyNumberFormat="1" applyFont="1" applyFill="1" applyBorder="1" applyAlignment="1">
      <alignment horizontal="center"/>
    </xf>
    <xf numFmtId="0" fontId="11" fillId="0" borderId="0" xfId="22" applyFont="1" applyFill="1" applyAlignment="1" applyProtection="1" quotePrefix="1">
      <alignment/>
      <protection/>
    </xf>
    <xf numFmtId="0" fontId="2" fillId="0" borderId="0" xfId="22" applyAlignment="1">
      <alignment/>
      <protection/>
    </xf>
    <xf numFmtId="0" fontId="7" fillId="0" borderId="0" xfId="22" applyFont="1" applyFill="1" applyAlignment="1" applyProtection="1">
      <alignment horizontal="center"/>
      <protection/>
    </xf>
    <xf numFmtId="0" fontId="2" fillId="0" borderId="0" xfId="22" applyAlignment="1">
      <alignment horizontal="center"/>
      <protection/>
    </xf>
    <xf numFmtId="0" fontId="2" fillId="0" borderId="0" xfId="22" applyFont="1" applyAlignment="1">
      <alignment horizontal="center"/>
      <protection/>
    </xf>
    <xf numFmtId="0" fontId="2" fillId="0" borderId="0" xfId="22" applyFont="1" applyFill="1" applyAlignment="1" applyProtection="1">
      <alignment horizontal="right"/>
      <protection/>
    </xf>
    <xf numFmtId="0" fontId="2" fillId="0" borderId="0" xfId="22" applyFont="1" applyAlignment="1">
      <alignment/>
      <protection/>
    </xf>
    <xf numFmtId="177" fontId="2" fillId="0" borderId="0" xfId="22" applyNumberFormat="1" applyFont="1" applyAlignment="1" applyProtection="1">
      <alignment horizontal="left"/>
      <protection/>
    </xf>
    <xf numFmtId="177" fontId="2" fillId="0" borderId="0" xfId="22" applyNumberFormat="1" applyFont="1" applyAlignment="1">
      <alignment horizontal="left"/>
      <protection/>
    </xf>
    <xf numFmtId="0" fontId="2" fillId="0" borderId="0" xfId="22" applyAlignment="1" quotePrefix="1">
      <alignment/>
      <protection/>
    </xf>
    <xf numFmtId="0" fontId="0" fillId="0" borderId="0" xfId="22" applyFont="1" applyAlignment="1" applyProtection="1">
      <alignment horizontal="right"/>
      <protection/>
    </xf>
    <xf numFmtId="0" fontId="4" fillId="0" borderId="0" xfId="22" applyFont="1" applyAlignment="1" applyProtection="1">
      <alignment horizontal="left"/>
      <protection/>
    </xf>
    <xf numFmtId="0" fontId="2" fillId="0" borderId="0" xfId="22" applyAlignment="1" applyProtection="1">
      <alignment horizontal="left"/>
      <protection/>
    </xf>
    <xf numFmtId="0" fontId="4" fillId="0" borderId="0" xfId="22" applyFont="1" applyAlignment="1" applyProtection="1">
      <alignment horizontal="left"/>
      <protection locked="0"/>
    </xf>
    <xf numFmtId="0" fontId="2" fillId="0" borderId="0" xfId="22" applyFont="1" applyAlignment="1">
      <alignment horizontal="right"/>
      <protection/>
    </xf>
    <xf numFmtId="0" fontId="8" fillId="0" borderId="0" xfId="21" applyFont="1" applyFill="1" applyAlignment="1" applyProtection="1">
      <alignment/>
      <protection/>
    </xf>
    <xf numFmtId="0" fontId="8" fillId="0" borderId="0" xfId="21" applyFont="1" applyAlignment="1">
      <alignment/>
      <protection/>
    </xf>
    <xf numFmtId="0" fontId="23" fillId="0" borderId="0" xfId="21" applyFont="1" applyFill="1" applyAlignment="1" applyProtection="1">
      <alignment horizontal="center"/>
      <protection/>
    </xf>
    <xf numFmtId="0" fontId="2" fillId="0" borderId="24" xfId="21" applyFont="1" applyFill="1" applyBorder="1" applyAlignment="1" applyProtection="1">
      <alignment horizontal="center"/>
      <protection/>
    </xf>
    <xf numFmtId="0" fontId="2" fillId="0" borderId="9" xfId="21" applyFont="1" applyFill="1" applyBorder="1" applyAlignment="1" applyProtection="1">
      <alignment horizontal="center"/>
      <protection/>
    </xf>
    <xf numFmtId="0" fontId="2" fillId="0" borderId="0" xfId="21" applyFont="1" applyFill="1" applyAlignment="1" applyProtection="1">
      <alignment/>
      <protection/>
    </xf>
    <xf numFmtId="0" fontId="11" fillId="0" borderId="0" xfId="21" applyFont="1" applyFill="1" applyAlignment="1" applyProtection="1">
      <alignment horizontal="center"/>
      <protection/>
    </xf>
    <xf numFmtId="0" fontId="11" fillId="0" borderId="0" xfId="21" applyFont="1" applyAlignment="1">
      <alignment horizontal="center"/>
      <protection/>
    </xf>
    <xf numFmtId="0" fontId="19" fillId="0" borderId="0" xfId="21" applyFont="1" applyFill="1" applyAlignment="1" applyProtection="1">
      <alignment horizontal="center"/>
      <protection/>
    </xf>
    <xf numFmtId="0" fontId="19" fillId="0" borderId="0" xfId="21" applyFont="1" applyAlignment="1">
      <alignment horizontal="center"/>
      <protection/>
    </xf>
    <xf numFmtId="0" fontId="2" fillId="0" borderId="3" xfId="21" applyFont="1" applyFill="1" applyBorder="1" applyAlignment="1" applyProtection="1">
      <alignment horizontal="center"/>
      <protection/>
    </xf>
    <xf numFmtId="0" fontId="0" fillId="0" borderId="3" xfId="0" applyBorder="1" applyAlignment="1" applyProtection="1">
      <alignment/>
      <protection/>
    </xf>
    <xf numFmtId="0" fontId="2" fillId="0" borderId="0" xfId="0" applyFont="1" applyBorder="1" applyAlignment="1">
      <alignment horizontal="center"/>
    </xf>
    <xf numFmtId="0" fontId="2"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LIQUID" xfId="21"/>
    <cellStyle name="Normal_AGSolids" xfId="22"/>
    <cellStyle name="Percent" xfId="23"/>
  </cellStyles>
  <dxfs count="13">
    <dxf>
      <font>
        <color rgb="FF008000"/>
      </font>
      <border/>
    </dxf>
    <dxf>
      <font>
        <color rgb="FFFFCC00"/>
      </font>
      <border/>
    </dxf>
    <dxf>
      <font>
        <color rgb="FFFF0000"/>
      </font>
      <border/>
    </dxf>
    <dxf>
      <font>
        <color rgb="FFFF6600"/>
      </font>
      <border/>
    </dxf>
    <dxf>
      <font>
        <b/>
        <i val="0"/>
        <color rgb="FFFF0000"/>
      </font>
      <fill>
        <patternFill patternType="none">
          <bgColor indexed="65"/>
        </patternFill>
      </fill>
      <border/>
    </dxf>
    <dxf>
      <font>
        <color rgb="FF3366FF"/>
      </font>
      <border/>
    </dxf>
    <dxf>
      <font>
        <color rgb="FFFF0000"/>
      </font>
      <fill>
        <patternFill patternType="none">
          <bgColor indexed="65"/>
        </patternFill>
      </fill>
      <border/>
    </dxf>
    <dxf>
      <font>
        <color rgb="FF3366FF"/>
      </font>
      <fill>
        <patternFill patternType="none">
          <bgColor indexed="65"/>
        </patternFill>
      </fill>
      <border/>
    </dxf>
    <dxf>
      <fill>
        <patternFill>
          <bgColor rgb="FFC0C0C0"/>
        </patternFill>
      </fill>
      <border/>
    </dxf>
    <dxf>
      <font>
        <b/>
        <i val="0"/>
        <color rgb="FFFF0000"/>
      </font>
      <border/>
    </dxf>
    <dxf>
      <font>
        <b/>
        <i val="0"/>
        <color rgb="FFFF9900"/>
      </font>
      <fill>
        <patternFill patternType="none">
          <bgColor indexed="65"/>
        </patternFill>
      </fill>
      <border/>
    </dxf>
    <dxf>
      <font>
        <b/>
        <i val="0"/>
        <color rgb="FF339966"/>
      </font>
      <fill>
        <patternFill patternType="none">
          <bgColor indexed="65"/>
        </patternFill>
      </fill>
      <border/>
    </dxf>
    <dxf>
      <font>
        <b/>
        <i val="0"/>
        <color rgb="FF3366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30</xdr:row>
      <xdr:rowOff>142875</xdr:rowOff>
    </xdr:from>
    <xdr:to>
      <xdr:col>1</xdr:col>
      <xdr:colOff>542925</xdr:colOff>
      <xdr:row>31</xdr:row>
      <xdr:rowOff>38100</xdr:rowOff>
    </xdr:to>
    <xdr:sp>
      <xdr:nvSpPr>
        <xdr:cNvPr id="1" name="AutoShape 273"/>
        <xdr:cNvSpPr>
          <a:spLocks/>
        </xdr:cNvSpPr>
      </xdr:nvSpPr>
      <xdr:spPr>
        <a:xfrm>
          <a:off x="571500" y="6496050"/>
          <a:ext cx="400050" cy="85725"/>
        </a:xfrm>
        <a:prstGeom prst="right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32</xdr:row>
      <xdr:rowOff>142875</xdr:rowOff>
    </xdr:from>
    <xdr:to>
      <xdr:col>1</xdr:col>
      <xdr:colOff>542925</xdr:colOff>
      <xdr:row>33</xdr:row>
      <xdr:rowOff>38100</xdr:rowOff>
    </xdr:to>
    <xdr:sp>
      <xdr:nvSpPr>
        <xdr:cNvPr id="2" name="AutoShape 278"/>
        <xdr:cNvSpPr>
          <a:spLocks/>
        </xdr:cNvSpPr>
      </xdr:nvSpPr>
      <xdr:spPr>
        <a:xfrm>
          <a:off x="571500" y="6877050"/>
          <a:ext cx="400050" cy="85725"/>
        </a:xfrm>
        <a:prstGeom prst="right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34</xdr:row>
      <xdr:rowOff>142875</xdr:rowOff>
    </xdr:from>
    <xdr:to>
      <xdr:col>1</xdr:col>
      <xdr:colOff>542925</xdr:colOff>
      <xdr:row>35</xdr:row>
      <xdr:rowOff>38100</xdr:rowOff>
    </xdr:to>
    <xdr:sp>
      <xdr:nvSpPr>
        <xdr:cNvPr id="3" name="AutoShape 279"/>
        <xdr:cNvSpPr>
          <a:spLocks/>
        </xdr:cNvSpPr>
      </xdr:nvSpPr>
      <xdr:spPr>
        <a:xfrm>
          <a:off x="571500" y="7258050"/>
          <a:ext cx="400050" cy="85725"/>
        </a:xfrm>
        <a:prstGeom prst="rightArrow">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42</xdr:row>
      <xdr:rowOff>104775</xdr:rowOff>
    </xdr:from>
    <xdr:to>
      <xdr:col>3</xdr:col>
      <xdr:colOff>495300</xdr:colOff>
      <xdr:row>42</xdr:row>
      <xdr:rowOff>104775</xdr:rowOff>
    </xdr:to>
    <xdr:sp>
      <xdr:nvSpPr>
        <xdr:cNvPr id="1" name="Line 1"/>
        <xdr:cNvSpPr>
          <a:spLocks/>
        </xdr:cNvSpPr>
      </xdr:nvSpPr>
      <xdr:spPr>
        <a:xfrm>
          <a:off x="2286000" y="8496300"/>
          <a:ext cx="1381125"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36</xdr:row>
      <xdr:rowOff>0</xdr:rowOff>
    </xdr:from>
    <xdr:to>
      <xdr:col>8</xdr:col>
      <xdr:colOff>466725</xdr:colOff>
      <xdr:row>36</xdr:row>
      <xdr:rowOff>0</xdr:rowOff>
    </xdr:to>
    <xdr:sp>
      <xdr:nvSpPr>
        <xdr:cNvPr id="2" name="Line 2"/>
        <xdr:cNvSpPr>
          <a:spLocks/>
        </xdr:cNvSpPr>
      </xdr:nvSpPr>
      <xdr:spPr>
        <a:xfrm>
          <a:off x="0" y="7181850"/>
          <a:ext cx="7553325" cy="0"/>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9525</xdr:colOff>
      <xdr:row>7</xdr:row>
      <xdr:rowOff>9525</xdr:rowOff>
    </xdr:from>
    <xdr:to>
      <xdr:col>8</xdr:col>
      <xdr:colOff>466725</xdr:colOff>
      <xdr:row>7</xdr:row>
      <xdr:rowOff>9525</xdr:rowOff>
    </xdr:to>
    <xdr:sp>
      <xdr:nvSpPr>
        <xdr:cNvPr id="3" name="Line 3"/>
        <xdr:cNvSpPr>
          <a:spLocks/>
        </xdr:cNvSpPr>
      </xdr:nvSpPr>
      <xdr:spPr>
        <a:xfrm>
          <a:off x="9525" y="1400175"/>
          <a:ext cx="754380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1</xdr:row>
      <xdr:rowOff>66675</xdr:rowOff>
    </xdr:from>
    <xdr:to>
      <xdr:col>8</xdr:col>
      <xdr:colOff>466725</xdr:colOff>
      <xdr:row>1</xdr:row>
      <xdr:rowOff>66675</xdr:rowOff>
    </xdr:to>
    <xdr:sp>
      <xdr:nvSpPr>
        <xdr:cNvPr id="4" name="Line 4"/>
        <xdr:cNvSpPr>
          <a:spLocks/>
        </xdr:cNvSpPr>
      </xdr:nvSpPr>
      <xdr:spPr>
        <a:xfrm>
          <a:off x="19050" y="266700"/>
          <a:ext cx="75342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50</xdr:row>
      <xdr:rowOff>66675</xdr:rowOff>
    </xdr:from>
    <xdr:to>
      <xdr:col>8</xdr:col>
      <xdr:colOff>466725</xdr:colOff>
      <xdr:row>50</xdr:row>
      <xdr:rowOff>66675</xdr:rowOff>
    </xdr:to>
    <xdr:sp>
      <xdr:nvSpPr>
        <xdr:cNvPr id="5" name="Line 5"/>
        <xdr:cNvSpPr>
          <a:spLocks/>
        </xdr:cNvSpPr>
      </xdr:nvSpPr>
      <xdr:spPr>
        <a:xfrm>
          <a:off x="19050" y="10058400"/>
          <a:ext cx="75342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53</xdr:row>
      <xdr:rowOff>66675</xdr:rowOff>
    </xdr:from>
    <xdr:to>
      <xdr:col>8</xdr:col>
      <xdr:colOff>466725</xdr:colOff>
      <xdr:row>53</xdr:row>
      <xdr:rowOff>66675</xdr:rowOff>
    </xdr:to>
    <xdr:sp>
      <xdr:nvSpPr>
        <xdr:cNvPr id="6" name="Line 6"/>
        <xdr:cNvSpPr>
          <a:spLocks/>
        </xdr:cNvSpPr>
      </xdr:nvSpPr>
      <xdr:spPr>
        <a:xfrm>
          <a:off x="19050" y="10629900"/>
          <a:ext cx="753427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9525</xdr:colOff>
      <xdr:row>8</xdr:row>
      <xdr:rowOff>38100</xdr:rowOff>
    </xdr:from>
    <xdr:to>
      <xdr:col>4</xdr:col>
      <xdr:colOff>9525</xdr:colOff>
      <xdr:row>31</xdr:row>
      <xdr:rowOff>190500</xdr:rowOff>
    </xdr:to>
    <xdr:sp>
      <xdr:nvSpPr>
        <xdr:cNvPr id="7" name="Line 7"/>
        <xdr:cNvSpPr>
          <a:spLocks/>
        </xdr:cNvSpPr>
      </xdr:nvSpPr>
      <xdr:spPr>
        <a:xfrm>
          <a:off x="4124325" y="1628775"/>
          <a:ext cx="0" cy="475297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9525</xdr:colOff>
      <xdr:row>15</xdr:row>
      <xdr:rowOff>180975</xdr:rowOff>
    </xdr:from>
    <xdr:to>
      <xdr:col>4</xdr:col>
      <xdr:colOff>19050</xdr:colOff>
      <xdr:row>15</xdr:row>
      <xdr:rowOff>190500</xdr:rowOff>
    </xdr:to>
    <xdr:sp>
      <xdr:nvSpPr>
        <xdr:cNvPr id="8" name="Line 40"/>
        <xdr:cNvSpPr>
          <a:spLocks/>
        </xdr:cNvSpPr>
      </xdr:nvSpPr>
      <xdr:spPr>
        <a:xfrm flipV="1">
          <a:off x="9525" y="3171825"/>
          <a:ext cx="4124325" cy="952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19</xdr:row>
      <xdr:rowOff>0</xdr:rowOff>
    </xdr:from>
    <xdr:to>
      <xdr:col>4</xdr:col>
      <xdr:colOff>9525</xdr:colOff>
      <xdr:row>19</xdr:row>
      <xdr:rowOff>9525</xdr:rowOff>
    </xdr:to>
    <xdr:sp>
      <xdr:nvSpPr>
        <xdr:cNvPr id="9" name="Line 41"/>
        <xdr:cNvSpPr>
          <a:spLocks/>
        </xdr:cNvSpPr>
      </xdr:nvSpPr>
      <xdr:spPr>
        <a:xfrm flipV="1">
          <a:off x="0" y="3790950"/>
          <a:ext cx="4124325" cy="952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26</xdr:row>
      <xdr:rowOff>0</xdr:rowOff>
    </xdr:from>
    <xdr:to>
      <xdr:col>4</xdr:col>
      <xdr:colOff>9525</xdr:colOff>
      <xdr:row>26</xdr:row>
      <xdr:rowOff>9525</xdr:rowOff>
    </xdr:to>
    <xdr:sp>
      <xdr:nvSpPr>
        <xdr:cNvPr id="10" name="Line 42"/>
        <xdr:cNvSpPr>
          <a:spLocks/>
        </xdr:cNvSpPr>
      </xdr:nvSpPr>
      <xdr:spPr>
        <a:xfrm flipV="1">
          <a:off x="0" y="5191125"/>
          <a:ext cx="4124325" cy="952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0</xdr:colOff>
      <xdr:row>25</xdr:row>
      <xdr:rowOff>0</xdr:rowOff>
    </xdr:from>
    <xdr:to>
      <xdr:col>8</xdr:col>
      <xdr:colOff>466725</xdr:colOff>
      <xdr:row>25</xdr:row>
      <xdr:rowOff>9525</xdr:rowOff>
    </xdr:to>
    <xdr:sp>
      <xdr:nvSpPr>
        <xdr:cNvPr id="11" name="Line 43"/>
        <xdr:cNvSpPr>
          <a:spLocks/>
        </xdr:cNvSpPr>
      </xdr:nvSpPr>
      <xdr:spPr>
        <a:xfrm flipV="1">
          <a:off x="4114800" y="4991100"/>
          <a:ext cx="3438525" cy="952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30</xdr:row>
      <xdr:rowOff>0</xdr:rowOff>
    </xdr:from>
    <xdr:to>
      <xdr:col>4</xdr:col>
      <xdr:colOff>9525</xdr:colOff>
      <xdr:row>30</xdr:row>
      <xdr:rowOff>9525</xdr:rowOff>
    </xdr:to>
    <xdr:sp>
      <xdr:nvSpPr>
        <xdr:cNvPr id="12" name="Line 44"/>
        <xdr:cNvSpPr>
          <a:spLocks/>
        </xdr:cNvSpPr>
      </xdr:nvSpPr>
      <xdr:spPr>
        <a:xfrm flipV="1">
          <a:off x="0" y="5991225"/>
          <a:ext cx="4124325" cy="9525"/>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923925</xdr:colOff>
      <xdr:row>31</xdr:row>
      <xdr:rowOff>190500</xdr:rowOff>
    </xdr:from>
    <xdr:to>
      <xdr:col>9</xdr:col>
      <xdr:colOff>19050</xdr:colOff>
      <xdr:row>31</xdr:row>
      <xdr:rowOff>190500</xdr:rowOff>
    </xdr:to>
    <xdr:sp>
      <xdr:nvSpPr>
        <xdr:cNvPr id="13" name="Line 45"/>
        <xdr:cNvSpPr>
          <a:spLocks/>
        </xdr:cNvSpPr>
      </xdr:nvSpPr>
      <xdr:spPr>
        <a:xfrm flipV="1">
          <a:off x="3162300" y="6381750"/>
          <a:ext cx="4429125" cy="0"/>
        </a:xfrm>
        <a:prstGeom prst="line">
          <a:avLst/>
        </a:prstGeom>
        <a:solidFill>
          <a:srgbClr val="FFFFFF"/>
        </a:solid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19050</xdr:colOff>
      <xdr:row>36</xdr:row>
      <xdr:rowOff>95250</xdr:rowOff>
    </xdr:from>
    <xdr:to>
      <xdr:col>3</xdr:col>
      <xdr:colOff>600075</xdr:colOff>
      <xdr:row>36</xdr:row>
      <xdr:rowOff>95250</xdr:rowOff>
    </xdr:to>
    <xdr:sp>
      <xdr:nvSpPr>
        <xdr:cNvPr id="14" name="Line 46"/>
        <xdr:cNvSpPr>
          <a:spLocks/>
        </xdr:cNvSpPr>
      </xdr:nvSpPr>
      <xdr:spPr>
        <a:xfrm>
          <a:off x="2257425" y="7277100"/>
          <a:ext cx="1514475" cy="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923925</xdr:colOff>
      <xdr:row>31</xdr:row>
      <xdr:rowOff>190500</xdr:rowOff>
    </xdr:from>
    <xdr:to>
      <xdr:col>2</xdr:col>
      <xdr:colOff>923925</xdr:colOff>
      <xdr:row>35</xdr:row>
      <xdr:rowOff>161925</xdr:rowOff>
    </xdr:to>
    <xdr:sp>
      <xdr:nvSpPr>
        <xdr:cNvPr id="15" name="Line 47"/>
        <xdr:cNvSpPr>
          <a:spLocks/>
        </xdr:cNvSpPr>
      </xdr:nvSpPr>
      <xdr:spPr>
        <a:xfrm>
          <a:off x="3162300" y="6381750"/>
          <a:ext cx="0" cy="771525"/>
        </a:xfrm>
        <a:prstGeom prst="line">
          <a:avLst/>
        </a:prstGeom>
        <a:noFill/>
        <a:ln w="2349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66675</xdr:rowOff>
    </xdr:from>
    <xdr:to>
      <xdr:col>9</xdr:col>
      <xdr:colOff>19050</xdr:colOff>
      <xdr:row>27</xdr:row>
      <xdr:rowOff>66675</xdr:rowOff>
    </xdr:to>
    <xdr:sp>
      <xdr:nvSpPr>
        <xdr:cNvPr id="1" name="Line 1"/>
        <xdr:cNvSpPr>
          <a:spLocks/>
        </xdr:cNvSpPr>
      </xdr:nvSpPr>
      <xdr:spPr>
        <a:xfrm>
          <a:off x="19050" y="5391150"/>
          <a:ext cx="7315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19050</xdr:colOff>
      <xdr:row>10</xdr:row>
      <xdr:rowOff>85725</xdr:rowOff>
    </xdr:from>
    <xdr:to>
      <xdr:col>1</xdr:col>
      <xdr:colOff>523875</xdr:colOff>
      <xdr:row>10</xdr:row>
      <xdr:rowOff>85725</xdr:rowOff>
    </xdr:to>
    <xdr:sp>
      <xdr:nvSpPr>
        <xdr:cNvPr id="2" name="Line 2"/>
        <xdr:cNvSpPr>
          <a:spLocks/>
        </xdr:cNvSpPr>
      </xdr:nvSpPr>
      <xdr:spPr>
        <a:xfrm>
          <a:off x="1104900" y="2047875"/>
          <a:ext cx="5048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19050</xdr:colOff>
      <xdr:row>11</xdr:row>
      <xdr:rowOff>85725</xdr:rowOff>
    </xdr:from>
    <xdr:to>
      <xdr:col>1</xdr:col>
      <xdr:colOff>523875</xdr:colOff>
      <xdr:row>11</xdr:row>
      <xdr:rowOff>85725</xdr:rowOff>
    </xdr:to>
    <xdr:sp>
      <xdr:nvSpPr>
        <xdr:cNvPr id="3" name="Line 3"/>
        <xdr:cNvSpPr>
          <a:spLocks/>
        </xdr:cNvSpPr>
      </xdr:nvSpPr>
      <xdr:spPr>
        <a:xfrm>
          <a:off x="1104900" y="2238375"/>
          <a:ext cx="5048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171450</xdr:colOff>
      <xdr:row>19</xdr:row>
      <xdr:rowOff>57150</xdr:rowOff>
    </xdr:from>
    <xdr:to>
      <xdr:col>3</xdr:col>
      <xdr:colOff>552450</xdr:colOff>
      <xdr:row>19</xdr:row>
      <xdr:rowOff>57150</xdr:rowOff>
    </xdr:to>
    <xdr:sp>
      <xdr:nvSpPr>
        <xdr:cNvPr id="4" name="Line 4"/>
        <xdr:cNvSpPr>
          <a:spLocks/>
        </xdr:cNvSpPr>
      </xdr:nvSpPr>
      <xdr:spPr>
        <a:xfrm>
          <a:off x="2057400" y="3781425"/>
          <a:ext cx="11049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7</xdr:row>
      <xdr:rowOff>104775</xdr:rowOff>
    </xdr:from>
    <xdr:to>
      <xdr:col>8</xdr:col>
      <xdr:colOff>704850</xdr:colOff>
      <xdr:row>7</xdr:row>
      <xdr:rowOff>104775</xdr:rowOff>
    </xdr:to>
    <xdr:sp>
      <xdr:nvSpPr>
        <xdr:cNvPr id="5" name="Line 5"/>
        <xdr:cNvSpPr>
          <a:spLocks/>
        </xdr:cNvSpPr>
      </xdr:nvSpPr>
      <xdr:spPr>
        <a:xfrm>
          <a:off x="28575" y="1495425"/>
          <a:ext cx="7248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12</xdr:row>
      <xdr:rowOff>66675</xdr:rowOff>
    </xdr:from>
    <xdr:to>
      <xdr:col>8</xdr:col>
      <xdr:colOff>704850</xdr:colOff>
      <xdr:row>12</xdr:row>
      <xdr:rowOff>66675</xdr:rowOff>
    </xdr:to>
    <xdr:sp>
      <xdr:nvSpPr>
        <xdr:cNvPr id="6" name="Line 6"/>
        <xdr:cNvSpPr>
          <a:spLocks/>
        </xdr:cNvSpPr>
      </xdr:nvSpPr>
      <xdr:spPr>
        <a:xfrm>
          <a:off x="19050" y="2409825"/>
          <a:ext cx="7258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38</xdr:row>
      <xdr:rowOff>123825</xdr:rowOff>
    </xdr:from>
    <xdr:to>
      <xdr:col>4</xdr:col>
      <xdr:colOff>0</xdr:colOff>
      <xdr:row>38</xdr:row>
      <xdr:rowOff>123825</xdr:rowOff>
    </xdr:to>
    <xdr:sp>
      <xdr:nvSpPr>
        <xdr:cNvPr id="7" name="Line 7"/>
        <xdr:cNvSpPr>
          <a:spLocks/>
        </xdr:cNvSpPr>
      </xdr:nvSpPr>
      <xdr:spPr>
        <a:xfrm>
          <a:off x="38100" y="7600950"/>
          <a:ext cx="3314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xdr:colOff>
      <xdr:row>46</xdr:row>
      <xdr:rowOff>114300</xdr:rowOff>
    </xdr:from>
    <xdr:to>
      <xdr:col>8</xdr:col>
      <xdr:colOff>714375</xdr:colOff>
      <xdr:row>46</xdr:row>
      <xdr:rowOff>114300</xdr:rowOff>
    </xdr:to>
    <xdr:sp>
      <xdr:nvSpPr>
        <xdr:cNvPr id="8" name="Line 8"/>
        <xdr:cNvSpPr>
          <a:spLocks/>
        </xdr:cNvSpPr>
      </xdr:nvSpPr>
      <xdr:spPr>
        <a:xfrm>
          <a:off x="38100" y="9115425"/>
          <a:ext cx="7248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50</xdr:row>
      <xdr:rowOff>76200</xdr:rowOff>
    </xdr:from>
    <xdr:to>
      <xdr:col>8</xdr:col>
      <xdr:colOff>723900</xdr:colOff>
      <xdr:row>50</xdr:row>
      <xdr:rowOff>76200</xdr:rowOff>
    </xdr:to>
    <xdr:sp>
      <xdr:nvSpPr>
        <xdr:cNvPr id="9" name="Line 9"/>
        <xdr:cNvSpPr>
          <a:spLocks/>
        </xdr:cNvSpPr>
      </xdr:nvSpPr>
      <xdr:spPr>
        <a:xfrm>
          <a:off x="28575" y="9839325"/>
          <a:ext cx="7267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77</xdr:row>
      <xdr:rowOff>104775</xdr:rowOff>
    </xdr:from>
    <xdr:to>
      <xdr:col>8</xdr:col>
      <xdr:colOff>704850</xdr:colOff>
      <xdr:row>77</xdr:row>
      <xdr:rowOff>104775</xdr:rowOff>
    </xdr:to>
    <xdr:sp>
      <xdr:nvSpPr>
        <xdr:cNvPr id="10" name="Line 10"/>
        <xdr:cNvSpPr>
          <a:spLocks/>
        </xdr:cNvSpPr>
      </xdr:nvSpPr>
      <xdr:spPr>
        <a:xfrm>
          <a:off x="28575" y="15078075"/>
          <a:ext cx="7248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83</xdr:row>
      <xdr:rowOff>123825</xdr:rowOff>
    </xdr:from>
    <xdr:to>
      <xdr:col>8</xdr:col>
      <xdr:colOff>676275</xdr:colOff>
      <xdr:row>83</xdr:row>
      <xdr:rowOff>123825</xdr:rowOff>
    </xdr:to>
    <xdr:sp>
      <xdr:nvSpPr>
        <xdr:cNvPr id="11" name="Line 11"/>
        <xdr:cNvSpPr>
          <a:spLocks/>
        </xdr:cNvSpPr>
      </xdr:nvSpPr>
      <xdr:spPr>
        <a:xfrm>
          <a:off x="0" y="16259175"/>
          <a:ext cx="7248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xdr:row>
      <xdr:rowOff>66675</xdr:rowOff>
    </xdr:from>
    <xdr:to>
      <xdr:col>8</xdr:col>
      <xdr:colOff>704850</xdr:colOff>
      <xdr:row>1</xdr:row>
      <xdr:rowOff>66675</xdr:rowOff>
    </xdr:to>
    <xdr:sp>
      <xdr:nvSpPr>
        <xdr:cNvPr id="12" name="Line 12"/>
        <xdr:cNvSpPr>
          <a:spLocks/>
        </xdr:cNvSpPr>
      </xdr:nvSpPr>
      <xdr:spPr>
        <a:xfrm>
          <a:off x="0" y="266700"/>
          <a:ext cx="7277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133350</xdr:colOff>
      <xdr:row>29</xdr:row>
      <xdr:rowOff>133350</xdr:rowOff>
    </xdr:from>
    <xdr:to>
      <xdr:col>3</xdr:col>
      <xdr:colOff>714375</xdr:colOff>
      <xdr:row>29</xdr:row>
      <xdr:rowOff>133350</xdr:rowOff>
    </xdr:to>
    <xdr:sp>
      <xdr:nvSpPr>
        <xdr:cNvPr id="13" name="Line 13"/>
        <xdr:cNvSpPr>
          <a:spLocks/>
        </xdr:cNvSpPr>
      </xdr:nvSpPr>
      <xdr:spPr>
        <a:xfrm flipH="1">
          <a:off x="2743200" y="5848350"/>
          <a:ext cx="5810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19050</xdr:colOff>
      <xdr:row>29</xdr:row>
      <xdr:rowOff>123825</xdr:rowOff>
    </xdr:from>
    <xdr:to>
      <xdr:col>5</xdr:col>
      <xdr:colOff>695325</xdr:colOff>
      <xdr:row>29</xdr:row>
      <xdr:rowOff>123825</xdr:rowOff>
    </xdr:to>
    <xdr:sp>
      <xdr:nvSpPr>
        <xdr:cNvPr id="14" name="Line 14"/>
        <xdr:cNvSpPr>
          <a:spLocks/>
        </xdr:cNvSpPr>
      </xdr:nvSpPr>
      <xdr:spPr>
        <a:xfrm>
          <a:off x="4171950" y="5838825"/>
          <a:ext cx="6762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381000</xdr:colOff>
      <xdr:row>30</xdr:row>
      <xdr:rowOff>180975</xdr:rowOff>
    </xdr:from>
    <xdr:to>
      <xdr:col>4</xdr:col>
      <xdr:colOff>381000</xdr:colOff>
      <xdr:row>42</xdr:row>
      <xdr:rowOff>180975</xdr:rowOff>
    </xdr:to>
    <xdr:sp>
      <xdr:nvSpPr>
        <xdr:cNvPr id="15" name="Line 49"/>
        <xdr:cNvSpPr>
          <a:spLocks/>
        </xdr:cNvSpPr>
      </xdr:nvSpPr>
      <xdr:spPr>
        <a:xfrm>
          <a:off x="3733800" y="6096000"/>
          <a:ext cx="0" cy="2324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53</xdr:row>
      <xdr:rowOff>0</xdr:rowOff>
    </xdr:from>
    <xdr:to>
      <xdr:col>9</xdr:col>
      <xdr:colOff>0</xdr:colOff>
      <xdr:row>53</xdr:row>
      <xdr:rowOff>0</xdr:rowOff>
    </xdr:to>
    <xdr:sp>
      <xdr:nvSpPr>
        <xdr:cNvPr id="16" name="Line 50"/>
        <xdr:cNvSpPr>
          <a:spLocks/>
        </xdr:cNvSpPr>
      </xdr:nvSpPr>
      <xdr:spPr>
        <a:xfrm flipV="1">
          <a:off x="28575" y="10334625"/>
          <a:ext cx="728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790575</xdr:colOff>
      <xdr:row>38</xdr:row>
      <xdr:rowOff>123825</xdr:rowOff>
    </xdr:from>
    <xdr:to>
      <xdr:col>8</xdr:col>
      <xdr:colOff>733425</xdr:colOff>
      <xdr:row>38</xdr:row>
      <xdr:rowOff>123825</xdr:rowOff>
    </xdr:to>
    <xdr:sp>
      <xdr:nvSpPr>
        <xdr:cNvPr id="17" name="Line 51"/>
        <xdr:cNvSpPr>
          <a:spLocks/>
        </xdr:cNvSpPr>
      </xdr:nvSpPr>
      <xdr:spPr>
        <a:xfrm>
          <a:off x="4143375" y="7600950"/>
          <a:ext cx="316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ome\ted.alme\Nutrient%20Management\ND%20Nutrient%20Mgmnt\ND_NM_Planner%20County%20Files_Jan03\Blank%20Nutrient%20Management%20Plann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AF263"/>
  <sheetViews>
    <sheetView workbookViewId="0" topLeftCell="A1">
      <selection activeCell="G27" sqref="G27:J27"/>
    </sheetView>
  </sheetViews>
  <sheetFormatPr defaultColWidth="9.140625" defaultRowHeight="12.75"/>
  <cols>
    <col min="1" max="1" width="5.57421875" style="0" customWidth="1"/>
    <col min="10" max="10" width="11.57421875" style="0" customWidth="1"/>
  </cols>
  <sheetData>
    <row r="1" spans="1:10" ht="18">
      <c r="A1" s="966" t="s">
        <v>592</v>
      </c>
      <c r="B1" s="966"/>
      <c r="C1" s="966"/>
      <c r="D1" s="966"/>
      <c r="E1" s="966"/>
      <c r="F1" s="966"/>
      <c r="G1" s="966"/>
      <c r="H1" s="966"/>
      <c r="I1" s="966"/>
      <c r="J1" s="966"/>
    </row>
    <row r="2" spans="1:10" ht="10.5" customHeight="1">
      <c r="A2" s="898"/>
      <c r="B2" s="898"/>
      <c r="C2" s="898"/>
      <c r="D2" s="898"/>
      <c r="E2" s="898"/>
      <c r="F2" s="898"/>
      <c r="G2" s="898"/>
      <c r="H2" s="898"/>
      <c r="I2" s="898"/>
      <c r="J2" s="898"/>
    </row>
    <row r="3" spans="1:10" ht="10.5" customHeight="1">
      <c r="A3" s="898"/>
      <c r="B3" s="898"/>
      <c r="C3" s="898"/>
      <c r="D3" s="898"/>
      <c r="E3" s="898"/>
      <c r="F3" s="898"/>
      <c r="G3" s="898"/>
      <c r="H3" s="898"/>
      <c r="I3" s="898"/>
      <c r="J3" s="898"/>
    </row>
    <row r="4" spans="1:10" ht="12.75">
      <c r="A4" s="965" t="s">
        <v>622</v>
      </c>
      <c r="B4" s="965"/>
      <c r="C4" s="965"/>
      <c r="D4" s="965"/>
      <c r="E4" s="965"/>
      <c r="F4" s="965"/>
      <c r="G4" s="965"/>
      <c r="H4" s="965"/>
      <c r="I4" s="965"/>
      <c r="J4" s="965"/>
    </row>
    <row r="5" spans="1:10" ht="12.75">
      <c r="A5" s="965"/>
      <c r="B5" s="965"/>
      <c r="C5" s="965"/>
      <c r="D5" s="965"/>
      <c r="E5" s="965"/>
      <c r="F5" s="965"/>
      <c r="G5" s="965"/>
      <c r="H5" s="965"/>
      <c r="I5" s="965"/>
      <c r="J5" s="965"/>
    </row>
    <row r="7" ht="15">
      <c r="A7" s="897" t="s">
        <v>1264</v>
      </c>
    </row>
    <row r="8" ht="6" customHeight="1"/>
    <row r="9" ht="12.75">
      <c r="A9" s="888" t="s">
        <v>854</v>
      </c>
    </row>
    <row r="10" ht="6" customHeight="1"/>
    <row r="11" spans="1:10" ht="12.75">
      <c r="A11" s="965" t="s">
        <v>855</v>
      </c>
      <c r="B11" s="965"/>
      <c r="C11" s="965"/>
      <c r="D11" s="965"/>
      <c r="E11" s="965"/>
      <c r="F11" s="965"/>
      <c r="G11" s="965"/>
      <c r="H11" s="965"/>
      <c r="I11" s="965"/>
      <c r="J11" s="965"/>
    </row>
    <row r="12" spans="1:10" ht="12.75">
      <c r="A12" s="965"/>
      <c r="B12" s="965"/>
      <c r="C12" s="965"/>
      <c r="D12" s="965"/>
      <c r="E12" s="965"/>
      <c r="F12" s="965"/>
      <c r="G12" s="965"/>
      <c r="H12" s="965"/>
      <c r="I12" s="965"/>
      <c r="J12" s="965"/>
    </row>
    <row r="13" spans="1:10" ht="12.75">
      <c r="A13" s="965"/>
      <c r="B13" s="965"/>
      <c r="C13" s="965"/>
      <c r="D13" s="965"/>
      <c r="E13" s="965"/>
      <c r="F13" s="965"/>
      <c r="G13" s="965"/>
      <c r="H13" s="965"/>
      <c r="I13" s="965"/>
      <c r="J13" s="965"/>
    </row>
    <row r="14" spans="1:10" ht="12.75">
      <c r="A14" s="965"/>
      <c r="B14" s="965"/>
      <c r="C14" s="965"/>
      <c r="D14" s="965"/>
      <c r="E14" s="965"/>
      <c r="F14" s="965"/>
      <c r="G14" s="965"/>
      <c r="H14" s="965"/>
      <c r="I14" s="965"/>
      <c r="J14" s="965"/>
    </row>
    <row r="15" spans="1:10" ht="12.75">
      <c r="A15" s="965" t="s">
        <v>856</v>
      </c>
      <c r="B15" s="965"/>
      <c r="C15" s="965"/>
      <c r="D15" s="965"/>
      <c r="E15" s="965"/>
      <c r="F15" s="965"/>
      <c r="G15" s="965"/>
      <c r="H15" s="965"/>
      <c r="I15" s="965"/>
      <c r="J15" s="965"/>
    </row>
    <row r="16" spans="1:10" ht="12.75">
      <c r="A16" s="965"/>
      <c r="B16" s="965"/>
      <c r="C16" s="965"/>
      <c r="D16" s="965"/>
      <c r="E16" s="965"/>
      <c r="F16" s="965"/>
      <c r="G16" s="965"/>
      <c r="H16" s="965"/>
      <c r="I16" s="965"/>
      <c r="J16" s="965"/>
    </row>
    <row r="17" spans="1:10" ht="12.75">
      <c r="A17" s="960" t="s">
        <v>857</v>
      </c>
      <c r="B17" s="960"/>
      <c r="C17" s="960"/>
      <c r="D17" s="960"/>
      <c r="E17" s="960"/>
      <c r="F17" s="960"/>
      <c r="G17" s="960"/>
      <c r="H17" s="960"/>
      <c r="I17" s="960"/>
      <c r="J17" s="960"/>
    </row>
    <row r="18" spans="1:10" ht="12.75">
      <c r="A18" s="960"/>
      <c r="B18" s="960"/>
      <c r="C18" s="960"/>
      <c r="D18" s="960"/>
      <c r="E18" s="960"/>
      <c r="F18" s="960"/>
      <c r="G18" s="960"/>
      <c r="H18" s="960"/>
      <c r="I18" s="960"/>
      <c r="J18" s="960"/>
    </row>
    <row r="19" spans="1:10" ht="12.75">
      <c r="A19" s="960"/>
      <c r="B19" s="960"/>
      <c r="C19" s="960"/>
      <c r="D19" s="960"/>
      <c r="E19" s="960"/>
      <c r="F19" s="960"/>
      <c r="G19" s="960"/>
      <c r="H19" s="960"/>
      <c r="I19" s="960"/>
      <c r="J19" s="960"/>
    </row>
    <row r="20" spans="1:10" ht="12.75">
      <c r="A20" s="960"/>
      <c r="B20" s="960"/>
      <c r="C20" s="960"/>
      <c r="D20" s="960"/>
      <c r="E20" s="960"/>
      <c r="F20" s="960"/>
      <c r="G20" s="960"/>
      <c r="H20" s="960"/>
      <c r="I20" s="960"/>
      <c r="J20" s="960"/>
    </row>
    <row r="21" spans="1:10" ht="23.25" customHeight="1">
      <c r="A21" s="961" t="s">
        <v>881</v>
      </c>
      <c r="B21" s="961"/>
      <c r="C21" s="961"/>
      <c r="D21" s="961"/>
      <c r="E21" s="961"/>
      <c r="F21" s="961"/>
      <c r="G21" s="961"/>
      <c r="H21" s="961"/>
      <c r="I21" s="961"/>
      <c r="J21" s="961"/>
    </row>
    <row r="22" spans="1:10" ht="15.75" customHeight="1">
      <c r="A22" s="961"/>
      <c r="B22" s="961"/>
      <c r="C22" s="961"/>
      <c r="D22" s="961"/>
      <c r="E22" s="961"/>
      <c r="F22" s="961"/>
      <c r="G22" s="961"/>
      <c r="H22" s="961"/>
      <c r="I22" s="961"/>
      <c r="J22" s="961"/>
    </row>
    <row r="23" spans="1:10" ht="15.75" customHeight="1">
      <c r="A23" s="891"/>
      <c r="B23" s="891"/>
      <c r="C23" s="891"/>
      <c r="D23" s="891"/>
      <c r="E23" s="891"/>
      <c r="F23" s="891"/>
      <c r="G23" s="891"/>
      <c r="H23" s="891"/>
      <c r="I23" s="891"/>
      <c r="J23" s="891"/>
    </row>
    <row r="24" spans="1:10" ht="15.75" customHeight="1">
      <c r="A24" s="967" t="s">
        <v>1439</v>
      </c>
      <c r="B24" s="967"/>
      <c r="C24" s="967"/>
      <c r="D24" s="967"/>
      <c r="E24" s="967"/>
      <c r="F24" s="967"/>
      <c r="G24" s="967"/>
      <c r="H24" s="967"/>
      <c r="I24" s="967"/>
      <c r="J24" s="967"/>
    </row>
    <row r="25" spans="1:10" ht="15.75" customHeight="1">
      <c r="A25" s="968"/>
      <c r="B25" s="968"/>
      <c r="C25" s="968"/>
      <c r="D25" s="968"/>
      <c r="E25" s="968"/>
      <c r="F25" s="968"/>
      <c r="G25" s="968"/>
      <c r="H25" s="968"/>
      <c r="I25" s="968"/>
      <c r="J25" s="968"/>
    </row>
    <row r="26" spans="1:10" ht="12.75">
      <c r="A26" s="887"/>
      <c r="B26" s="887"/>
      <c r="C26" s="887"/>
      <c r="D26" s="887"/>
      <c r="E26" s="887"/>
      <c r="F26" s="887"/>
      <c r="G26" s="887"/>
      <c r="H26" s="887"/>
      <c r="I26" s="887"/>
      <c r="J26" s="887"/>
    </row>
    <row r="27" spans="1:10" ht="12.75">
      <c r="A27" s="888" t="s">
        <v>858</v>
      </c>
      <c r="G27" s="962" t="s">
        <v>596</v>
      </c>
      <c r="H27" s="962"/>
      <c r="I27" s="962"/>
      <c r="J27" s="962"/>
    </row>
    <row r="28" ht="6" customHeight="1"/>
    <row r="29" spans="1:2" ht="12.75">
      <c r="A29" s="888">
        <v>1</v>
      </c>
      <c r="B29" t="s">
        <v>191</v>
      </c>
    </row>
    <row r="30" spans="1:10" ht="12.75">
      <c r="A30" s="888">
        <v>2</v>
      </c>
      <c r="B30" s="960" t="s">
        <v>593</v>
      </c>
      <c r="C30" s="960"/>
      <c r="D30" s="960"/>
      <c r="E30" s="960"/>
      <c r="F30" s="960"/>
      <c r="G30" s="960"/>
      <c r="H30" s="960"/>
      <c r="I30" s="960"/>
      <c r="J30" s="960"/>
    </row>
    <row r="31" spans="1:10" ht="12.75">
      <c r="A31" s="888"/>
      <c r="B31" s="960"/>
      <c r="C31" s="960"/>
      <c r="D31" s="960"/>
      <c r="E31" s="960"/>
      <c r="F31" s="960"/>
      <c r="G31" s="960"/>
      <c r="H31" s="960"/>
      <c r="I31" s="960"/>
      <c r="J31" s="960"/>
    </row>
    <row r="32" spans="1:10" ht="12.75">
      <c r="A32" s="888">
        <v>3</v>
      </c>
      <c r="B32" s="960" t="s">
        <v>600</v>
      </c>
      <c r="C32" s="960"/>
      <c r="D32" s="960"/>
      <c r="E32" s="960"/>
      <c r="F32" s="960"/>
      <c r="G32" s="960"/>
      <c r="H32" s="960"/>
      <c r="I32" s="960"/>
      <c r="J32" s="960"/>
    </row>
    <row r="33" spans="1:10" ht="12.75">
      <c r="A33" s="888"/>
      <c r="B33" s="960"/>
      <c r="C33" s="960"/>
      <c r="D33" s="960"/>
      <c r="E33" s="960"/>
      <c r="F33" s="960"/>
      <c r="G33" s="960"/>
      <c r="H33" s="960"/>
      <c r="I33" s="960"/>
      <c r="J33" s="960"/>
    </row>
    <row r="34" spans="1:10" ht="12.75">
      <c r="A34" s="888"/>
      <c r="B34" s="960"/>
      <c r="C34" s="960"/>
      <c r="D34" s="960"/>
      <c r="E34" s="960"/>
      <c r="F34" s="960"/>
      <c r="G34" s="960"/>
      <c r="H34" s="960"/>
      <c r="I34" s="960"/>
      <c r="J34" s="960"/>
    </row>
    <row r="35" spans="1:10" ht="12.75">
      <c r="A35" s="888">
        <v>4</v>
      </c>
      <c r="B35" s="960" t="s">
        <v>759</v>
      </c>
      <c r="C35" s="960"/>
      <c r="D35" s="960"/>
      <c r="E35" s="960"/>
      <c r="F35" s="960"/>
      <c r="G35" s="960"/>
      <c r="H35" s="960"/>
      <c r="I35" s="960"/>
      <c r="J35" s="960"/>
    </row>
    <row r="36" spans="1:10" ht="12.75">
      <c r="A36" s="888"/>
      <c r="B36" s="960"/>
      <c r="C36" s="960"/>
      <c r="D36" s="960"/>
      <c r="E36" s="960"/>
      <c r="F36" s="960"/>
      <c r="G36" s="960"/>
      <c r="H36" s="960"/>
      <c r="I36" s="960"/>
      <c r="J36" s="960"/>
    </row>
    <row r="37" spans="1:10" ht="12.75">
      <c r="A37" s="888"/>
      <c r="B37" s="960"/>
      <c r="C37" s="960"/>
      <c r="D37" s="960"/>
      <c r="E37" s="960"/>
      <c r="F37" s="960"/>
      <c r="G37" s="960"/>
      <c r="H37" s="960"/>
      <c r="I37" s="960"/>
      <c r="J37" s="960"/>
    </row>
    <row r="38" spans="2:10" ht="12.75">
      <c r="B38" s="889"/>
      <c r="C38" s="889"/>
      <c r="D38" s="889"/>
      <c r="E38" s="889"/>
      <c r="F38" s="889"/>
      <c r="G38" s="889"/>
      <c r="H38" s="889"/>
      <c r="I38" s="889"/>
      <c r="J38" s="889"/>
    </row>
    <row r="39" spans="1:9" ht="12.75">
      <c r="A39" s="888" t="s">
        <v>624</v>
      </c>
      <c r="F39" s="962" t="s">
        <v>595</v>
      </c>
      <c r="G39" s="962"/>
      <c r="H39" s="962"/>
      <c r="I39" s="962"/>
    </row>
    <row r="40" ht="6" customHeight="1"/>
    <row r="41" spans="1:10" ht="12.75">
      <c r="A41" s="888">
        <v>1</v>
      </c>
      <c r="B41" s="960" t="s">
        <v>627</v>
      </c>
      <c r="C41" s="960"/>
      <c r="D41" s="960"/>
      <c r="E41" s="960"/>
      <c r="F41" s="960"/>
      <c r="G41" s="960"/>
      <c r="H41" s="960"/>
      <c r="I41" s="960"/>
      <c r="J41" s="960"/>
    </row>
    <row r="42" spans="1:10" ht="12.75">
      <c r="A42" s="888"/>
      <c r="B42" s="960"/>
      <c r="C42" s="960"/>
      <c r="D42" s="960"/>
      <c r="E42" s="960"/>
      <c r="F42" s="960"/>
      <c r="G42" s="960"/>
      <c r="H42" s="960"/>
      <c r="I42" s="960"/>
      <c r="J42" s="960"/>
    </row>
    <row r="43" spans="1:2" ht="12.75">
      <c r="A43" s="888">
        <v>2</v>
      </c>
      <c r="B43" t="s">
        <v>192</v>
      </c>
    </row>
    <row r="44" spans="1:10" ht="12.75">
      <c r="A44" s="888">
        <v>3</v>
      </c>
      <c r="B44" s="965" t="s">
        <v>194</v>
      </c>
      <c r="C44" s="965"/>
      <c r="D44" s="965"/>
      <c r="E44" s="965"/>
      <c r="F44" s="965"/>
      <c r="G44" s="965"/>
      <c r="H44" s="965"/>
      <c r="I44" s="965"/>
      <c r="J44" s="965"/>
    </row>
    <row r="45" spans="1:10" ht="12.75">
      <c r="A45" s="888"/>
      <c r="B45" s="965"/>
      <c r="C45" s="965"/>
      <c r="D45" s="965"/>
      <c r="E45" s="965"/>
      <c r="F45" s="965"/>
      <c r="G45" s="965"/>
      <c r="H45" s="965"/>
      <c r="I45" s="965"/>
      <c r="J45" s="965"/>
    </row>
    <row r="46" spans="1:10" ht="12.75">
      <c r="A46" s="888">
        <v>4</v>
      </c>
      <c r="B46" s="960" t="s">
        <v>193</v>
      </c>
      <c r="C46" s="960"/>
      <c r="D46" s="960"/>
      <c r="E46" s="960"/>
      <c r="F46" s="960"/>
      <c r="G46" s="960"/>
      <c r="H46" s="960"/>
      <c r="I46" s="960"/>
      <c r="J46" s="960"/>
    </row>
    <row r="47" spans="1:10" ht="12.75">
      <c r="A47" s="888"/>
      <c r="B47" s="960"/>
      <c r="C47" s="960"/>
      <c r="D47" s="960"/>
      <c r="E47" s="960"/>
      <c r="F47" s="960"/>
      <c r="G47" s="960"/>
      <c r="H47" s="960"/>
      <c r="I47" s="960"/>
      <c r="J47" s="960"/>
    </row>
    <row r="48" spans="1:10" ht="12.75">
      <c r="A48" s="888">
        <v>5</v>
      </c>
      <c r="B48" s="960" t="s">
        <v>625</v>
      </c>
      <c r="C48" s="960"/>
      <c r="D48" s="960"/>
      <c r="E48" s="960"/>
      <c r="F48" s="960"/>
      <c r="G48" s="960"/>
      <c r="H48" s="960"/>
      <c r="I48" s="960"/>
      <c r="J48" s="960"/>
    </row>
    <row r="49" spans="1:10" ht="12.75">
      <c r="A49" s="888"/>
      <c r="B49" s="960"/>
      <c r="C49" s="960"/>
      <c r="D49" s="960"/>
      <c r="E49" s="960"/>
      <c r="F49" s="960"/>
      <c r="G49" s="960"/>
      <c r="H49" s="960"/>
      <c r="I49" s="960"/>
      <c r="J49" s="960"/>
    </row>
    <row r="50" spans="1:10" ht="12.75">
      <c r="A50" s="888">
        <v>6</v>
      </c>
      <c r="B50" s="960" t="s">
        <v>623</v>
      </c>
      <c r="C50" s="960"/>
      <c r="D50" s="960"/>
      <c r="E50" s="960"/>
      <c r="F50" s="960"/>
      <c r="G50" s="960"/>
      <c r="H50" s="960"/>
      <c r="I50" s="960"/>
      <c r="J50" s="960"/>
    </row>
    <row r="51" spans="1:10" ht="12.75">
      <c r="A51" s="888"/>
      <c r="B51" s="960"/>
      <c r="C51" s="960"/>
      <c r="D51" s="960"/>
      <c r="E51" s="960"/>
      <c r="F51" s="960"/>
      <c r="G51" s="960"/>
      <c r="H51" s="960"/>
      <c r="I51" s="960"/>
      <c r="J51" s="960"/>
    </row>
    <row r="52" spans="1:10" ht="12.75">
      <c r="A52" s="888">
        <v>7</v>
      </c>
      <c r="B52" s="959" t="s">
        <v>626</v>
      </c>
      <c r="C52" s="959"/>
      <c r="D52" s="959"/>
      <c r="E52" s="959"/>
      <c r="F52" s="959"/>
      <c r="G52" s="959"/>
      <c r="H52" s="959"/>
      <c r="I52" s="959"/>
      <c r="J52" s="959"/>
    </row>
    <row r="53" spans="1:10" ht="12.75">
      <c r="A53" s="888"/>
      <c r="B53" s="959"/>
      <c r="C53" s="959"/>
      <c r="D53" s="959"/>
      <c r="E53" s="959"/>
      <c r="F53" s="959"/>
      <c r="G53" s="959"/>
      <c r="H53" s="959"/>
      <c r="I53" s="959"/>
      <c r="J53" s="959"/>
    </row>
    <row r="54" spans="1:10" ht="13.5" customHeight="1">
      <c r="A54" s="888">
        <v>8</v>
      </c>
      <c r="B54" s="960" t="s">
        <v>195</v>
      </c>
      <c r="C54" s="960"/>
      <c r="D54" s="960"/>
      <c r="E54" s="960"/>
      <c r="F54" s="960"/>
      <c r="G54" s="960"/>
      <c r="H54" s="960"/>
      <c r="I54" s="960"/>
      <c r="J54" s="960"/>
    </row>
    <row r="55" spans="1:10" ht="12.75">
      <c r="A55" s="888"/>
      <c r="B55" s="960"/>
      <c r="C55" s="960"/>
      <c r="D55" s="960"/>
      <c r="E55" s="960"/>
      <c r="F55" s="960"/>
      <c r="G55" s="960"/>
      <c r="H55" s="960"/>
      <c r="I55" s="960"/>
      <c r="J55" s="960"/>
    </row>
    <row r="56" spans="2:10" ht="9.75" customHeight="1">
      <c r="B56" s="889"/>
      <c r="C56" s="889"/>
      <c r="D56" s="889"/>
      <c r="E56" s="889"/>
      <c r="F56" s="889"/>
      <c r="G56" s="889"/>
      <c r="H56" s="889"/>
      <c r="I56" s="889"/>
      <c r="J56" s="889"/>
    </row>
    <row r="57" spans="2:10" ht="12.75" customHeight="1">
      <c r="B57" s="969" t="s">
        <v>885</v>
      </c>
      <c r="C57" s="969"/>
      <c r="D57" s="969"/>
      <c r="E57" s="969"/>
      <c r="F57" s="969"/>
      <c r="G57" s="969"/>
      <c r="H57" s="969"/>
      <c r="I57" s="969"/>
      <c r="J57" s="969"/>
    </row>
    <row r="58" spans="1:10" ht="11.25" customHeight="1">
      <c r="A58" s="929"/>
      <c r="B58" s="969"/>
      <c r="C58" s="969"/>
      <c r="D58" s="969"/>
      <c r="E58" s="969"/>
      <c r="F58" s="969"/>
      <c r="G58" s="969"/>
      <c r="H58" s="969"/>
      <c r="I58" s="969"/>
      <c r="J58" s="969"/>
    </row>
    <row r="59" spans="1:10" ht="12.75">
      <c r="A59" s="890"/>
      <c r="B59" s="890"/>
      <c r="C59" s="890"/>
      <c r="D59" s="890"/>
      <c r="E59" s="890"/>
      <c r="F59" s="890"/>
      <c r="G59" s="890"/>
      <c r="H59" s="890"/>
      <c r="I59" s="890"/>
      <c r="J59" s="890"/>
    </row>
    <row r="60" spans="1:9" ht="15.75">
      <c r="A60" s="331" t="s">
        <v>886</v>
      </c>
      <c r="F60" s="962" t="s">
        <v>597</v>
      </c>
      <c r="G60" s="970"/>
      <c r="H60" s="970"/>
      <c r="I60" s="970"/>
    </row>
    <row r="61" ht="6" customHeight="1"/>
    <row r="62" spans="1:2" ht="12.75">
      <c r="A62" s="888">
        <v>1</v>
      </c>
      <c r="B62" s="928" t="s">
        <v>601</v>
      </c>
    </row>
    <row r="63" spans="1:2" ht="12.75">
      <c r="A63" s="888"/>
      <c r="B63" t="s">
        <v>196</v>
      </c>
    </row>
    <row r="64" spans="1:2" ht="12.75">
      <c r="A64" s="888">
        <v>2</v>
      </c>
      <c r="B64" s="928" t="s">
        <v>197</v>
      </c>
    </row>
    <row r="65" spans="1:10" ht="12.75">
      <c r="A65" s="888"/>
      <c r="B65" s="965" t="s">
        <v>1440</v>
      </c>
      <c r="C65" s="965"/>
      <c r="D65" s="965"/>
      <c r="E65" s="965"/>
      <c r="F65" s="965"/>
      <c r="G65" s="965"/>
      <c r="H65" s="965"/>
      <c r="I65" s="965"/>
      <c r="J65" s="965"/>
    </row>
    <row r="66" spans="1:10" ht="12.75">
      <c r="A66" s="888"/>
      <c r="B66" s="965"/>
      <c r="C66" s="965"/>
      <c r="D66" s="965"/>
      <c r="E66" s="965"/>
      <c r="F66" s="965"/>
      <c r="G66" s="965"/>
      <c r="H66" s="965"/>
      <c r="I66" s="965"/>
      <c r="J66" s="965"/>
    </row>
    <row r="67" spans="1:2" ht="12.75">
      <c r="A67" s="888">
        <v>3</v>
      </c>
      <c r="B67" s="928" t="s">
        <v>198</v>
      </c>
    </row>
    <row r="68" spans="1:2" ht="12.75">
      <c r="A68" s="888"/>
      <c r="B68" t="s">
        <v>1441</v>
      </c>
    </row>
    <row r="69" spans="1:10" ht="12.75">
      <c r="A69" s="888"/>
      <c r="B69" s="961" t="s">
        <v>1442</v>
      </c>
      <c r="C69" s="961"/>
      <c r="D69" s="961"/>
      <c r="E69" s="961"/>
      <c r="F69" s="961"/>
      <c r="G69" s="961"/>
      <c r="H69" s="961"/>
      <c r="I69" s="961"/>
      <c r="J69" s="961"/>
    </row>
    <row r="70" spans="1:10" ht="12.75">
      <c r="A70" s="888"/>
      <c r="B70" s="961"/>
      <c r="C70" s="961"/>
      <c r="D70" s="961"/>
      <c r="E70" s="961"/>
      <c r="F70" s="961"/>
      <c r="G70" s="961"/>
      <c r="H70" s="961"/>
      <c r="I70" s="961"/>
      <c r="J70" s="961"/>
    </row>
    <row r="71" spans="1:10" ht="12.75">
      <c r="A71" s="888"/>
      <c r="B71" s="961"/>
      <c r="C71" s="961"/>
      <c r="D71" s="961"/>
      <c r="E71" s="961"/>
      <c r="F71" s="961"/>
      <c r="G71" s="961"/>
      <c r="H71" s="961"/>
      <c r="I71" s="961"/>
      <c r="J71" s="961"/>
    </row>
    <row r="72" spans="1:10" ht="12.75">
      <c r="A72" s="888"/>
      <c r="B72" s="961"/>
      <c r="C72" s="961"/>
      <c r="D72" s="961"/>
      <c r="E72" s="961"/>
      <c r="F72" s="961"/>
      <c r="G72" s="961"/>
      <c r="H72" s="961"/>
      <c r="I72" s="961"/>
      <c r="J72" s="961"/>
    </row>
    <row r="73" spans="1:10" ht="12.75">
      <c r="A73" s="888"/>
      <c r="B73" s="961"/>
      <c r="C73" s="961"/>
      <c r="D73" s="961"/>
      <c r="E73" s="961"/>
      <c r="F73" s="961"/>
      <c r="G73" s="961"/>
      <c r="H73" s="961"/>
      <c r="I73" s="961"/>
      <c r="J73" s="961"/>
    </row>
    <row r="74" spans="1:10" ht="12.75">
      <c r="A74" s="888"/>
      <c r="B74" s="961"/>
      <c r="C74" s="961"/>
      <c r="D74" s="961"/>
      <c r="E74" s="961"/>
      <c r="F74" s="961"/>
      <c r="G74" s="961"/>
      <c r="H74" s="961"/>
      <c r="I74" s="961"/>
      <c r="J74" s="961"/>
    </row>
    <row r="75" spans="1:10" ht="12.75">
      <c r="A75" s="888"/>
      <c r="B75" s="961"/>
      <c r="C75" s="961"/>
      <c r="D75" s="961"/>
      <c r="E75" s="961"/>
      <c r="F75" s="961"/>
      <c r="G75" s="961"/>
      <c r="H75" s="961"/>
      <c r="I75" s="961"/>
      <c r="J75" s="961"/>
    </row>
    <row r="76" spans="1:10" ht="12.75">
      <c r="A76" s="888"/>
      <c r="B76" s="964" t="s">
        <v>758</v>
      </c>
      <c r="C76" s="961"/>
      <c r="D76" s="961"/>
      <c r="E76" s="961"/>
      <c r="F76" s="961"/>
      <c r="G76" s="961"/>
      <c r="H76" s="961"/>
      <c r="I76" s="961"/>
      <c r="J76" s="961"/>
    </row>
    <row r="77" spans="1:10" ht="12.75" customHeight="1">
      <c r="A77" s="888"/>
      <c r="B77" s="961"/>
      <c r="C77" s="961"/>
      <c r="D77" s="961"/>
      <c r="E77" s="961"/>
      <c r="F77" s="961"/>
      <c r="G77" s="961"/>
      <c r="H77" s="961"/>
      <c r="I77" s="961"/>
      <c r="J77" s="961"/>
    </row>
    <row r="78" spans="1:10" ht="12.75">
      <c r="A78" s="888"/>
      <c r="B78" s="961"/>
      <c r="C78" s="961"/>
      <c r="D78" s="961"/>
      <c r="E78" s="961"/>
      <c r="F78" s="961"/>
      <c r="G78" s="961"/>
      <c r="H78" s="961"/>
      <c r="I78" s="961"/>
      <c r="J78" s="961"/>
    </row>
    <row r="79" spans="1:10" ht="12.75">
      <c r="A79" s="888"/>
      <c r="B79" s="961"/>
      <c r="C79" s="961"/>
      <c r="D79" s="961"/>
      <c r="E79" s="961"/>
      <c r="F79" s="961"/>
      <c r="G79" s="961"/>
      <c r="H79" s="961"/>
      <c r="I79" s="961"/>
      <c r="J79" s="961"/>
    </row>
    <row r="80" spans="1:2" ht="12.75">
      <c r="A80" s="888">
        <v>4</v>
      </c>
      <c r="B80" s="928" t="s">
        <v>199</v>
      </c>
    </row>
    <row r="81" spans="1:10" ht="12.75">
      <c r="A81" s="888"/>
      <c r="B81" s="960" t="s">
        <v>200</v>
      </c>
      <c r="C81" s="960"/>
      <c r="D81" s="960"/>
      <c r="E81" s="960"/>
      <c r="F81" s="960"/>
      <c r="G81" s="960"/>
      <c r="H81" s="960"/>
      <c r="I81" s="960"/>
      <c r="J81" s="960"/>
    </row>
    <row r="82" spans="1:10" ht="12.75">
      <c r="A82" s="888"/>
      <c r="B82" s="960"/>
      <c r="C82" s="960"/>
      <c r="D82" s="960"/>
      <c r="E82" s="960"/>
      <c r="F82" s="960"/>
      <c r="G82" s="960"/>
      <c r="H82" s="960"/>
      <c r="I82" s="960"/>
      <c r="J82" s="960"/>
    </row>
    <row r="83" spans="1:2" ht="12.75">
      <c r="A83" s="888">
        <v>5</v>
      </c>
      <c r="B83" s="928" t="s">
        <v>1233</v>
      </c>
    </row>
    <row r="84" spans="1:10" ht="12.75">
      <c r="A84" s="888"/>
      <c r="B84" s="960" t="s">
        <v>1232</v>
      </c>
      <c r="C84" s="960"/>
      <c r="D84" s="960"/>
      <c r="E84" s="960"/>
      <c r="F84" s="960"/>
      <c r="G84" s="960"/>
      <c r="H84" s="960"/>
      <c r="I84" s="960"/>
      <c r="J84" s="960"/>
    </row>
    <row r="85" spans="1:10" ht="12.75">
      <c r="A85" s="888"/>
      <c r="B85" s="960"/>
      <c r="C85" s="960"/>
      <c r="D85" s="960"/>
      <c r="E85" s="960"/>
      <c r="F85" s="960"/>
      <c r="G85" s="960"/>
      <c r="H85" s="960"/>
      <c r="I85" s="960"/>
      <c r="J85" s="960"/>
    </row>
    <row r="86" spans="1:2" ht="12.75">
      <c r="A86" s="888">
        <v>6</v>
      </c>
      <c r="B86" s="928" t="s">
        <v>1216</v>
      </c>
    </row>
    <row r="87" spans="1:10" ht="12.75">
      <c r="A87" s="888"/>
      <c r="B87" s="959" t="s">
        <v>201</v>
      </c>
      <c r="C87" s="959"/>
      <c r="D87" s="959"/>
      <c r="E87" s="959"/>
      <c r="F87" s="959"/>
      <c r="G87" s="959"/>
      <c r="H87" s="959"/>
      <c r="I87" s="959"/>
      <c r="J87" s="959"/>
    </row>
    <row r="88" spans="1:32" ht="15">
      <c r="A88" s="888"/>
      <c r="B88" s="959"/>
      <c r="C88" s="959"/>
      <c r="D88" s="959"/>
      <c r="E88" s="959"/>
      <c r="F88" s="959"/>
      <c r="G88" s="959"/>
      <c r="H88" s="959"/>
      <c r="I88" s="959"/>
      <c r="J88" s="959"/>
      <c r="M88" s="892"/>
      <c r="N88" s="892"/>
      <c r="O88" s="892"/>
      <c r="P88" s="892"/>
      <c r="Q88" s="892"/>
      <c r="R88" s="892"/>
      <c r="S88" s="892"/>
      <c r="T88" s="892"/>
      <c r="U88" s="892"/>
      <c r="V88" s="892"/>
      <c r="W88" s="892"/>
      <c r="X88" s="892"/>
      <c r="Y88" s="892"/>
      <c r="Z88" s="892"/>
      <c r="AA88" s="892"/>
      <c r="AB88" s="892"/>
      <c r="AC88" s="892"/>
      <c r="AD88" s="892"/>
      <c r="AE88" s="892"/>
      <c r="AF88" s="892"/>
    </row>
    <row r="89" spans="1:32" ht="15">
      <c r="A89" s="888"/>
      <c r="B89" s="959"/>
      <c r="C89" s="959"/>
      <c r="D89" s="959"/>
      <c r="E89" s="959"/>
      <c r="F89" s="959"/>
      <c r="G89" s="959"/>
      <c r="H89" s="959"/>
      <c r="I89" s="959"/>
      <c r="J89" s="959"/>
      <c r="M89" s="892"/>
      <c r="N89" s="892"/>
      <c r="O89" s="892"/>
      <c r="P89" s="892"/>
      <c r="Q89" s="892"/>
      <c r="R89" s="892"/>
      <c r="S89" s="892"/>
      <c r="T89" s="892"/>
      <c r="U89" s="892"/>
      <c r="V89" s="892"/>
      <c r="W89" s="892"/>
      <c r="X89" s="892"/>
      <c r="Y89" s="892"/>
      <c r="Z89" s="892"/>
      <c r="AA89" s="892"/>
      <c r="AB89" s="892"/>
      <c r="AC89" s="892"/>
      <c r="AD89" s="892"/>
      <c r="AE89" s="892"/>
      <c r="AF89" s="892"/>
    </row>
    <row r="90" spans="1:32" ht="15">
      <c r="A90" s="888">
        <v>7</v>
      </c>
      <c r="B90" s="928" t="s">
        <v>202</v>
      </c>
      <c r="F90" s="962" t="s">
        <v>599</v>
      </c>
      <c r="G90" s="962"/>
      <c r="H90" s="962"/>
      <c r="I90" s="962"/>
      <c r="J90" s="962"/>
      <c r="M90" s="886"/>
      <c r="N90" s="886"/>
      <c r="O90" s="886"/>
      <c r="P90" s="886"/>
      <c r="Q90" s="886"/>
      <c r="R90" s="886"/>
      <c r="S90" s="886"/>
      <c r="T90" s="886"/>
      <c r="U90" s="886"/>
      <c r="V90" s="886"/>
      <c r="W90" s="886"/>
      <c r="X90" s="886"/>
      <c r="Y90" s="886"/>
      <c r="Z90" s="886"/>
      <c r="AA90" s="886"/>
      <c r="AB90" s="886"/>
      <c r="AC90" s="886"/>
      <c r="AD90" s="886"/>
      <c r="AE90" s="886"/>
      <c r="AF90" s="886"/>
    </row>
    <row r="91" spans="1:32" ht="15">
      <c r="A91" s="888"/>
      <c r="B91" s="961" t="s">
        <v>865</v>
      </c>
      <c r="C91" s="961"/>
      <c r="D91" s="961"/>
      <c r="E91" s="961"/>
      <c r="F91" s="961"/>
      <c r="G91" s="961"/>
      <c r="H91" s="961"/>
      <c r="I91" s="961"/>
      <c r="J91" s="961"/>
      <c r="M91" s="886"/>
      <c r="N91" s="886"/>
      <c r="O91" s="886"/>
      <c r="P91" s="886"/>
      <c r="Q91" s="886"/>
      <c r="R91" s="886"/>
      <c r="S91" s="886"/>
      <c r="T91" s="886"/>
      <c r="U91" s="886"/>
      <c r="V91" s="886"/>
      <c r="W91" s="886"/>
      <c r="X91" s="886"/>
      <c r="Y91" s="886"/>
      <c r="Z91" s="886"/>
      <c r="AA91" s="886"/>
      <c r="AB91" s="886"/>
      <c r="AC91" s="886"/>
      <c r="AD91" s="886"/>
      <c r="AE91" s="886"/>
      <c r="AF91" s="886"/>
    </row>
    <row r="92" spans="1:10" ht="12.75">
      <c r="A92" s="888"/>
      <c r="B92" s="961"/>
      <c r="C92" s="961"/>
      <c r="D92" s="961"/>
      <c r="E92" s="961"/>
      <c r="F92" s="961"/>
      <c r="G92" s="961"/>
      <c r="H92" s="961"/>
      <c r="I92" s="961"/>
      <c r="J92" s="961"/>
    </row>
    <row r="93" spans="1:10" ht="12.75">
      <c r="A93" s="888"/>
      <c r="B93" s="961"/>
      <c r="C93" s="961"/>
      <c r="D93" s="961"/>
      <c r="E93" s="961"/>
      <c r="F93" s="961"/>
      <c r="G93" s="961"/>
      <c r="H93" s="961"/>
      <c r="I93" s="961"/>
      <c r="J93" s="961"/>
    </row>
    <row r="94" spans="1:10" ht="12.75">
      <c r="A94" s="888"/>
      <c r="B94" s="961"/>
      <c r="C94" s="961"/>
      <c r="D94" s="961"/>
      <c r="E94" s="961"/>
      <c r="F94" s="961"/>
      <c r="G94" s="961"/>
      <c r="H94" s="961"/>
      <c r="I94" s="961"/>
      <c r="J94" s="961"/>
    </row>
    <row r="95" spans="1:10" ht="12.75">
      <c r="A95" s="888"/>
      <c r="B95" s="961"/>
      <c r="C95" s="961"/>
      <c r="D95" s="961"/>
      <c r="E95" s="961"/>
      <c r="F95" s="961"/>
      <c r="G95" s="961"/>
      <c r="H95" s="961"/>
      <c r="I95" s="961"/>
      <c r="J95" s="961"/>
    </row>
    <row r="96" spans="1:10" ht="12.75">
      <c r="A96" s="888"/>
      <c r="B96" s="961"/>
      <c r="C96" s="961"/>
      <c r="D96" s="961"/>
      <c r="E96" s="961"/>
      <c r="F96" s="961"/>
      <c r="G96" s="961"/>
      <c r="H96" s="961"/>
      <c r="I96" s="961"/>
      <c r="J96" s="961"/>
    </row>
    <row r="97" spans="1:10" ht="12.75">
      <c r="A97" s="888"/>
      <c r="B97" s="904" t="s">
        <v>609</v>
      </c>
      <c r="C97" s="334" t="s">
        <v>1221</v>
      </c>
      <c r="D97" s="334"/>
      <c r="E97" s="334"/>
      <c r="F97" s="334"/>
      <c r="G97" s="334"/>
      <c r="H97" s="334"/>
      <c r="I97" s="334"/>
      <c r="J97" s="334"/>
    </row>
    <row r="98" spans="1:10" ht="12.75">
      <c r="A98" s="888"/>
      <c r="B98" s="904" t="s">
        <v>610</v>
      </c>
      <c r="C98" s="334" t="s">
        <v>1217</v>
      </c>
      <c r="D98" s="334"/>
      <c r="E98" s="334"/>
      <c r="G98" s="334"/>
      <c r="H98" s="334"/>
      <c r="I98" s="334"/>
      <c r="J98" s="334"/>
    </row>
    <row r="99" spans="1:10" ht="12.75">
      <c r="A99" s="888"/>
      <c r="B99" s="904" t="s">
        <v>611</v>
      </c>
      <c r="C99" s="334" t="s">
        <v>1218</v>
      </c>
      <c r="D99" s="334"/>
      <c r="E99" s="334"/>
      <c r="F99" s="334"/>
      <c r="G99" s="334"/>
      <c r="H99" s="334"/>
      <c r="I99" s="334"/>
      <c r="J99" s="334"/>
    </row>
    <row r="100" spans="1:10" ht="12.75">
      <c r="A100" s="888"/>
      <c r="B100" s="904" t="s">
        <v>612</v>
      </c>
      <c r="C100" s="334" t="s">
        <v>1220</v>
      </c>
      <c r="E100" s="334"/>
      <c r="F100" s="334"/>
      <c r="G100" s="334"/>
      <c r="H100" s="334"/>
      <c r="I100" s="334"/>
      <c r="J100" s="334"/>
    </row>
    <row r="101" spans="1:10" ht="12.75">
      <c r="A101" s="888"/>
      <c r="B101" s="904" t="s">
        <v>613</v>
      </c>
      <c r="C101" s="334" t="s">
        <v>1224</v>
      </c>
      <c r="D101" s="334"/>
      <c r="E101" s="334"/>
      <c r="F101" s="334"/>
      <c r="G101" s="334"/>
      <c r="H101" s="334"/>
      <c r="I101" s="334"/>
      <c r="J101" s="334"/>
    </row>
    <row r="102" spans="1:10" ht="12.75">
      <c r="A102" s="888"/>
      <c r="B102" s="904" t="s">
        <v>614</v>
      </c>
      <c r="C102" s="334" t="s">
        <v>1219</v>
      </c>
      <c r="D102" s="334"/>
      <c r="E102" s="334"/>
      <c r="F102" s="334"/>
      <c r="G102" s="334"/>
      <c r="H102" s="334"/>
      <c r="I102" s="334"/>
      <c r="J102" s="334"/>
    </row>
    <row r="103" spans="1:10" ht="12.75">
      <c r="A103" s="888"/>
      <c r="B103" s="334"/>
      <c r="C103" s="334"/>
      <c r="D103" s="334"/>
      <c r="E103" s="334"/>
      <c r="F103" s="334"/>
      <c r="G103" s="334"/>
      <c r="H103" s="334"/>
      <c r="I103" s="334"/>
      <c r="J103" s="334"/>
    </row>
    <row r="104" spans="1:11" ht="12.75">
      <c r="A104" s="888">
        <v>8</v>
      </c>
      <c r="B104" s="928" t="s">
        <v>1209</v>
      </c>
      <c r="G104" s="962" t="s">
        <v>603</v>
      </c>
      <c r="H104" s="962"/>
      <c r="I104" s="962"/>
      <c r="J104" s="962"/>
      <c r="K104" s="371"/>
    </row>
    <row r="105" spans="1:11" ht="12.75">
      <c r="A105" s="888"/>
      <c r="B105" s="961" t="s">
        <v>1226</v>
      </c>
      <c r="C105" s="961"/>
      <c r="D105" s="961"/>
      <c r="E105" s="961"/>
      <c r="F105" s="961"/>
      <c r="G105" s="961"/>
      <c r="H105" s="961"/>
      <c r="I105" s="961"/>
      <c r="J105" s="961"/>
      <c r="K105" s="371"/>
    </row>
    <row r="106" spans="1:11" ht="12.75">
      <c r="A106" s="888"/>
      <c r="B106" s="961"/>
      <c r="C106" s="961"/>
      <c r="D106" s="961"/>
      <c r="E106" s="961"/>
      <c r="F106" s="961"/>
      <c r="G106" s="961"/>
      <c r="H106" s="961"/>
      <c r="I106" s="961"/>
      <c r="J106" s="961"/>
      <c r="K106" s="371"/>
    </row>
    <row r="107" spans="1:10" ht="12.75">
      <c r="A107" s="888"/>
      <c r="B107" s="963" t="s">
        <v>609</v>
      </c>
      <c r="C107" s="959" t="s">
        <v>1222</v>
      </c>
      <c r="D107" s="959"/>
      <c r="E107" s="959"/>
      <c r="F107" s="959"/>
      <c r="G107" s="959"/>
      <c r="H107" s="959"/>
      <c r="I107" s="959"/>
      <c r="J107" s="959"/>
    </row>
    <row r="108" spans="1:10" ht="12.75">
      <c r="A108" s="888"/>
      <c r="B108" s="963"/>
      <c r="C108" s="959"/>
      <c r="D108" s="959"/>
      <c r="E108" s="959"/>
      <c r="F108" s="959"/>
      <c r="G108" s="959"/>
      <c r="H108" s="959"/>
      <c r="I108" s="959"/>
      <c r="J108" s="959"/>
    </row>
    <row r="109" spans="1:10" ht="12.75">
      <c r="A109" s="888"/>
      <c r="B109" s="963"/>
      <c r="C109" s="959"/>
      <c r="D109" s="959"/>
      <c r="E109" s="959"/>
      <c r="F109" s="959"/>
      <c r="G109" s="959"/>
      <c r="H109" s="959"/>
      <c r="I109" s="959"/>
      <c r="J109" s="959"/>
    </row>
    <row r="110" spans="1:3" ht="12.75">
      <c r="A110" s="888"/>
      <c r="B110" s="904" t="s">
        <v>610</v>
      </c>
      <c r="C110" t="s">
        <v>1234</v>
      </c>
    </row>
    <row r="111" spans="1:3" ht="12.75">
      <c r="A111" s="888"/>
      <c r="B111" s="904" t="s">
        <v>611</v>
      </c>
      <c r="C111" t="s">
        <v>1210</v>
      </c>
    </row>
    <row r="112" spans="1:3" ht="12.75">
      <c r="A112" s="888"/>
      <c r="B112" s="904" t="s">
        <v>612</v>
      </c>
      <c r="C112" t="s">
        <v>1223</v>
      </c>
    </row>
    <row r="113" spans="1:10" ht="12.75">
      <c r="A113" s="888"/>
      <c r="B113" s="959" t="s">
        <v>1225</v>
      </c>
      <c r="C113" s="959"/>
      <c r="D113" s="959"/>
      <c r="E113" s="959"/>
      <c r="F113" s="959"/>
      <c r="G113" s="959"/>
      <c r="H113" s="959"/>
      <c r="I113" s="959"/>
      <c r="J113" s="959"/>
    </row>
    <row r="114" spans="1:10" ht="12.75">
      <c r="A114" s="888"/>
      <c r="B114" s="959"/>
      <c r="C114" s="959"/>
      <c r="D114" s="959"/>
      <c r="E114" s="959"/>
      <c r="F114" s="959"/>
      <c r="G114" s="959"/>
      <c r="H114" s="959"/>
      <c r="I114" s="959"/>
      <c r="J114" s="959"/>
    </row>
    <row r="115" spans="1:3" ht="12.75">
      <c r="A115" s="888"/>
      <c r="B115" s="904" t="s">
        <v>613</v>
      </c>
      <c r="C115" t="s">
        <v>874</v>
      </c>
    </row>
    <row r="116" spans="1:3" ht="12.75">
      <c r="A116" s="888"/>
      <c r="B116" s="904" t="s">
        <v>614</v>
      </c>
      <c r="C116" t="s">
        <v>1214</v>
      </c>
    </row>
    <row r="117" spans="1:3" ht="12.75">
      <c r="A117" s="888"/>
      <c r="B117" s="904" t="s">
        <v>615</v>
      </c>
      <c r="C117" t="s">
        <v>1215</v>
      </c>
    </row>
    <row r="118" spans="1:3" ht="12.75">
      <c r="A118" s="888"/>
      <c r="B118" s="904" t="s">
        <v>616</v>
      </c>
      <c r="C118" t="s">
        <v>877</v>
      </c>
    </row>
    <row r="119" spans="1:11" ht="12.75">
      <c r="A119" s="888"/>
      <c r="B119" t="s">
        <v>1213</v>
      </c>
      <c r="K119" s="893"/>
    </row>
    <row r="120" spans="1:11" ht="12.75">
      <c r="A120" s="888"/>
      <c r="K120" s="893"/>
    </row>
    <row r="121" spans="1:10" ht="12.75">
      <c r="A121" s="888">
        <v>9</v>
      </c>
      <c r="B121" s="928" t="s">
        <v>1211</v>
      </c>
      <c r="G121" s="962" t="s">
        <v>602</v>
      </c>
      <c r="H121" s="962"/>
      <c r="I121" s="962"/>
      <c r="J121" s="962"/>
    </row>
    <row r="122" spans="1:10" ht="12.75">
      <c r="A122" s="888"/>
      <c r="B122" s="961" t="s">
        <v>1226</v>
      </c>
      <c r="C122" s="961"/>
      <c r="D122" s="961"/>
      <c r="E122" s="961"/>
      <c r="F122" s="961"/>
      <c r="G122" s="961"/>
      <c r="H122" s="961"/>
      <c r="I122" s="961"/>
      <c r="J122" s="961"/>
    </row>
    <row r="123" spans="1:10" ht="12.75">
      <c r="A123" s="888"/>
      <c r="B123" s="961"/>
      <c r="C123" s="961"/>
      <c r="D123" s="961"/>
      <c r="E123" s="961"/>
      <c r="F123" s="961"/>
      <c r="G123" s="961"/>
      <c r="H123" s="961"/>
      <c r="I123" s="961"/>
      <c r="J123" s="961"/>
    </row>
    <row r="124" spans="1:3" ht="12.75">
      <c r="A124" s="888"/>
      <c r="B124" s="904" t="s">
        <v>609</v>
      </c>
      <c r="C124" t="s">
        <v>1227</v>
      </c>
    </row>
    <row r="125" spans="1:3" ht="12.75">
      <c r="A125" s="888"/>
      <c r="B125" s="963" t="s">
        <v>610</v>
      </c>
      <c r="C125" t="s">
        <v>1228</v>
      </c>
    </row>
    <row r="126" spans="1:4" ht="12.75">
      <c r="A126" s="888"/>
      <c r="B126" s="963"/>
      <c r="D126" t="s">
        <v>1229</v>
      </c>
    </row>
    <row r="127" spans="1:3" ht="12.75">
      <c r="A127" s="888"/>
      <c r="B127" s="904" t="s">
        <v>611</v>
      </c>
      <c r="C127" t="s">
        <v>1231</v>
      </c>
    </row>
    <row r="128" spans="1:3" ht="12.75">
      <c r="A128" s="888"/>
      <c r="B128" s="904" t="s">
        <v>612</v>
      </c>
      <c r="C128" t="s">
        <v>1212</v>
      </c>
    </row>
    <row r="129" spans="1:3" ht="12.75">
      <c r="A129" s="888"/>
      <c r="B129" s="904" t="s">
        <v>613</v>
      </c>
      <c r="C129" t="s">
        <v>1230</v>
      </c>
    </row>
    <row r="130" ht="12.75">
      <c r="A130" s="888"/>
    </row>
    <row r="131" spans="1:2" ht="12.75">
      <c r="A131" s="888"/>
      <c r="B131" s="894" t="s">
        <v>887</v>
      </c>
    </row>
    <row r="132" ht="12.75">
      <c r="A132" s="888"/>
    </row>
    <row r="133" spans="1:10" ht="12.75">
      <c r="A133" s="888">
        <v>10</v>
      </c>
      <c r="B133" s="928" t="s">
        <v>154</v>
      </c>
      <c r="F133" s="962" t="s">
        <v>598</v>
      </c>
      <c r="G133" s="962"/>
      <c r="H133" s="962"/>
      <c r="I133" s="962"/>
      <c r="J133" s="962"/>
    </row>
    <row r="135" spans="1:10" ht="12.75">
      <c r="A135" s="959" t="s">
        <v>888</v>
      </c>
      <c r="B135" s="959"/>
      <c r="C135" s="959"/>
      <c r="D135" s="959"/>
      <c r="E135" s="959"/>
      <c r="F135" s="959"/>
      <c r="G135" s="959"/>
      <c r="H135" s="959"/>
      <c r="I135" s="959"/>
      <c r="J135" s="959"/>
    </row>
    <row r="136" spans="1:10" ht="12.75">
      <c r="A136" s="959"/>
      <c r="B136" s="959"/>
      <c r="C136" s="959"/>
      <c r="D136" s="959"/>
      <c r="E136" s="959"/>
      <c r="F136" s="959"/>
      <c r="G136" s="959"/>
      <c r="H136" s="959"/>
      <c r="I136" s="959"/>
      <c r="J136" s="959"/>
    </row>
    <row r="137" spans="1:10" ht="12.75">
      <c r="A137" s="959"/>
      <c r="B137" s="959"/>
      <c r="C137" s="959"/>
      <c r="D137" s="959"/>
      <c r="E137" s="959"/>
      <c r="F137" s="959"/>
      <c r="G137" s="959"/>
      <c r="H137" s="959"/>
      <c r="I137" s="959"/>
      <c r="J137" s="959"/>
    </row>
    <row r="138" spans="1:10" ht="12.75">
      <c r="A138" s="959"/>
      <c r="B138" s="959"/>
      <c r="C138" s="959"/>
      <c r="D138" s="959"/>
      <c r="E138" s="959"/>
      <c r="F138" s="959"/>
      <c r="G138" s="959"/>
      <c r="H138" s="959"/>
      <c r="I138" s="959"/>
      <c r="J138" s="959"/>
    </row>
    <row r="139" spans="1:10" ht="12.75">
      <c r="A139" s="371"/>
      <c r="B139" s="371"/>
      <c r="C139" s="371"/>
      <c r="D139" s="371"/>
      <c r="E139" s="371"/>
      <c r="F139" s="371"/>
      <c r="G139" s="371"/>
      <c r="H139" s="371"/>
      <c r="I139" s="371"/>
      <c r="J139" s="371"/>
    </row>
    <row r="140" spans="1:10" ht="12.75">
      <c r="A140" s="959" t="s">
        <v>898</v>
      </c>
      <c r="B140" s="959"/>
      <c r="C140" s="959"/>
      <c r="D140" s="959"/>
      <c r="E140" s="959"/>
      <c r="F140" s="959"/>
      <c r="G140" s="959"/>
      <c r="H140" s="959"/>
      <c r="I140" s="959"/>
      <c r="J140" s="959"/>
    </row>
    <row r="141" spans="1:10" ht="12.75">
      <c r="A141" s="959"/>
      <c r="B141" s="959"/>
      <c r="C141" s="959"/>
      <c r="D141" s="959"/>
      <c r="E141" s="959"/>
      <c r="F141" s="959"/>
      <c r="G141" s="959"/>
      <c r="H141" s="959"/>
      <c r="I141" s="959"/>
      <c r="J141" s="959"/>
    </row>
    <row r="142" spans="1:10" ht="12.75">
      <c r="A142" s="959"/>
      <c r="B142" s="959"/>
      <c r="C142" s="959"/>
      <c r="D142" s="959"/>
      <c r="E142" s="959"/>
      <c r="F142" s="959"/>
      <c r="G142" s="959"/>
      <c r="H142" s="959"/>
      <c r="I142" s="959"/>
      <c r="J142" s="959"/>
    </row>
    <row r="143" spans="1:8" ht="12.75">
      <c r="A143" s="888" t="s">
        <v>313</v>
      </c>
      <c r="H143" s="899" t="s">
        <v>604</v>
      </c>
    </row>
    <row r="144" spans="2:10" ht="12.75">
      <c r="B144" s="961" t="s">
        <v>620</v>
      </c>
      <c r="C144" s="961"/>
      <c r="D144" s="961"/>
      <c r="E144" s="961"/>
      <c r="F144" s="961"/>
      <c r="G144" s="961"/>
      <c r="H144" s="961"/>
      <c r="I144" s="961"/>
      <c r="J144" s="961"/>
    </row>
    <row r="145" spans="2:10" ht="12.75">
      <c r="B145" s="961"/>
      <c r="C145" s="961"/>
      <c r="D145" s="961"/>
      <c r="E145" s="961"/>
      <c r="F145" s="961"/>
      <c r="G145" s="961"/>
      <c r="H145" s="961"/>
      <c r="I145" s="961"/>
      <c r="J145" s="961"/>
    </row>
    <row r="146" spans="2:10" ht="12.75">
      <c r="B146" s="961"/>
      <c r="C146" s="961"/>
      <c r="D146" s="961"/>
      <c r="E146" s="961"/>
      <c r="F146" s="961"/>
      <c r="G146" s="961"/>
      <c r="H146" s="961"/>
      <c r="I146" s="961"/>
      <c r="J146" s="961"/>
    </row>
    <row r="147" spans="2:10" ht="2.25" customHeight="1">
      <c r="B147" s="961"/>
      <c r="C147" s="961"/>
      <c r="D147" s="961"/>
      <c r="E147" s="961"/>
      <c r="F147" s="961"/>
      <c r="G147" s="961"/>
      <c r="H147" s="961"/>
      <c r="I147" s="961"/>
      <c r="J147" s="961"/>
    </row>
    <row r="148" spans="2:10" ht="12.75" customHeight="1">
      <c r="B148" s="959" t="s">
        <v>621</v>
      </c>
      <c r="C148" s="959"/>
      <c r="D148" s="959"/>
      <c r="E148" s="959"/>
      <c r="F148" s="959"/>
      <c r="G148" s="959"/>
      <c r="H148" s="959"/>
      <c r="I148" s="959"/>
      <c r="J148" s="959"/>
    </row>
    <row r="149" spans="2:10" ht="12.75">
      <c r="B149" s="959"/>
      <c r="C149" s="959"/>
      <c r="D149" s="959"/>
      <c r="E149" s="959"/>
      <c r="F149" s="959"/>
      <c r="G149" s="959"/>
      <c r="H149" s="959"/>
      <c r="I149" s="959"/>
      <c r="J149" s="959"/>
    </row>
    <row r="150" spans="2:10" ht="6" customHeight="1">
      <c r="B150" s="371"/>
      <c r="C150" s="371"/>
      <c r="D150" s="371"/>
      <c r="E150" s="371"/>
      <c r="F150" s="371"/>
      <c r="G150" s="371"/>
      <c r="H150" s="371"/>
      <c r="I150" s="371"/>
      <c r="J150" s="371"/>
    </row>
    <row r="151" spans="2:10" ht="12.75">
      <c r="B151" s="371"/>
      <c r="C151" s="371"/>
      <c r="D151" t="s">
        <v>1052</v>
      </c>
      <c r="E151" s="371"/>
      <c r="F151" s="371"/>
      <c r="G151" s="371"/>
      <c r="H151" s="371"/>
      <c r="I151" s="371"/>
      <c r="J151" s="371"/>
    </row>
    <row r="152" spans="2:10" ht="12.75">
      <c r="B152" s="371"/>
      <c r="C152" s="371"/>
      <c r="D152" t="s">
        <v>1447</v>
      </c>
      <c r="E152" s="371"/>
      <c r="F152" s="371"/>
      <c r="G152" s="371"/>
      <c r="H152" s="371"/>
      <c r="I152" s="371"/>
      <c r="J152" s="371"/>
    </row>
    <row r="153" spans="2:10" ht="12.75">
      <c r="B153" s="371"/>
      <c r="C153" s="371"/>
      <c r="D153" t="s">
        <v>1443</v>
      </c>
      <c r="E153" s="371"/>
      <c r="F153" s="371"/>
      <c r="G153" s="371"/>
      <c r="H153" s="371"/>
      <c r="I153" s="371"/>
      <c r="J153" s="371"/>
    </row>
    <row r="154" spans="2:10" ht="6" customHeight="1">
      <c r="B154" s="371"/>
      <c r="C154" s="371"/>
      <c r="D154" s="371"/>
      <c r="E154" s="371"/>
      <c r="F154" s="371"/>
      <c r="G154" s="371"/>
      <c r="H154" s="371"/>
      <c r="I154" s="371"/>
      <c r="J154" s="371"/>
    </row>
    <row r="155" spans="2:10" ht="12.75">
      <c r="B155" s="959" t="s">
        <v>1236</v>
      </c>
      <c r="C155" s="960"/>
      <c r="D155" s="960"/>
      <c r="E155" s="960"/>
      <c r="F155" s="960"/>
      <c r="G155" s="960"/>
      <c r="H155" s="960"/>
      <c r="I155" s="960"/>
      <c r="J155" s="960"/>
    </row>
    <row r="156" spans="2:10" ht="12.75">
      <c r="B156" s="960"/>
      <c r="C156" s="960"/>
      <c r="D156" s="960"/>
      <c r="E156" s="960"/>
      <c r="F156" s="960"/>
      <c r="G156" s="960"/>
      <c r="H156" s="960"/>
      <c r="I156" s="960"/>
      <c r="J156" s="960"/>
    </row>
    <row r="157" spans="2:10" ht="12.75">
      <c r="B157" s="960"/>
      <c r="C157" s="960"/>
      <c r="D157" s="960"/>
      <c r="E157" s="960"/>
      <c r="F157" s="960"/>
      <c r="G157" s="960"/>
      <c r="H157" s="960"/>
      <c r="I157" s="960"/>
      <c r="J157" s="960"/>
    </row>
    <row r="158" spans="2:10" ht="6" customHeight="1">
      <c r="B158" s="889"/>
      <c r="C158" s="889"/>
      <c r="D158" s="889"/>
      <c r="E158" s="889"/>
      <c r="F158" s="889"/>
      <c r="G158" s="889"/>
      <c r="H158" s="889"/>
      <c r="I158" s="889"/>
      <c r="J158" s="889"/>
    </row>
    <row r="159" spans="2:10" ht="12.75">
      <c r="B159" s="889"/>
      <c r="C159" s="889"/>
      <c r="D159" t="s">
        <v>1453</v>
      </c>
      <c r="E159" s="889"/>
      <c r="F159" s="889"/>
      <c r="G159" s="889"/>
      <c r="H159" s="889"/>
      <c r="I159" s="889"/>
      <c r="J159" s="889"/>
    </row>
    <row r="160" spans="2:10" ht="12.75">
      <c r="B160" s="889"/>
      <c r="C160" s="889"/>
      <c r="D160" t="s">
        <v>1450</v>
      </c>
      <c r="E160" s="889"/>
      <c r="F160" s="889"/>
      <c r="G160" s="889"/>
      <c r="H160" s="889"/>
      <c r="I160" s="889"/>
      <c r="J160" s="889"/>
    </row>
    <row r="161" spans="2:10" ht="12.75">
      <c r="B161" s="889"/>
      <c r="C161" s="889"/>
      <c r="D161" t="s">
        <v>1452</v>
      </c>
      <c r="E161" s="889"/>
      <c r="F161" s="889"/>
      <c r="G161" s="889"/>
      <c r="H161" s="889"/>
      <c r="I161" s="889"/>
      <c r="J161" s="889"/>
    </row>
    <row r="162" spans="2:10" ht="12.75">
      <c r="B162" s="889"/>
      <c r="C162" s="889"/>
      <c r="D162" t="s">
        <v>1451</v>
      </c>
      <c r="E162" s="889"/>
      <c r="F162" s="889"/>
      <c r="G162" s="889"/>
      <c r="H162" s="889"/>
      <c r="I162" s="889"/>
      <c r="J162" s="889"/>
    </row>
    <row r="163" spans="2:10" ht="12.75">
      <c r="B163" s="889"/>
      <c r="C163" s="889"/>
      <c r="D163" t="s">
        <v>1445</v>
      </c>
      <c r="E163" s="889"/>
      <c r="F163" s="889"/>
      <c r="G163" s="889"/>
      <c r="H163" s="889"/>
      <c r="I163" s="889"/>
      <c r="J163" s="889"/>
    </row>
    <row r="164" spans="2:10" ht="12.75">
      <c r="B164" s="889"/>
      <c r="C164" s="889"/>
      <c r="D164" t="s">
        <v>1454</v>
      </c>
      <c r="E164" s="889"/>
      <c r="F164" s="889"/>
      <c r="G164" s="889"/>
      <c r="H164" s="889"/>
      <c r="I164" s="889"/>
      <c r="J164" s="889"/>
    </row>
    <row r="165" spans="2:10" ht="12.75">
      <c r="B165" s="889"/>
      <c r="C165" s="889"/>
      <c r="D165" t="s">
        <v>1457</v>
      </c>
      <c r="E165" s="889"/>
      <c r="F165" s="889"/>
      <c r="G165" s="889"/>
      <c r="H165" s="889"/>
      <c r="I165" s="889"/>
      <c r="J165" s="889"/>
    </row>
    <row r="166" spans="2:10" ht="12.75">
      <c r="B166" s="889"/>
      <c r="C166" s="889"/>
      <c r="D166" t="s">
        <v>1455</v>
      </c>
      <c r="E166" s="889"/>
      <c r="F166" s="889"/>
      <c r="G166" s="889"/>
      <c r="H166" s="889"/>
      <c r="I166" s="889"/>
      <c r="J166" s="889"/>
    </row>
    <row r="167" spans="2:10" ht="12.75">
      <c r="B167" s="889"/>
      <c r="C167" s="889"/>
      <c r="D167" t="s">
        <v>1456</v>
      </c>
      <c r="E167" s="889"/>
      <c r="F167" s="889"/>
      <c r="G167" s="889"/>
      <c r="H167" s="889"/>
      <c r="I167" s="889"/>
      <c r="J167" s="889"/>
    </row>
    <row r="168" spans="2:10" ht="12.75">
      <c r="B168" s="889"/>
      <c r="C168" s="889"/>
      <c r="D168" t="s">
        <v>282</v>
      </c>
      <c r="E168" s="889"/>
      <c r="F168" s="889"/>
      <c r="G168" s="889"/>
      <c r="H168" s="889"/>
      <c r="I168" s="889"/>
      <c r="J168" s="889"/>
    </row>
    <row r="169" spans="2:10" ht="12.75">
      <c r="B169" s="889"/>
      <c r="C169" s="889"/>
      <c r="D169" t="s">
        <v>283</v>
      </c>
      <c r="E169" s="889"/>
      <c r="F169" s="889"/>
      <c r="G169" s="889"/>
      <c r="H169" s="889"/>
      <c r="I169" s="889"/>
      <c r="J169" s="889"/>
    </row>
    <row r="170" spans="2:10" ht="12.75">
      <c r="B170" s="889"/>
      <c r="C170" s="889"/>
      <c r="D170" t="s">
        <v>284</v>
      </c>
      <c r="E170" s="889"/>
      <c r="F170" s="889"/>
      <c r="G170" s="889"/>
      <c r="H170" s="889"/>
      <c r="I170" s="889"/>
      <c r="J170" s="889"/>
    </row>
    <row r="171" spans="2:10" ht="12.75">
      <c r="B171" s="889"/>
      <c r="C171" s="889"/>
      <c r="D171" t="s">
        <v>285</v>
      </c>
      <c r="E171" s="889"/>
      <c r="F171" s="889"/>
      <c r="G171" s="889"/>
      <c r="H171" s="889"/>
      <c r="I171" s="889"/>
      <c r="J171" s="889"/>
    </row>
    <row r="172" spans="2:10" ht="12.75">
      <c r="B172" s="889"/>
      <c r="C172" s="889"/>
      <c r="D172" t="s">
        <v>1448</v>
      </c>
      <c r="E172" s="889"/>
      <c r="F172" s="889"/>
      <c r="G172" s="889"/>
      <c r="H172" s="889"/>
      <c r="I172" s="889"/>
      <c r="J172" s="889"/>
    </row>
    <row r="173" spans="2:10" ht="12.75">
      <c r="B173" s="889"/>
      <c r="C173" s="889"/>
      <c r="E173" s="889"/>
      <c r="F173" s="889"/>
      <c r="G173" s="889"/>
      <c r="H173" s="889"/>
      <c r="I173" s="889"/>
      <c r="J173" s="889"/>
    </row>
    <row r="174" spans="2:10" ht="12.75">
      <c r="B174" s="889"/>
      <c r="C174" s="889"/>
      <c r="E174" s="889"/>
      <c r="F174" s="889"/>
      <c r="G174" s="889"/>
      <c r="H174" s="889"/>
      <c r="I174" s="889"/>
      <c r="J174" s="889"/>
    </row>
    <row r="175" spans="1:8" ht="12.75">
      <c r="A175" s="888" t="s">
        <v>1237</v>
      </c>
      <c r="H175" s="899" t="s">
        <v>604</v>
      </c>
    </row>
    <row r="176" spans="2:10" ht="12.75">
      <c r="B176" s="961" t="s">
        <v>619</v>
      </c>
      <c r="C176" s="961"/>
      <c r="D176" s="961"/>
      <c r="E176" s="961"/>
      <c r="F176" s="961"/>
      <c r="G176" s="961"/>
      <c r="H176" s="961"/>
      <c r="I176" s="961"/>
      <c r="J176" s="961"/>
    </row>
    <row r="177" spans="2:10" ht="12.75">
      <c r="B177" s="961"/>
      <c r="C177" s="961"/>
      <c r="D177" s="961"/>
      <c r="E177" s="961"/>
      <c r="F177" s="961"/>
      <c r="G177" s="961"/>
      <c r="H177" s="961"/>
      <c r="I177" s="961"/>
      <c r="J177" s="961"/>
    </row>
    <row r="178" spans="2:10" ht="12.75" customHeight="1">
      <c r="B178" s="961"/>
      <c r="C178" s="961"/>
      <c r="D178" s="961"/>
      <c r="E178" s="961"/>
      <c r="F178" s="961"/>
      <c r="G178" s="961"/>
      <c r="H178" s="961"/>
      <c r="I178" s="961"/>
      <c r="J178" s="961"/>
    </row>
    <row r="179" spans="2:10" ht="6" customHeight="1">
      <c r="B179" s="891"/>
      <c r="C179" s="891"/>
      <c r="D179" s="891"/>
      <c r="E179" s="891"/>
      <c r="F179" s="891"/>
      <c r="G179" s="891"/>
      <c r="H179" s="891"/>
      <c r="I179" s="891"/>
      <c r="J179" s="891"/>
    </row>
    <row r="180" spans="2:10" ht="12.75">
      <c r="B180" s="371"/>
      <c r="C180" s="371"/>
      <c r="D180" t="s">
        <v>1453</v>
      </c>
      <c r="E180" s="371"/>
      <c r="F180" s="371"/>
      <c r="G180" s="371"/>
      <c r="H180" s="371"/>
      <c r="I180" s="371"/>
      <c r="J180" s="371"/>
    </row>
    <row r="181" spans="2:10" ht="12.75">
      <c r="B181" s="371"/>
      <c r="C181" s="371"/>
      <c r="D181" t="s">
        <v>1450</v>
      </c>
      <c r="E181" s="371"/>
      <c r="F181" s="371"/>
      <c r="G181" s="371"/>
      <c r="H181" s="371"/>
      <c r="I181" s="371"/>
      <c r="J181" s="371"/>
    </row>
    <row r="182" spans="2:10" ht="12.75">
      <c r="B182" s="371"/>
      <c r="C182" s="371"/>
      <c r="D182" t="s">
        <v>1452</v>
      </c>
      <c r="E182" s="371"/>
      <c r="F182" s="371"/>
      <c r="G182" s="371"/>
      <c r="H182" s="371"/>
      <c r="I182" s="371"/>
      <c r="J182" s="371"/>
    </row>
    <row r="183" spans="2:10" ht="12.75">
      <c r="B183" s="371"/>
      <c r="C183" s="371"/>
      <c r="D183" t="s">
        <v>1451</v>
      </c>
      <c r="E183" s="371"/>
      <c r="F183" s="371"/>
      <c r="G183" s="371"/>
      <c r="H183" s="371"/>
      <c r="I183" s="371"/>
      <c r="J183" s="371"/>
    </row>
    <row r="184" spans="2:10" ht="12.75">
      <c r="B184" s="371"/>
      <c r="C184" s="371"/>
      <c r="D184" t="s">
        <v>1454</v>
      </c>
      <c r="E184" s="371"/>
      <c r="F184" s="371"/>
      <c r="G184" s="371"/>
      <c r="H184" s="371"/>
      <c r="I184" s="371"/>
      <c r="J184" s="371"/>
    </row>
    <row r="185" spans="2:10" ht="12.75">
      <c r="B185" s="371"/>
      <c r="C185" s="371"/>
      <c r="D185" t="s">
        <v>282</v>
      </c>
      <c r="E185" s="371"/>
      <c r="F185" s="371"/>
      <c r="G185" s="371"/>
      <c r="H185" s="371"/>
      <c r="I185" s="371"/>
      <c r="J185" s="371"/>
    </row>
    <row r="186" spans="2:10" ht="12.75">
      <c r="B186" s="371"/>
      <c r="C186" s="371"/>
      <c r="D186" t="s">
        <v>283</v>
      </c>
      <c r="E186" s="371"/>
      <c r="F186" s="371"/>
      <c r="G186" s="371"/>
      <c r="H186" s="371"/>
      <c r="I186" s="371"/>
      <c r="J186" s="371"/>
    </row>
    <row r="187" spans="2:10" ht="12.75">
      <c r="B187" s="371"/>
      <c r="C187" s="371"/>
      <c r="D187" t="s">
        <v>284</v>
      </c>
      <c r="E187" s="371"/>
      <c r="F187" s="371"/>
      <c r="G187" s="371"/>
      <c r="H187" s="371"/>
      <c r="I187" s="371"/>
      <c r="J187" s="371"/>
    </row>
    <row r="188" spans="2:10" ht="12.75">
      <c r="B188" s="371"/>
      <c r="C188" s="371"/>
      <c r="D188" t="s">
        <v>285</v>
      </c>
      <c r="E188" s="371"/>
      <c r="F188" s="371"/>
      <c r="G188" s="371"/>
      <c r="H188" s="371"/>
      <c r="I188" s="371"/>
      <c r="J188" s="371"/>
    </row>
    <row r="189" spans="2:10" ht="12.75">
      <c r="B189" s="371"/>
      <c r="C189" s="371"/>
      <c r="D189" t="s">
        <v>1448</v>
      </c>
      <c r="E189" s="371"/>
      <c r="F189" s="371"/>
      <c r="G189" s="371"/>
      <c r="H189" s="371"/>
      <c r="I189" s="371"/>
      <c r="J189" s="371"/>
    </row>
    <row r="190" spans="2:10" ht="12.75">
      <c r="B190" s="5"/>
      <c r="C190" s="896"/>
      <c r="D190" s="896"/>
      <c r="E190" s="896"/>
      <c r="F190" s="896"/>
      <c r="G190" s="896"/>
      <c r="H190" s="896"/>
      <c r="I190" s="896"/>
      <c r="J190" s="896"/>
    </row>
    <row r="191" spans="1:8" ht="12.75">
      <c r="A191" s="888" t="s">
        <v>286</v>
      </c>
      <c r="H191" s="899" t="s">
        <v>604</v>
      </c>
    </row>
    <row r="192" spans="3:10" ht="12.75">
      <c r="C192" s="959" t="s">
        <v>1238</v>
      </c>
      <c r="D192" s="959"/>
      <c r="E192" s="959"/>
      <c r="F192" s="959"/>
      <c r="G192" s="959"/>
      <c r="H192" s="959"/>
      <c r="I192" s="959"/>
      <c r="J192" s="959"/>
    </row>
    <row r="193" spans="3:10" ht="12.75">
      <c r="C193" s="959"/>
      <c r="D193" s="959"/>
      <c r="E193" s="959"/>
      <c r="F193" s="959"/>
      <c r="G193" s="959"/>
      <c r="H193" s="959"/>
      <c r="I193" s="959"/>
      <c r="J193" s="959"/>
    </row>
    <row r="194" spans="3:4" ht="12.75">
      <c r="C194" s="904" t="s">
        <v>617</v>
      </c>
      <c r="D194" t="s">
        <v>868</v>
      </c>
    </row>
    <row r="195" spans="3:4" ht="12.75">
      <c r="C195" s="904" t="s">
        <v>617</v>
      </c>
      <c r="D195" t="s">
        <v>183</v>
      </c>
    </row>
    <row r="196" spans="3:4" ht="12.75">
      <c r="C196" s="904" t="s">
        <v>617</v>
      </c>
      <c r="D196" t="s">
        <v>184</v>
      </c>
    </row>
    <row r="197" spans="3:4" ht="12.75">
      <c r="C197" s="904" t="s">
        <v>617</v>
      </c>
      <c r="D197" t="s">
        <v>605</v>
      </c>
    </row>
    <row r="198" ht="12.75">
      <c r="C198" t="s">
        <v>1239</v>
      </c>
    </row>
    <row r="200" spans="3:10" ht="12.75">
      <c r="C200" t="s">
        <v>1240</v>
      </c>
      <c r="D200" s="959" t="s">
        <v>1244</v>
      </c>
      <c r="E200" s="959"/>
      <c r="F200" s="959"/>
      <c r="G200" s="959"/>
      <c r="H200" s="959"/>
      <c r="I200" s="959"/>
      <c r="J200" s="959"/>
    </row>
    <row r="201" spans="4:10" ht="12.75">
      <c r="D201" s="959"/>
      <c r="E201" s="959"/>
      <c r="F201" s="959"/>
      <c r="G201" s="959"/>
      <c r="H201" s="959"/>
      <c r="I201" s="959"/>
      <c r="J201" s="959"/>
    </row>
    <row r="203" ht="12.75" customHeight="1">
      <c r="E203" t="s">
        <v>1241</v>
      </c>
    </row>
    <row r="205" spans="1:8" ht="12.75">
      <c r="A205" s="895" t="s">
        <v>290</v>
      </c>
      <c r="H205" s="899" t="s">
        <v>604</v>
      </c>
    </row>
    <row r="206" spans="2:10" ht="12.75">
      <c r="B206" s="959" t="s">
        <v>1242</v>
      </c>
      <c r="C206" s="960"/>
      <c r="D206" s="960"/>
      <c r="E206" s="960"/>
      <c r="F206" s="960"/>
      <c r="G206" s="960"/>
      <c r="H206" s="960"/>
      <c r="I206" s="960"/>
      <c r="J206" s="960"/>
    </row>
    <row r="207" spans="2:10" ht="12.75">
      <c r="B207" s="960"/>
      <c r="C207" s="960"/>
      <c r="D207" s="960"/>
      <c r="E207" s="960"/>
      <c r="F207" s="960"/>
      <c r="G207" s="960"/>
      <c r="H207" s="960"/>
      <c r="I207" s="960"/>
      <c r="J207" s="960"/>
    </row>
    <row r="208" spans="2:10" ht="12.75" customHeight="1">
      <c r="B208" s="960"/>
      <c r="C208" s="960"/>
      <c r="D208" s="960"/>
      <c r="E208" s="960"/>
      <c r="F208" s="960"/>
      <c r="G208" s="960"/>
      <c r="H208" s="960"/>
      <c r="I208" s="960"/>
      <c r="J208" s="960"/>
    </row>
    <row r="209" spans="3:10" ht="12.75">
      <c r="C209" s="371"/>
      <c r="D209" s="371"/>
      <c r="E209" s="371"/>
      <c r="F209" s="371"/>
      <c r="G209" s="371"/>
      <c r="H209" s="371"/>
      <c r="I209" s="371"/>
      <c r="J209" s="371"/>
    </row>
    <row r="210" spans="1:8" ht="12.75">
      <c r="A210" s="895" t="s">
        <v>291</v>
      </c>
      <c r="H210" s="899" t="s">
        <v>604</v>
      </c>
    </row>
    <row r="211" spans="2:10" ht="12.75">
      <c r="B211" s="959" t="s">
        <v>1243</v>
      </c>
      <c r="C211" s="960"/>
      <c r="D211" s="960"/>
      <c r="E211" s="960"/>
      <c r="F211" s="960"/>
      <c r="G211" s="960"/>
      <c r="H211" s="960"/>
      <c r="I211" s="960"/>
      <c r="J211" s="960"/>
    </row>
    <row r="212" spans="2:10" ht="12.75">
      <c r="B212" s="960"/>
      <c r="C212" s="960"/>
      <c r="D212" s="960"/>
      <c r="E212" s="960"/>
      <c r="F212" s="960"/>
      <c r="G212" s="960"/>
      <c r="H212" s="960"/>
      <c r="I212" s="960"/>
      <c r="J212" s="960"/>
    </row>
    <row r="213" spans="2:10" ht="12.75">
      <c r="B213" s="960"/>
      <c r="C213" s="960"/>
      <c r="D213" s="960"/>
      <c r="E213" s="960"/>
      <c r="F213" s="960"/>
      <c r="G213" s="960"/>
      <c r="H213" s="960"/>
      <c r="I213" s="960"/>
      <c r="J213" s="960"/>
    </row>
    <row r="215" spans="1:8" ht="12.75">
      <c r="A215" s="888" t="s">
        <v>1245</v>
      </c>
      <c r="H215" s="899" t="s">
        <v>604</v>
      </c>
    </row>
    <row r="216" spans="2:10" ht="12.75">
      <c r="B216" s="961" t="s">
        <v>618</v>
      </c>
      <c r="C216" s="961"/>
      <c r="D216" s="961"/>
      <c r="E216" s="961"/>
      <c r="F216" s="961"/>
      <c r="G216" s="961"/>
      <c r="H216" s="961"/>
      <c r="I216" s="961"/>
      <c r="J216" s="961"/>
    </row>
    <row r="217" spans="2:10" ht="12.75">
      <c r="B217" s="961"/>
      <c r="C217" s="961"/>
      <c r="D217" s="961"/>
      <c r="E217" s="961"/>
      <c r="F217" s="961"/>
      <c r="G217" s="961"/>
      <c r="H217" s="961"/>
      <c r="I217" s="961"/>
      <c r="J217" s="961"/>
    </row>
    <row r="218" spans="2:10" ht="12.75">
      <c r="B218" s="961"/>
      <c r="C218" s="961"/>
      <c r="D218" s="961"/>
      <c r="E218" s="961"/>
      <c r="F218" s="961"/>
      <c r="G218" s="961"/>
      <c r="H218" s="961"/>
      <c r="I218" s="961"/>
      <c r="J218" s="961"/>
    </row>
    <row r="219" spans="2:10" ht="12.75">
      <c r="B219" s="961"/>
      <c r="C219" s="961"/>
      <c r="D219" s="961"/>
      <c r="E219" s="961"/>
      <c r="F219" s="961"/>
      <c r="G219" s="961"/>
      <c r="H219" s="961"/>
      <c r="I219" s="961"/>
      <c r="J219" s="961"/>
    </row>
    <row r="220" spans="2:10" ht="6" customHeight="1">
      <c r="B220" s="891"/>
      <c r="C220" s="891"/>
      <c r="D220" s="891"/>
      <c r="E220" s="891"/>
      <c r="F220" s="891"/>
      <c r="G220" s="891"/>
      <c r="H220" s="891"/>
      <c r="I220" s="891"/>
      <c r="J220" s="891"/>
    </row>
    <row r="221" spans="2:10" ht="12.75">
      <c r="B221" s="371"/>
      <c r="C221" s="371"/>
      <c r="D221" t="s">
        <v>1471</v>
      </c>
      <c r="E221" s="371"/>
      <c r="F221" s="371"/>
      <c r="G221" s="371"/>
      <c r="H221" s="371"/>
      <c r="I221" s="371"/>
      <c r="J221" s="371"/>
    </row>
    <row r="222" spans="2:10" ht="12.75">
      <c r="B222" s="371"/>
      <c r="C222" s="371"/>
      <c r="D222" t="s">
        <v>1472</v>
      </c>
      <c r="E222" s="371"/>
      <c r="F222" s="371"/>
      <c r="G222" s="371"/>
      <c r="H222" s="371"/>
      <c r="I222" s="371"/>
      <c r="J222" s="371"/>
    </row>
    <row r="223" spans="2:10" ht="12.75">
      <c r="B223" s="371"/>
      <c r="C223" s="371"/>
      <c r="D223" t="s">
        <v>1465</v>
      </c>
      <c r="E223" s="371"/>
      <c r="F223" s="371"/>
      <c r="G223" s="371"/>
      <c r="H223" s="371"/>
      <c r="I223" s="371"/>
      <c r="J223" s="371"/>
    </row>
    <row r="224" spans="2:10" ht="12.75">
      <c r="B224" s="371"/>
      <c r="C224" s="371"/>
      <c r="D224" t="s">
        <v>1470</v>
      </c>
      <c r="E224" s="371"/>
      <c r="F224" s="371"/>
      <c r="G224" s="371"/>
      <c r="H224" s="371"/>
      <c r="I224" s="371"/>
      <c r="J224" s="371"/>
    </row>
    <row r="225" spans="2:10" ht="12.75">
      <c r="B225" s="371"/>
      <c r="C225" s="371"/>
      <c r="D225" t="s">
        <v>1469</v>
      </c>
      <c r="E225" s="371"/>
      <c r="F225" s="371"/>
      <c r="G225" s="371"/>
      <c r="H225" s="371"/>
      <c r="I225" s="371"/>
      <c r="J225" s="371"/>
    </row>
    <row r="226" spans="2:10" ht="12.75">
      <c r="B226" s="371"/>
      <c r="C226" s="371"/>
      <c r="D226" t="s">
        <v>1467</v>
      </c>
      <c r="E226" s="371"/>
      <c r="F226" s="371"/>
      <c r="G226" s="371"/>
      <c r="H226" s="371"/>
      <c r="I226" s="371"/>
      <c r="J226" s="371"/>
    </row>
    <row r="227" spans="2:10" ht="12.75">
      <c r="B227" s="371"/>
      <c r="C227" s="371"/>
      <c r="D227" t="s">
        <v>1466</v>
      </c>
      <c r="E227" s="371"/>
      <c r="F227" s="371"/>
      <c r="G227" s="371"/>
      <c r="H227" s="371"/>
      <c r="I227" s="371"/>
      <c r="J227" s="371"/>
    </row>
    <row r="228" spans="2:10" ht="12.75">
      <c r="B228" s="371"/>
      <c r="C228" s="371"/>
      <c r="D228" t="s">
        <v>1434</v>
      </c>
      <c r="E228" s="371"/>
      <c r="F228" s="371"/>
      <c r="G228" s="371"/>
      <c r="H228" s="371"/>
      <c r="I228" s="371"/>
      <c r="J228" s="371"/>
    </row>
    <row r="229" spans="2:10" ht="12.75">
      <c r="B229" s="371"/>
      <c r="C229" s="371"/>
      <c r="D229" t="s">
        <v>1468</v>
      </c>
      <c r="E229" s="371"/>
      <c r="F229" s="371"/>
      <c r="G229" s="371"/>
      <c r="H229" s="371"/>
      <c r="I229" s="371"/>
      <c r="J229" s="371"/>
    </row>
    <row r="230" spans="2:10" ht="12.75">
      <c r="B230" s="371"/>
      <c r="C230" s="371"/>
      <c r="E230" s="371"/>
      <c r="F230" s="371"/>
      <c r="G230" s="371"/>
      <c r="H230" s="371"/>
      <c r="I230" s="371"/>
      <c r="J230" s="371"/>
    </row>
    <row r="231" spans="2:10" ht="6" customHeight="1">
      <c r="B231" s="371"/>
      <c r="C231" s="371"/>
      <c r="D231" s="371"/>
      <c r="E231" s="371"/>
      <c r="F231" s="371"/>
      <c r="G231" s="371"/>
      <c r="H231" s="371"/>
      <c r="I231" s="371"/>
      <c r="J231" s="371"/>
    </row>
    <row r="232" spans="2:10" ht="12.75">
      <c r="B232" s="959" t="s">
        <v>1435</v>
      </c>
      <c r="C232" s="959"/>
      <c r="D232" s="959"/>
      <c r="E232" s="959"/>
      <c r="F232" s="959"/>
      <c r="G232" s="959"/>
      <c r="H232" s="959"/>
      <c r="I232" s="959"/>
      <c r="J232" s="959"/>
    </row>
    <row r="233" spans="2:10" ht="12.75">
      <c r="B233" s="959"/>
      <c r="C233" s="959"/>
      <c r="D233" s="959"/>
      <c r="E233" s="959"/>
      <c r="F233" s="959"/>
      <c r="G233" s="959"/>
      <c r="H233" s="959"/>
      <c r="I233" s="959"/>
      <c r="J233" s="959"/>
    </row>
    <row r="234" spans="2:10" ht="12.75">
      <c r="B234" s="959" t="s">
        <v>1248</v>
      </c>
      <c r="C234" s="959"/>
      <c r="D234" s="959"/>
      <c r="E234" s="959"/>
      <c r="F234" s="959"/>
      <c r="G234" s="959"/>
      <c r="H234" s="959"/>
      <c r="I234" s="959"/>
      <c r="J234" s="959"/>
    </row>
    <row r="235" spans="2:10" ht="12.75">
      <c r="B235" s="959"/>
      <c r="C235" s="959"/>
      <c r="D235" s="959"/>
      <c r="E235" s="959"/>
      <c r="F235" s="959"/>
      <c r="G235" s="959"/>
      <c r="H235" s="959"/>
      <c r="I235" s="959"/>
      <c r="J235" s="959"/>
    </row>
    <row r="237" spans="1:8" ht="12.75">
      <c r="A237" s="888" t="s">
        <v>1249</v>
      </c>
      <c r="H237" s="899" t="s">
        <v>604</v>
      </c>
    </row>
    <row r="238" ht="12.75">
      <c r="B238" s="376" t="s">
        <v>606</v>
      </c>
    </row>
    <row r="239" spans="3:10" ht="12.75">
      <c r="C239" s="959" t="s">
        <v>1250</v>
      </c>
      <c r="D239" s="959"/>
      <c r="E239" s="959"/>
      <c r="F239" s="959"/>
      <c r="G239" s="959"/>
      <c r="H239" s="959"/>
      <c r="I239" s="959"/>
      <c r="J239" s="959"/>
    </row>
    <row r="240" spans="3:10" ht="12.75">
      <c r="C240" s="959"/>
      <c r="D240" s="959"/>
      <c r="E240" s="959"/>
      <c r="F240" s="959"/>
      <c r="G240" s="959"/>
      <c r="H240" s="959"/>
      <c r="I240" s="959"/>
      <c r="J240" s="959"/>
    </row>
    <row r="242" ht="12.75">
      <c r="B242" s="376" t="s">
        <v>1251</v>
      </c>
    </row>
    <row r="243" ht="12.75">
      <c r="C243" t="s">
        <v>1252</v>
      </c>
    </row>
    <row r="245" ht="12.75">
      <c r="B245" s="376" t="s">
        <v>1253</v>
      </c>
    </row>
    <row r="246" spans="3:10" ht="12.75">
      <c r="C246" s="959" t="s">
        <v>1254</v>
      </c>
      <c r="D246" s="959"/>
      <c r="E246" s="959"/>
      <c r="F246" s="959"/>
      <c r="G246" s="959"/>
      <c r="H246" s="959"/>
      <c r="I246" s="959"/>
      <c r="J246" s="959"/>
    </row>
    <row r="247" spans="3:10" ht="12.75">
      <c r="C247" s="959"/>
      <c r="D247" s="959"/>
      <c r="E247" s="959"/>
      <c r="F247" s="959"/>
      <c r="G247" s="959"/>
      <c r="H247" s="959"/>
      <c r="I247" s="959"/>
      <c r="J247" s="959"/>
    </row>
    <row r="248" spans="3:10" ht="12.75">
      <c r="C248" s="959"/>
      <c r="D248" s="959"/>
      <c r="E248" s="959"/>
      <c r="F248" s="959"/>
      <c r="G248" s="959"/>
      <c r="H248" s="959"/>
      <c r="I248" s="959"/>
      <c r="J248" s="959"/>
    </row>
    <row r="249" spans="3:10" ht="12.75">
      <c r="C249" s="959" t="s">
        <v>1436</v>
      </c>
      <c r="D249" s="959"/>
      <c r="E249" s="959"/>
      <c r="F249" s="959"/>
      <c r="G249" s="959"/>
      <c r="H249" s="959"/>
      <c r="I249" s="959"/>
      <c r="J249" s="959"/>
    </row>
    <row r="250" spans="3:10" ht="12.75">
      <c r="C250" s="959"/>
      <c r="D250" s="959"/>
      <c r="E250" s="959"/>
      <c r="F250" s="959"/>
      <c r="G250" s="959"/>
      <c r="H250" s="959"/>
      <c r="I250" s="959"/>
      <c r="J250" s="959"/>
    </row>
    <row r="252" spans="1:8" ht="12.75">
      <c r="A252" s="888" t="s">
        <v>1255</v>
      </c>
      <c r="H252" s="899" t="s">
        <v>604</v>
      </c>
    </row>
    <row r="253" spans="2:10" ht="12.75">
      <c r="B253" s="959" t="s">
        <v>1256</v>
      </c>
      <c r="C253" s="959"/>
      <c r="D253" s="959"/>
      <c r="E253" s="959"/>
      <c r="F253" s="959"/>
      <c r="G253" s="959"/>
      <c r="H253" s="959"/>
      <c r="I253" s="959"/>
      <c r="J253" s="959"/>
    </row>
    <row r="254" spans="2:10" ht="12.75">
      <c r="B254" s="959"/>
      <c r="C254" s="959"/>
      <c r="D254" s="959"/>
      <c r="E254" s="959"/>
      <c r="F254" s="959"/>
      <c r="G254" s="959"/>
      <c r="H254" s="959"/>
      <c r="I254" s="959"/>
      <c r="J254" s="959"/>
    </row>
    <row r="255" spans="2:10" ht="12.75">
      <c r="B255" s="959" t="s">
        <v>1257</v>
      </c>
      <c r="C255" s="959"/>
      <c r="D255" s="959"/>
      <c r="E255" s="959"/>
      <c r="F255" s="959"/>
      <c r="G255" s="959"/>
      <c r="H255" s="959"/>
      <c r="I255" s="959"/>
      <c r="J255" s="959"/>
    </row>
    <row r="256" spans="2:10" ht="12.75">
      <c r="B256" s="959"/>
      <c r="C256" s="959"/>
      <c r="D256" s="959"/>
      <c r="E256" s="959"/>
      <c r="F256" s="959"/>
      <c r="G256" s="959"/>
      <c r="H256" s="959"/>
      <c r="I256" s="959"/>
      <c r="J256" s="959"/>
    </row>
    <row r="258" ht="12.75">
      <c r="A258" s="888" t="s">
        <v>1258</v>
      </c>
    </row>
    <row r="259" spans="2:10" ht="12.75">
      <c r="B259" s="959" t="s">
        <v>1259</v>
      </c>
      <c r="C259" s="959"/>
      <c r="D259" s="959"/>
      <c r="E259" s="959"/>
      <c r="F259" s="959"/>
      <c r="G259" s="959"/>
      <c r="H259" s="959"/>
      <c r="I259" s="959"/>
      <c r="J259" s="959"/>
    </row>
    <row r="260" spans="2:10" ht="12.75">
      <c r="B260" s="959"/>
      <c r="C260" s="959"/>
      <c r="D260" s="959"/>
      <c r="E260" s="959"/>
      <c r="F260" s="959"/>
      <c r="G260" s="959"/>
      <c r="H260" s="959"/>
      <c r="I260" s="959"/>
      <c r="J260" s="959"/>
    </row>
    <row r="262" ht="12.75">
      <c r="A262" s="888" t="s">
        <v>1260</v>
      </c>
    </row>
    <row r="263" ht="12.75">
      <c r="B263" t="s">
        <v>608</v>
      </c>
    </row>
  </sheetData>
  <sheetProtection/>
  <mergeCells count="57">
    <mergeCell ref="A24:J25"/>
    <mergeCell ref="B57:J58"/>
    <mergeCell ref="B65:J66"/>
    <mergeCell ref="B81:J82"/>
    <mergeCell ref="F60:I60"/>
    <mergeCell ref="B107:B109"/>
    <mergeCell ref="A1:J1"/>
    <mergeCell ref="B32:J34"/>
    <mergeCell ref="G27:J27"/>
    <mergeCell ref="F39:I39"/>
    <mergeCell ref="A11:J14"/>
    <mergeCell ref="A21:J22"/>
    <mergeCell ref="B35:J37"/>
    <mergeCell ref="A4:J5"/>
    <mergeCell ref="A15:J16"/>
    <mergeCell ref="A17:J20"/>
    <mergeCell ref="B148:J149"/>
    <mergeCell ref="B46:J47"/>
    <mergeCell ref="B48:J49"/>
    <mergeCell ref="B50:J51"/>
    <mergeCell ref="B54:J55"/>
    <mergeCell ref="B144:J147"/>
    <mergeCell ref="B52:J53"/>
    <mergeCell ref="F90:J90"/>
    <mergeCell ref="B87:J89"/>
    <mergeCell ref="G104:J104"/>
    <mergeCell ref="B30:J31"/>
    <mergeCell ref="B125:B126"/>
    <mergeCell ref="B69:J75"/>
    <mergeCell ref="B76:J79"/>
    <mergeCell ref="B41:J42"/>
    <mergeCell ref="B44:J45"/>
    <mergeCell ref="G121:J121"/>
    <mergeCell ref="B105:J106"/>
    <mergeCell ref="B84:J85"/>
    <mergeCell ref="B216:J219"/>
    <mergeCell ref="A140:J142"/>
    <mergeCell ref="B113:J114"/>
    <mergeCell ref="B91:J96"/>
    <mergeCell ref="C107:J109"/>
    <mergeCell ref="B122:J123"/>
    <mergeCell ref="A135:J138"/>
    <mergeCell ref="F133:J133"/>
    <mergeCell ref="B155:J157"/>
    <mergeCell ref="B206:J208"/>
    <mergeCell ref="B211:J213"/>
    <mergeCell ref="C192:J193"/>
    <mergeCell ref="D200:J201"/>
    <mergeCell ref="B176:J178"/>
    <mergeCell ref="B255:J256"/>
    <mergeCell ref="B253:J254"/>
    <mergeCell ref="B259:J260"/>
    <mergeCell ref="B232:J233"/>
    <mergeCell ref="B234:J235"/>
    <mergeCell ref="C246:J248"/>
    <mergeCell ref="C239:J240"/>
    <mergeCell ref="C249:J250"/>
  </mergeCells>
  <hyperlinks>
    <hyperlink ref="F39" location="'Nutrient Risk Assessment'!A45" display="'Nutrient Risk Assessment'!A45"/>
    <hyperlink ref="G27:J27" location="'Nutrient Risk Assessment'!A12" display="'Nutrient Risk Assessment'!A12"/>
    <hyperlink ref="F60:I60" location="'Nutrient Management Planner'!A1" display="'Nutrient Management Planner'!A1"/>
    <hyperlink ref="F90" location="'Nutrient Management Planner'!A54" display="'Nutrient Management Planner'!A54"/>
    <hyperlink ref="F133:J133" location="'Nutrient Management Planner'!A105" display="'Nutrient Management Planner'!A105"/>
    <hyperlink ref="F39:I39" location="'Nutrient Risk Assessment'!A33" display="'Nutrient Risk Assessment'!A33"/>
    <hyperlink ref="G104:J104" location="'Nutrient Management Planner'!A63" display="'Nutrient Management Planner'!A63"/>
    <hyperlink ref="G121:J121" location="'Nutrient Management Planner'!A84" display="'Nutrient Management Planner'!A84"/>
    <hyperlink ref="H252" location="'Nutrient Management Planner'!A147" display="'Nutrient Management Planner'!A147"/>
    <hyperlink ref="H237" location="'Nutrient Management Planner'!A142" display="'Nutrient Management Planner'!A142"/>
    <hyperlink ref="H215" location="'Nutrient Management Planner'!A135" display="'Nutrient Management Planner'!A135"/>
    <hyperlink ref="H210" location="'Nutrient Management Planner'!A129" display="'Nutrient Management Planner'!A129"/>
    <hyperlink ref="H205" location="'Nutrient Management Planner'!A122" display="'Nutrient Management Planner'!A122"/>
    <hyperlink ref="H191" location="'Nutrient Management Planner'!A117" display="'Nutrient Management Planner'!A117"/>
    <hyperlink ref="H175" location="'Nutrient Management Planner'!A115" display="'Nutrient Management Planner'!A115"/>
    <hyperlink ref="H143" location="'Nutrient Management Planner'!A110" display="'Nutrient Management Planner'!A110"/>
  </hyperlinks>
  <printOptions/>
  <pageMargins left="0.75" right="0.75" top="1" bottom="0.5" header="0.5" footer="0.5"/>
  <pageSetup horizontalDpi="600" verticalDpi="600" orientation="portrait" scale="91" r:id="rId1"/>
  <headerFooter alignWithMargins="0">
    <oddFooter>&amp;CPage &amp;P</oddFooter>
  </headerFooter>
  <rowBreaks count="4" manualBreakCount="4">
    <brk id="58" max="255" man="1"/>
    <brk id="112" max="9" man="1"/>
    <brk id="173" max="9" man="1"/>
    <brk id="230"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AC500"/>
  <sheetViews>
    <sheetView tabSelected="1" zoomScale="80" zoomScaleNormal="80" workbookViewId="0" topLeftCell="A1">
      <selection activeCell="A12" sqref="A12"/>
    </sheetView>
  </sheetViews>
  <sheetFormatPr defaultColWidth="9.140625" defaultRowHeight="12.75"/>
  <cols>
    <col min="1" max="1" width="9.421875" style="0" bestFit="1" customWidth="1"/>
    <col min="2" max="2" width="21.00390625" style="0" customWidth="1"/>
    <col min="3" max="3" width="18.7109375" style="0" customWidth="1"/>
    <col min="4" max="4" width="12.8515625" style="0" customWidth="1"/>
    <col min="5" max="5" width="11.7109375" style="0" customWidth="1"/>
    <col min="6" max="6" width="16.28125" style="0" bestFit="1" customWidth="1"/>
    <col min="7" max="7" width="19.140625" style="0" customWidth="1"/>
    <col min="8" max="8" width="18.00390625" style="0" customWidth="1"/>
    <col min="9" max="10" width="9.140625" style="0" hidden="1" customWidth="1"/>
    <col min="11" max="11" width="14.7109375" style="0" hidden="1" customWidth="1"/>
    <col min="12" max="26" width="9.140625" style="0" hidden="1" customWidth="1"/>
  </cols>
  <sheetData>
    <row r="1" spans="1:8" ht="12.75">
      <c r="A1" s="286"/>
      <c r="B1" s="286"/>
      <c r="C1" s="286"/>
      <c r="D1" s="286"/>
      <c r="E1" s="286"/>
      <c r="F1" s="286"/>
      <c r="G1" s="286"/>
      <c r="H1" s="286"/>
    </row>
    <row r="2" spans="1:8" ht="12.75">
      <c r="A2" s="286"/>
      <c r="B2" s="286"/>
      <c r="C2" s="286"/>
      <c r="D2" s="286"/>
      <c r="E2" s="286"/>
      <c r="F2" s="286"/>
      <c r="G2" s="286"/>
      <c r="H2" s="286"/>
    </row>
    <row r="3" spans="8:15" ht="15">
      <c r="H3" s="286"/>
      <c r="M3" s="126"/>
      <c r="N3" s="190" t="s">
        <v>247</v>
      </c>
      <c r="O3" s="343">
        <f>'Nutrient Risk Assessment'!H2</f>
        <v>0</v>
      </c>
    </row>
    <row r="4" spans="1:15" ht="12.75">
      <c r="A4" s="903" t="s">
        <v>594</v>
      </c>
      <c r="H4" s="286"/>
      <c r="M4" s="126"/>
      <c r="N4" s="189" t="s">
        <v>1087</v>
      </c>
      <c r="O4" s="150"/>
    </row>
    <row r="5" spans="2:8" ht="12.75">
      <c r="B5" s="286"/>
      <c r="C5" s="545"/>
      <c r="D5" s="545"/>
      <c r="E5" s="508"/>
      <c r="F5" s="286"/>
      <c r="G5" s="546"/>
      <c r="H5" s="286"/>
    </row>
    <row r="6" spans="1:8" ht="15">
      <c r="A6" s="367" t="s">
        <v>985</v>
      </c>
      <c r="B6" s="945"/>
      <c r="C6" s="945"/>
      <c r="D6" s="344"/>
      <c r="E6" s="367" t="s">
        <v>35</v>
      </c>
      <c r="F6" s="938"/>
      <c r="G6" s="938"/>
      <c r="H6" s="546">
        <f ca="1">NOW()</f>
        <v>38581.443305092595</v>
      </c>
    </row>
    <row r="7" spans="1:11" ht="15" customHeight="1">
      <c r="A7" s="367" t="s">
        <v>223</v>
      </c>
      <c r="B7" s="958" t="s">
        <v>800</v>
      </c>
      <c r="C7" s="387"/>
      <c r="D7" s="344"/>
      <c r="E7" s="367" t="s">
        <v>1086</v>
      </c>
      <c r="F7" s="627"/>
      <c r="G7" s="368"/>
      <c r="K7" t="s">
        <v>1571</v>
      </c>
    </row>
    <row r="8" spans="1:11" ht="12.75">
      <c r="A8" s="286"/>
      <c r="B8" s="286"/>
      <c r="C8" s="545"/>
      <c r="D8" s="545"/>
      <c r="E8" s="508"/>
      <c r="F8" s="286"/>
      <c r="G8" s="546"/>
      <c r="H8" s="547"/>
      <c r="I8" s="333"/>
      <c r="K8" s="334" t="s">
        <v>1572</v>
      </c>
    </row>
    <row r="9" spans="8:11" ht="12.75">
      <c r="H9" s="547"/>
      <c r="I9" s="333"/>
      <c r="K9" s="334" t="s">
        <v>1573</v>
      </c>
    </row>
    <row r="10" spans="1:11" ht="22.5" customHeight="1">
      <c r="A10" s="940" t="s">
        <v>34</v>
      </c>
      <c r="B10" s="940"/>
      <c r="C10" s="940"/>
      <c r="D10" s="940"/>
      <c r="E10" s="940"/>
      <c r="F10" s="940"/>
      <c r="G10" s="940"/>
      <c r="H10" s="940"/>
      <c r="I10" s="333"/>
      <c r="K10" s="334" t="s">
        <v>1574</v>
      </c>
    </row>
    <row r="11" spans="1:11" ht="12.75" customHeight="1" thickBot="1">
      <c r="A11" s="1"/>
      <c r="K11" s="334" t="s">
        <v>1575</v>
      </c>
    </row>
    <row r="12" spans="1:11" ht="12.75">
      <c r="A12" s="359"/>
      <c r="B12" s="143"/>
      <c r="C12" s="143"/>
      <c r="D12" s="143"/>
      <c r="E12" s="143"/>
      <c r="F12" s="143"/>
      <c r="G12" s="143"/>
      <c r="H12" s="355"/>
      <c r="K12" s="124" t="s">
        <v>929</v>
      </c>
    </row>
    <row r="13" spans="1:11" ht="16.5" customHeight="1">
      <c r="A13" s="146"/>
      <c r="B13" s="360" t="s">
        <v>1576</v>
      </c>
      <c r="C13" s="125"/>
      <c r="D13" s="948">
        <f>IF(I13=1,"",INDEX($B$127:$C$401,$I$13,2))</f>
      </c>
      <c r="E13" s="948"/>
      <c r="F13" s="948"/>
      <c r="G13" s="948"/>
      <c r="H13" s="145"/>
      <c r="I13" s="336">
        <v>1</v>
      </c>
      <c r="K13" s="124" t="s">
        <v>930</v>
      </c>
    </row>
    <row r="14" spans="1:12" ht="16.5" customHeight="1">
      <c r="A14" s="146"/>
      <c r="B14" s="3"/>
      <c r="C14" s="577" t="s">
        <v>332</v>
      </c>
      <c r="D14" s="125"/>
      <c r="E14" s="125"/>
      <c r="F14" s="125"/>
      <c r="G14" s="125"/>
      <c r="H14" s="145"/>
      <c r="I14" t="str">
        <f>INDEX(B127:K401,I13,10)</f>
        <v>Drainage </v>
      </c>
      <c r="L14" t="s">
        <v>1577</v>
      </c>
    </row>
    <row r="15" spans="1:13" ht="16.5" customHeight="1">
      <c r="A15" s="146"/>
      <c r="B15" s="3"/>
      <c r="C15" s="356"/>
      <c r="D15" s="125"/>
      <c r="E15" s="125"/>
      <c r="F15" s="125"/>
      <c r="G15" s="125"/>
      <c r="H15" s="145"/>
      <c r="I15" s="336">
        <f>IF(I14="very poor",6,IF(I14="poor",5,IF(I14="somewhat poor",4,IF(I14="moderately well",3,IF(I14="well",2,1)))))</f>
        <v>1</v>
      </c>
      <c r="K15" t="s">
        <v>1571</v>
      </c>
      <c r="L15">
        <v>0</v>
      </c>
      <c r="M15">
        <v>0</v>
      </c>
    </row>
    <row r="16" spans="1:13" ht="16.5" customHeight="1">
      <c r="A16" s="146"/>
      <c r="B16" s="317">
        <f>IF(I13=1,"",INDEX($B$127:$S$500,$I$13,18))</f>
      </c>
      <c r="C16" s="358" t="s">
        <v>1373</v>
      </c>
      <c r="D16" s="317">
        <f>IF(I13=1,"",INDEX($B$127:$U$500,$I$13,19))</f>
      </c>
      <c r="E16" s="125"/>
      <c r="F16" s="125"/>
      <c r="G16" s="125"/>
      <c r="H16" s="145"/>
      <c r="K16" s="334" t="s">
        <v>1572</v>
      </c>
      <c r="L16">
        <v>1</v>
      </c>
      <c r="M16">
        <v>1</v>
      </c>
    </row>
    <row r="17" spans="1:11" ht="16.5" customHeight="1">
      <c r="A17" s="146"/>
      <c r="B17" s="317">
        <f>IF(I13=1,"",INDEX($B$127:$S$500,$I$13,17))</f>
      </c>
      <c r="C17" s="358" t="s">
        <v>1374</v>
      </c>
      <c r="D17" s="317" t="str">
        <f>IF(I14=1,"",INDEX($B$127:$U$500,$I$13,20))</f>
        <v>Qualifier</v>
      </c>
      <c r="E17" s="125"/>
      <c r="F17" s="125"/>
      <c r="G17" s="507"/>
      <c r="H17" s="145"/>
      <c r="K17" s="334"/>
    </row>
    <row r="18" spans="1:11" ht="16.5" customHeight="1">
      <c r="A18" s="146"/>
      <c r="B18" s="317"/>
      <c r="C18" s="358"/>
      <c r="D18" s="347"/>
      <c r="E18" s="125"/>
      <c r="F18" s="125"/>
      <c r="G18" s="507"/>
      <c r="H18" s="145"/>
      <c r="K18" s="334"/>
    </row>
    <row r="19" spans="1:11" ht="16.5" customHeight="1">
      <c r="A19" s="980" t="str">
        <f>IF(B16="Moderate",B94,IF(B16="High",B94,IF(B17="Moderate",B94,IF(B17="High",B94,B95))))</f>
        <v>The potential for runoff and leaching is not a concern for this soil map unit.  Complete the Phosphorous Index below if agricultural waste will be applied to this field.</v>
      </c>
      <c r="B19" s="951"/>
      <c r="C19" s="951"/>
      <c r="D19" s="951"/>
      <c r="E19" s="951"/>
      <c r="F19" s="951"/>
      <c r="G19" s="951"/>
      <c r="H19" s="952"/>
      <c r="K19" s="334"/>
    </row>
    <row r="20" spans="1:11" ht="16.5" customHeight="1">
      <c r="A20" s="953"/>
      <c r="B20" s="954"/>
      <c r="C20" s="954"/>
      <c r="D20" s="954"/>
      <c r="E20" s="954"/>
      <c r="F20" s="954"/>
      <c r="G20" s="954"/>
      <c r="H20" s="955"/>
      <c r="K20" s="334"/>
    </row>
    <row r="21" spans="1:11" ht="16.5" customHeight="1" thickBot="1">
      <c r="A21" s="146"/>
      <c r="B21" s="532"/>
      <c r="C21" s="549"/>
      <c r="D21" s="365"/>
      <c r="E21" s="365"/>
      <c r="F21" s="365"/>
      <c r="G21" s="365"/>
      <c r="H21" s="548"/>
      <c r="K21" s="334"/>
    </row>
    <row r="22" spans="1:11" ht="16.5" customHeight="1">
      <c r="A22" s="143"/>
      <c r="B22" s="556"/>
      <c r="C22" s="557"/>
      <c r="D22" s="557"/>
      <c r="E22" s="557"/>
      <c r="F22" s="557"/>
      <c r="G22" s="557"/>
      <c r="H22" s="557"/>
      <c r="K22" s="334"/>
    </row>
    <row r="23" spans="1:11" ht="22.5" customHeight="1">
      <c r="A23" s="946" t="s">
        <v>702</v>
      </c>
      <c r="B23" s="946"/>
      <c r="C23" s="946"/>
      <c r="D23" s="946"/>
      <c r="E23" s="946"/>
      <c r="F23" s="946"/>
      <c r="G23" s="946"/>
      <c r="H23" s="946"/>
      <c r="K23" s="334"/>
    </row>
    <row r="24" spans="2:11" ht="16.5" customHeight="1" thickBot="1">
      <c r="B24" s="335"/>
      <c r="C24" s="339"/>
      <c r="G24" s="334"/>
      <c r="K24" s="334"/>
    </row>
    <row r="25" spans="1:11" ht="33.75" customHeight="1" thickBot="1">
      <c r="A25" s="956" t="s">
        <v>152</v>
      </c>
      <c r="B25" s="957"/>
      <c r="C25" s="957"/>
      <c r="D25" s="957"/>
      <c r="E25" s="957"/>
      <c r="F25" s="957"/>
      <c r="G25" s="957"/>
      <c r="H25" s="949"/>
      <c r="K25" s="334"/>
    </row>
    <row r="26" spans="2:11" ht="16.5" customHeight="1">
      <c r="B26" s="340"/>
      <c r="C26" s="340"/>
      <c r="D26" s="340"/>
      <c r="E26" s="340"/>
      <c r="F26" s="340"/>
      <c r="G26" s="340"/>
      <c r="K26" s="334"/>
    </row>
    <row r="27" spans="1:11" ht="22.5" customHeight="1">
      <c r="A27" s="947" t="s">
        <v>1592</v>
      </c>
      <c r="B27" s="947"/>
      <c r="C27" s="947"/>
      <c r="D27" s="947"/>
      <c r="E27" s="947"/>
      <c r="F27" s="947"/>
      <c r="G27" s="947"/>
      <c r="H27" s="947"/>
      <c r="K27" s="334"/>
    </row>
    <row r="28" spans="1:11" ht="16.5" customHeight="1">
      <c r="A28" s="902" t="s">
        <v>594</v>
      </c>
      <c r="K28" s="334"/>
    </row>
    <row r="29" spans="1:11" ht="16.5" customHeight="1">
      <c r="A29" s="950" t="s">
        <v>151</v>
      </c>
      <c r="B29" s="950"/>
      <c r="C29" s="950"/>
      <c r="D29" s="950"/>
      <c r="E29" s="950"/>
      <c r="F29" s="950"/>
      <c r="G29" s="950"/>
      <c r="H29" s="950"/>
      <c r="K29" s="334"/>
    </row>
    <row r="30" spans="1:11" ht="16.5" customHeight="1">
      <c r="A30" s="950"/>
      <c r="B30" s="950"/>
      <c r="C30" s="950"/>
      <c r="D30" s="950"/>
      <c r="E30" s="950"/>
      <c r="F30" s="950"/>
      <c r="G30" s="950"/>
      <c r="H30" s="950"/>
      <c r="K30" s="334"/>
    </row>
    <row r="31" spans="1:11" ht="16.5" customHeight="1">
      <c r="A31" s="950"/>
      <c r="B31" s="950"/>
      <c r="C31" s="950"/>
      <c r="D31" s="950"/>
      <c r="E31" s="950"/>
      <c r="F31" s="950"/>
      <c r="G31" s="950"/>
      <c r="H31" s="950"/>
      <c r="K31" s="334"/>
    </row>
    <row r="32" spans="1:11" ht="16.5" customHeight="1" thickBot="1">
      <c r="A32" s="1"/>
      <c r="B32" s="558"/>
      <c r="C32" s="558"/>
      <c r="D32" s="558"/>
      <c r="E32" s="558"/>
      <c r="F32" s="558"/>
      <c r="G32" s="558"/>
      <c r="H32" s="558"/>
      <c r="K32" s="334"/>
    </row>
    <row r="33" spans="1:11" ht="16.5" customHeight="1">
      <c r="A33" s="901"/>
      <c r="B33" s="125"/>
      <c r="E33" s="125"/>
      <c r="F33" s="125"/>
      <c r="G33" s="125"/>
      <c r="H33" s="145"/>
      <c r="K33" s="334"/>
    </row>
    <row r="34" spans="1:13" ht="16.5" customHeight="1">
      <c r="A34" s="357" t="s">
        <v>1578</v>
      </c>
      <c r="B34" s="360" t="s">
        <v>1579</v>
      </c>
      <c r="C34" s="125"/>
      <c r="D34" s="125"/>
      <c r="E34" s="125"/>
      <c r="F34" s="125"/>
      <c r="G34" s="125"/>
      <c r="H34" s="145"/>
      <c r="K34" s="334" t="s">
        <v>1573</v>
      </c>
      <c r="L34">
        <v>2</v>
      </c>
      <c r="M34">
        <v>2</v>
      </c>
    </row>
    <row r="35" spans="1:13" ht="16.5" customHeight="1">
      <c r="A35" s="161">
        <f>IF(I40=1,0,IF(I40=2,0,IF(I40=3,1,IF(I40=4,2,IF(I40=5,3,5)))))</f>
        <v>0</v>
      </c>
      <c r="B35" s="125"/>
      <c r="C35" s="361" t="s">
        <v>933</v>
      </c>
      <c r="D35" s="125"/>
      <c r="E35" s="125"/>
      <c r="F35" s="125"/>
      <c r="G35" s="125"/>
      <c r="H35" s="145"/>
      <c r="K35" s="334" t="s">
        <v>1574</v>
      </c>
      <c r="L35">
        <v>3</v>
      </c>
      <c r="M35">
        <v>4</v>
      </c>
    </row>
    <row r="36" spans="1:13" ht="16.5" customHeight="1">
      <c r="A36" s="161">
        <f>IF(B36="Moderate",3,IF(B36="High",5,0))</f>
        <v>0</v>
      </c>
      <c r="B36" s="3">
        <f>$B$16</f>
      </c>
      <c r="C36" s="127" t="s">
        <v>1373</v>
      </c>
      <c r="D36" s="125"/>
      <c r="E36" s="125"/>
      <c r="F36" s="125"/>
      <c r="G36" s="125"/>
      <c r="H36" s="145"/>
      <c r="K36" s="334" t="s">
        <v>1575</v>
      </c>
      <c r="L36">
        <v>5</v>
      </c>
      <c r="M36">
        <v>4</v>
      </c>
    </row>
    <row r="37" spans="1:13" ht="16.5" customHeight="1">
      <c r="A37" s="161">
        <f>IF(I42=1,0,IF(I42=2,1,IF(I42=3,2,IF(I42=4,3,IF(I42=5,5,IF(I42=6,1,IF(I42=7,2,IF(I42=8,3,J42))))))))</f>
        <v>0</v>
      </c>
      <c r="B37" s="125"/>
      <c r="C37" s="361" t="s">
        <v>1235</v>
      </c>
      <c r="D37" s="125"/>
      <c r="E37" s="125"/>
      <c r="F37" s="125"/>
      <c r="G37" s="125"/>
      <c r="H37" s="145"/>
      <c r="K37" s="124" t="s">
        <v>929</v>
      </c>
      <c r="L37">
        <v>6</v>
      </c>
      <c r="M37">
        <v>8</v>
      </c>
    </row>
    <row r="38" spans="1:13" ht="16.5" customHeight="1">
      <c r="A38" s="161">
        <f>IF(I43=1,0,IF(I43=2,0,IF(I43=3,1,IF(I43=4,2,IF(I43=5,3,5)))))</f>
        <v>0</v>
      </c>
      <c r="B38" s="125"/>
      <c r="C38" s="361" t="s">
        <v>932</v>
      </c>
      <c r="D38" s="125"/>
      <c r="E38" s="125"/>
      <c r="F38" s="125"/>
      <c r="G38" s="125"/>
      <c r="H38" s="145"/>
      <c r="K38" s="124" t="s">
        <v>930</v>
      </c>
      <c r="L38">
        <v>7</v>
      </c>
      <c r="M38">
        <v>8</v>
      </c>
    </row>
    <row r="39" spans="1:8" ht="16.5" customHeight="1">
      <c r="A39" s="161">
        <f>IF(I44=1,0,IF(I44=2,0,IF(I44=3,1,IF(I44=4,2,IF(I44=5,3,5)))))</f>
        <v>0</v>
      </c>
      <c r="B39" s="125"/>
      <c r="C39" s="125"/>
      <c r="D39" s="125"/>
      <c r="E39" s="125"/>
      <c r="F39" s="361" t="s">
        <v>1247</v>
      </c>
      <c r="G39" s="125"/>
      <c r="H39" s="145"/>
    </row>
    <row r="40" spans="1:9" ht="16.5" customHeight="1">
      <c r="A40" s="161">
        <f>IF(I45=1,0,IF(I45=2,0,IF(I45=3,1,IF(I45=4,2,IF(I45=5,3,5)))))</f>
        <v>0</v>
      </c>
      <c r="B40" s="125"/>
      <c r="C40" s="362" t="s">
        <v>931</v>
      </c>
      <c r="D40" s="125"/>
      <c r="E40" s="125"/>
      <c r="F40" s="125"/>
      <c r="G40" s="125"/>
      <c r="H40" s="145"/>
      <c r="I40">
        <v>1</v>
      </c>
    </row>
    <row r="41" spans="1:8" ht="16.5" customHeight="1">
      <c r="A41" s="146"/>
      <c r="B41" s="939" t="s">
        <v>1580</v>
      </c>
      <c r="C41" s="939"/>
      <c r="D41" s="125"/>
      <c r="E41" s="125"/>
      <c r="F41" s="125"/>
      <c r="G41" s="125"/>
      <c r="H41" s="145"/>
    </row>
    <row r="42" spans="1:10" ht="15.75" customHeight="1">
      <c r="A42" s="161"/>
      <c r="B42" s="125"/>
      <c r="C42" s="125"/>
      <c r="D42" s="125"/>
      <c r="E42" s="125"/>
      <c r="F42" s="125"/>
      <c r="G42" s="125"/>
      <c r="H42" s="145"/>
      <c r="I42">
        <v>1</v>
      </c>
      <c r="J42" s="123">
        <f>IF(I42=9,5,IF(I42=10,1,IF(I42=11,2,IF(I42=12,3,5))))</f>
        <v>5</v>
      </c>
    </row>
    <row r="43" spans="1:9" ht="15.75" customHeight="1">
      <c r="A43" s="161"/>
      <c r="B43" s="363"/>
      <c r="C43" s="125"/>
      <c r="D43" s="125"/>
      <c r="E43" s="125"/>
      <c r="F43" s="125"/>
      <c r="G43" s="125"/>
      <c r="H43" s="145"/>
      <c r="I43">
        <v>1</v>
      </c>
    </row>
    <row r="44" spans="1:11" ht="16.5" customHeight="1">
      <c r="A44" s="161"/>
      <c r="B44" s="363"/>
      <c r="C44" s="125"/>
      <c r="D44" s="125"/>
      <c r="E44" s="125"/>
      <c r="F44" s="125"/>
      <c r="G44" s="125"/>
      <c r="H44" s="145"/>
      <c r="I44">
        <v>1</v>
      </c>
      <c r="K44" s="124"/>
    </row>
    <row r="45" spans="1:11" ht="15.75" customHeight="1">
      <c r="A45" s="161"/>
      <c r="B45" s="363"/>
      <c r="C45" s="125"/>
      <c r="D45" s="125"/>
      <c r="E45" s="532"/>
      <c r="F45" s="532"/>
      <c r="G45" s="532"/>
      <c r="H45" s="145"/>
      <c r="I45" s="336">
        <v>1</v>
      </c>
      <c r="K45" s="124"/>
    </row>
    <row r="46" spans="1:11" ht="17.25" customHeight="1" thickBot="1">
      <c r="A46" s="550">
        <f>IF(J51=0,0,IF(J51=-1,-1,IF(J51=-2,-2,IF(J51=-3,-2,-2))))</f>
        <v>0</v>
      </c>
      <c r="B46" s="364" t="s">
        <v>1589</v>
      </c>
      <c r="C46" s="125"/>
      <c r="D46" s="125"/>
      <c r="E46" s="971" t="str">
        <f>IF(I40=1,B101,IF(A48&lt;8,B102,IF(A48&lt;12,B103,IF(A48&lt;16,B104,B105))))</f>
        <v>Phosphorous Index was not calculated for this field.  Refer to the Nutrient Management Planner for nutrient management considerations.</v>
      </c>
      <c r="F46" s="972"/>
      <c r="G46" s="972"/>
      <c r="H46" s="973"/>
      <c r="I46" t="b">
        <v>0</v>
      </c>
      <c r="J46">
        <f>IF(I46=TRUE,-1,0)</f>
        <v>0</v>
      </c>
      <c r="K46" s="124"/>
    </row>
    <row r="47" spans="1:10" ht="15.75" customHeight="1" thickBot="1" thickTop="1">
      <c r="A47" s="161"/>
      <c r="B47" s="125"/>
      <c r="C47" s="125"/>
      <c r="D47" s="125"/>
      <c r="E47" s="974"/>
      <c r="F47" s="975"/>
      <c r="G47" s="975"/>
      <c r="H47" s="976"/>
      <c r="I47" s="336" t="b">
        <v>0</v>
      </c>
      <c r="J47">
        <f>IF(I47=TRUE,-1,0)</f>
        <v>0</v>
      </c>
    </row>
    <row r="48" spans="1:10" ht="18.75" customHeight="1" thickBot="1">
      <c r="A48" s="551">
        <f>SUM(A35:A47)</f>
        <v>0</v>
      </c>
      <c r="B48" s="560">
        <f>IF(I40=1,"",IF(A48&lt;8,"Low",IF(A48&lt;12,"Medium",IF(A48&lt;16,"High","Very High"))))</f>
      </c>
      <c r="C48" s="559" t="s">
        <v>39</v>
      </c>
      <c r="D48" s="366"/>
      <c r="E48" s="977"/>
      <c r="F48" s="978"/>
      <c r="G48" s="978"/>
      <c r="H48" s="979"/>
      <c r="I48" s="336" t="b">
        <v>0</v>
      </c>
      <c r="J48">
        <f>IF(I48=TRUE,-1,0)</f>
        <v>0</v>
      </c>
    </row>
    <row r="49" spans="9:10" ht="15.75" customHeight="1">
      <c r="I49" s="336" t="b">
        <v>0</v>
      </c>
      <c r="J49">
        <f>IF(I49=TRUE,-1,0)</f>
        <v>0</v>
      </c>
    </row>
    <row r="50" ht="15.75" customHeight="1">
      <c r="I50" s="336"/>
    </row>
    <row r="51" ht="12.75" customHeight="1">
      <c r="J51">
        <f>SUM(J46:J49)</f>
        <v>0</v>
      </c>
    </row>
    <row r="52" ht="12.75" customHeight="1">
      <c r="K52" t="s">
        <v>1593</v>
      </c>
    </row>
    <row r="53" spans="2:11" ht="12.75" customHeight="1">
      <c r="B53" s="332"/>
      <c r="C53" s="337"/>
      <c r="D53" s="338"/>
      <c r="K53" t="s">
        <v>1594</v>
      </c>
    </row>
    <row r="54" ht="13.5" customHeight="1">
      <c r="K54" t="s">
        <v>1595</v>
      </c>
    </row>
    <row r="55" ht="12.75" hidden="1">
      <c r="K55" t="s">
        <v>1596</v>
      </c>
    </row>
    <row r="56" ht="12.75" hidden="1">
      <c r="K56" t="s">
        <v>1597</v>
      </c>
    </row>
    <row r="57" ht="12.75" hidden="1">
      <c r="K57" t="s">
        <v>1598</v>
      </c>
    </row>
    <row r="58" ht="12.75" hidden="1"/>
    <row r="59" ht="12.75" hidden="1">
      <c r="K59" t="s">
        <v>1599</v>
      </c>
    </row>
    <row r="60" ht="12.75" hidden="1">
      <c r="K60" t="s">
        <v>1600</v>
      </c>
    </row>
    <row r="61" ht="12.75" hidden="1">
      <c r="K61" t="s">
        <v>1601</v>
      </c>
    </row>
    <row r="62" ht="12.75" hidden="1">
      <c r="K62" t="s">
        <v>1603</v>
      </c>
    </row>
    <row r="63" ht="12.75" hidden="1">
      <c r="K63" t="s">
        <v>1604</v>
      </c>
    </row>
    <row r="64" ht="12.75" hidden="1">
      <c r="K64" t="s">
        <v>1605</v>
      </c>
    </row>
    <row r="65" ht="12.75" hidden="1">
      <c r="K65" t="s">
        <v>0</v>
      </c>
    </row>
    <row r="66" ht="12.75" hidden="1">
      <c r="K66" t="s">
        <v>1</v>
      </c>
    </row>
    <row r="67" ht="12.75" hidden="1">
      <c r="K67" t="s">
        <v>2</v>
      </c>
    </row>
    <row r="68" ht="12.75" hidden="1">
      <c r="K68" t="s">
        <v>3</v>
      </c>
    </row>
    <row r="69" ht="12.75" hidden="1">
      <c r="K69" t="s">
        <v>4</v>
      </c>
    </row>
    <row r="70" ht="12.75" hidden="1">
      <c r="K70" t="s">
        <v>5</v>
      </c>
    </row>
    <row r="71" ht="12.75" hidden="1"/>
    <row r="72" ht="12.75" hidden="1"/>
    <row r="73" ht="12.75" hidden="1">
      <c r="K73" t="s">
        <v>1571</v>
      </c>
    </row>
    <row r="74" ht="12.75" hidden="1">
      <c r="K74" t="s">
        <v>1100</v>
      </c>
    </row>
    <row r="75" ht="12.75" hidden="1">
      <c r="K75" t="s">
        <v>6</v>
      </c>
    </row>
    <row r="76" ht="12.75" hidden="1">
      <c r="K76" t="s">
        <v>7</v>
      </c>
    </row>
    <row r="77" ht="12.75" hidden="1">
      <c r="K77" t="s">
        <v>1101</v>
      </c>
    </row>
    <row r="78" ht="12.75" hidden="1"/>
    <row r="79" ht="12.75" hidden="1"/>
    <row r="80" ht="12.75" hidden="1">
      <c r="K80" t="s">
        <v>1102</v>
      </c>
    </row>
    <row r="81" ht="12.75" hidden="1">
      <c r="K81" t="s">
        <v>8</v>
      </c>
    </row>
    <row r="82" ht="12.75" hidden="1">
      <c r="K82" t="s">
        <v>9</v>
      </c>
    </row>
    <row r="83" ht="12.75" hidden="1">
      <c r="K83" t="s">
        <v>10</v>
      </c>
    </row>
    <row r="84" ht="12.75" hidden="1">
      <c r="K84" t="s">
        <v>1103</v>
      </c>
    </row>
    <row r="85" ht="12.75" hidden="1"/>
    <row r="86" ht="12.75" hidden="1"/>
    <row r="87" ht="12.75" hidden="1">
      <c r="K87" t="s">
        <v>1104</v>
      </c>
    </row>
    <row r="88" ht="12.75" hidden="1">
      <c r="K88" t="s">
        <v>11</v>
      </c>
    </row>
    <row r="89" ht="12.75" hidden="1">
      <c r="K89" t="s">
        <v>12</v>
      </c>
    </row>
    <row r="90" ht="12.75" hidden="1">
      <c r="K90" t="s">
        <v>13</v>
      </c>
    </row>
    <row r="91" ht="12.75" hidden="1">
      <c r="K91" t="s">
        <v>1105</v>
      </c>
    </row>
    <row r="92" ht="12.75" hidden="1"/>
    <row r="93" ht="12.75" hidden="1"/>
    <row r="94" spans="2:11" ht="12.75" hidden="1">
      <c r="B94" t="s">
        <v>50</v>
      </c>
      <c r="K94" t="s">
        <v>14</v>
      </c>
    </row>
    <row r="95" spans="2:11" ht="12.75" hidden="1">
      <c r="B95" t="s">
        <v>177</v>
      </c>
      <c r="K95" t="s">
        <v>15</v>
      </c>
    </row>
    <row r="96" ht="12.75" hidden="1">
      <c r="K96" t="s">
        <v>16</v>
      </c>
    </row>
    <row r="97" ht="12.75" hidden="1">
      <c r="K97" t="s">
        <v>17</v>
      </c>
    </row>
    <row r="98" ht="12.75" hidden="1"/>
    <row r="99" ht="12.75" hidden="1"/>
    <row r="100" ht="12.75" hidden="1"/>
    <row r="101" ht="12.75" hidden="1">
      <c r="B101" t="s">
        <v>704</v>
      </c>
    </row>
    <row r="102" ht="12.75" hidden="1">
      <c r="B102" t="s">
        <v>33</v>
      </c>
    </row>
    <row r="103" ht="12.75" hidden="1">
      <c r="B103" t="s">
        <v>32</v>
      </c>
    </row>
    <row r="104" ht="12.75" hidden="1">
      <c r="B104" t="s">
        <v>26</v>
      </c>
    </row>
    <row r="105" ht="12.75" hidden="1">
      <c r="B105" t="s">
        <v>27</v>
      </c>
    </row>
    <row r="106" ht="12.75" hidden="1"/>
    <row r="107" ht="12.75" hidden="1"/>
    <row r="108" ht="12.75" hidden="1"/>
    <row r="109" ht="12.75" hidden="1"/>
    <row r="110" ht="12.75" hidden="1"/>
    <row r="111" ht="12.75" hidden="1"/>
    <row r="112" ht="12.75" hidden="1"/>
    <row r="113" ht="12.75" hidden="1"/>
    <row r="114" ht="12.75" hidden="1"/>
    <row r="115" ht="12.75" hidden="1"/>
    <row r="116" ht="12.75" hidden="1">
      <c r="C116" t="s">
        <v>1581</v>
      </c>
    </row>
    <row r="117" ht="12.75" hidden="1">
      <c r="C117" t="s">
        <v>1584</v>
      </c>
    </row>
    <row r="118" ht="12.75" hidden="1">
      <c r="C118" t="s">
        <v>1586</v>
      </c>
    </row>
    <row r="119" ht="12.75" hidden="1">
      <c r="C119" t="s">
        <v>1588</v>
      </c>
    </row>
    <row r="120" ht="12.75" hidden="1">
      <c r="C120" t="s">
        <v>1590</v>
      </c>
    </row>
    <row r="121" ht="12.75" hidden="1">
      <c r="C121" t="s">
        <v>1591</v>
      </c>
    </row>
    <row r="122" ht="12.75" hidden="1"/>
    <row r="123" ht="12.75" hidden="1"/>
    <row r="124" ht="12.75" hidden="1"/>
    <row r="125" spans="20:21" ht="12.75" hidden="1">
      <c r="T125" t="s">
        <v>1398</v>
      </c>
      <c r="U125" t="s">
        <v>1375</v>
      </c>
    </row>
    <row r="126" spans="2:21" ht="12.75" hidden="1">
      <c r="B126" t="s">
        <v>1380</v>
      </c>
      <c r="R126" t="s">
        <v>1375</v>
      </c>
      <c r="S126" t="s">
        <v>1398</v>
      </c>
      <c r="T126" t="s">
        <v>1376</v>
      </c>
      <c r="U126" t="s">
        <v>1376</v>
      </c>
    </row>
    <row r="127" spans="1:21" ht="12.75" hidden="1">
      <c r="A127" t="s">
        <v>1379</v>
      </c>
      <c r="C127" t="s">
        <v>1381</v>
      </c>
      <c r="D127" t="s">
        <v>1382</v>
      </c>
      <c r="E127" t="s">
        <v>1383</v>
      </c>
      <c r="F127" t="s">
        <v>1377</v>
      </c>
      <c r="G127" t="s">
        <v>22</v>
      </c>
      <c r="H127" t="s">
        <v>1378</v>
      </c>
      <c r="I127" t="s">
        <v>984</v>
      </c>
      <c r="J127" t="s">
        <v>24</v>
      </c>
      <c r="K127" t="s">
        <v>1246</v>
      </c>
      <c r="R127" t="s">
        <v>1376</v>
      </c>
      <c r="S127" t="s">
        <v>1376</v>
      </c>
      <c r="T127" t="s">
        <v>21</v>
      </c>
      <c r="U127" t="s">
        <v>21</v>
      </c>
    </row>
    <row r="128" spans="1:29" ht="12.75" hidden="1">
      <c r="A128" t="s">
        <v>80</v>
      </c>
      <c r="B128">
        <v>4</v>
      </c>
      <c r="C128" t="s">
        <v>102</v>
      </c>
      <c r="D128" t="s">
        <v>67</v>
      </c>
      <c r="E128">
        <v>56</v>
      </c>
      <c r="K128" t="s">
        <v>727</v>
      </c>
      <c r="R128" t="str">
        <f>(IF(F128="High","High",IF(G128="High","High",IF(H128="High","High",IF(F128="Moderate","Moderate",IF(G128="Moderate","Moderate",IF(H128="Moderate","Moderate","NA")))))))</f>
        <v>NA</v>
      </c>
      <c r="S128" t="str">
        <f>(IF(I128="High","High",IF(J128="High","High",IF(I128="Moderate","Moderate",IF(J128="Moderate","Moderate","NA")))))</f>
        <v>NA</v>
      </c>
      <c r="T128" t="str">
        <f>(IF(I128="High","Runoff",IF(J128="High","Flooding",IF(I128="Moderate","Runoff",IF(J128="Moderate","Flooding","NA")))))</f>
        <v>NA</v>
      </c>
      <c r="U128" t="str">
        <f>(IF(F128="High","Poor Filter",IF(G128="High","Wetness",IF(H128="High","Lateral Flow",IF(F128="Moderate","Poor Filter",IF(G128="Moderate","Wetness",IF(H128="Moderate","Lateral Flow","NA")))))))</f>
        <v>NA</v>
      </c>
      <c r="AB128" s="7"/>
      <c r="AC128" s="7"/>
    </row>
    <row r="129" spans="1:29" ht="12.75" hidden="1">
      <c r="A129" t="s">
        <v>80</v>
      </c>
      <c r="B129">
        <v>6</v>
      </c>
      <c r="C129" t="s">
        <v>103</v>
      </c>
      <c r="D129" t="s">
        <v>68</v>
      </c>
      <c r="E129">
        <v>70</v>
      </c>
      <c r="K129" t="s">
        <v>138</v>
      </c>
      <c r="R129" t="str">
        <f aca="true" t="shared" si="0" ref="R129:R192">(IF(F129="High","High",IF(G129="High","High",IF(H129="High","High",IF(F129="Moderate","Moderate",IF(G129="Moderate","Moderate",IF(H129="Moderate","Moderate","NA")))))))</f>
        <v>NA</v>
      </c>
      <c r="S129" t="str">
        <f aca="true" t="shared" si="1" ref="S129:S192">(IF(I129="High","High",IF(J129="High","High",IF(I129="Moderate","Moderate",IF(J129="Moderate","Moderate","NA")))))</f>
        <v>NA</v>
      </c>
      <c r="T129" t="str">
        <f aca="true" t="shared" si="2" ref="T129:T192">(IF(I129="High","Runoff",IF(J129="High","Flooding",IF(I129="Moderate","Runoff",IF(J129="Moderate","Flooding","NA")))))</f>
        <v>NA</v>
      </c>
      <c r="U129" t="str">
        <f aca="true" t="shared" si="3" ref="U129:U192">(IF(F129="High","Poor Filter",IF(G129="High","Wetness",IF(H129="High","Lateral Flow",IF(F129="Moderate","Poor Filter",IF(G129="Moderate","Wetness",IF(H129="Moderate","Lateral Flow","NA")))))))</f>
        <v>NA</v>
      </c>
      <c r="AB129" s="7"/>
      <c r="AC129" s="7"/>
    </row>
    <row r="130" spans="1:29" ht="12.75" hidden="1">
      <c r="A130" t="s">
        <v>80</v>
      </c>
      <c r="B130" t="s">
        <v>81</v>
      </c>
      <c r="C130" t="s">
        <v>104</v>
      </c>
      <c r="D130" t="s">
        <v>723</v>
      </c>
      <c r="E130">
        <v>65</v>
      </c>
      <c r="H130" t="s">
        <v>1582</v>
      </c>
      <c r="I130" t="s">
        <v>721</v>
      </c>
      <c r="K130" t="s">
        <v>863</v>
      </c>
      <c r="R130" t="str">
        <f t="shared" si="0"/>
        <v>High</v>
      </c>
      <c r="S130" t="str">
        <f t="shared" si="1"/>
        <v>Moderate</v>
      </c>
      <c r="T130" t="str">
        <f t="shared" si="2"/>
        <v>Runoff</v>
      </c>
      <c r="U130" t="str">
        <f t="shared" si="3"/>
        <v>Lateral Flow</v>
      </c>
      <c r="AB130" s="7"/>
      <c r="AC130" s="7"/>
    </row>
    <row r="131" spans="1:29" ht="12.75" hidden="1">
      <c r="A131" t="s">
        <v>80</v>
      </c>
      <c r="B131" t="s">
        <v>82</v>
      </c>
      <c r="C131" t="s">
        <v>105</v>
      </c>
      <c r="D131" t="s">
        <v>723</v>
      </c>
      <c r="E131">
        <v>60</v>
      </c>
      <c r="I131" t="s">
        <v>1582</v>
      </c>
      <c r="K131" t="s">
        <v>863</v>
      </c>
      <c r="R131" t="str">
        <f t="shared" si="0"/>
        <v>NA</v>
      </c>
      <c r="S131" t="str">
        <f t="shared" si="1"/>
        <v>High</v>
      </c>
      <c r="T131" t="str">
        <f t="shared" si="2"/>
        <v>Runoff</v>
      </c>
      <c r="U131" t="str">
        <f t="shared" si="3"/>
        <v>NA</v>
      </c>
      <c r="AB131" s="7"/>
      <c r="AC131" s="7"/>
    </row>
    <row r="132" spans="1:29" ht="12.75" hidden="1">
      <c r="A132" t="s">
        <v>80</v>
      </c>
      <c r="B132" t="s">
        <v>722</v>
      </c>
      <c r="C132" t="s">
        <v>106</v>
      </c>
      <c r="D132" t="s">
        <v>69</v>
      </c>
      <c r="E132">
        <v>46</v>
      </c>
      <c r="I132" t="s">
        <v>1582</v>
      </c>
      <c r="K132" t="s">
        <v>863</v>
      </c>
      <c r="R132" t="str">
        <f t="shared" si="0"/>
        <v>NA</v>
      </c>
      <c r="S132" t="str">
        <f t="shared" si="1"/>
        <v>High</v>
      </c>
      <c r="T132" t="str">
        <f t="shared" si="2"/>
        <v>Runoff</v>
      </c>
      <c r="U132" t="str">
        <f t="shared" si="3"/>
        <v>NA</v>
      </c>
      <c r="AB132" s="7"/>
      <c r="AC132" s="7"/>
    </row>
    <row r="133" spans="1:29" ht="12.75" hidden="1">
      <c r="A133" t="s">
        <v>80</v>
      </c>
      <c r="B133" t="s">
        <v>724</v>
      </c>
      <c r="C133" t="s">
        <v>107</v>
      </c>
      <c r="D133" t="s">
        <v>70</v>
      </c>
      <c r="E133">
        <v>49</v>
      </c>
      <c r="F133" t="s">
        <v>1582</v>
      </c>
      <c r="I133" t="s">
        <v>1582</v>
      </c>
      <c r="K133" t="s">
        <v>139</v>
      </c>
      <c r="R133" t="str">
        <f t="shared" si="0"/>
        <v>High</v>
      </c>
      <c r="S133" t="str">
        <f t="shared" si="1"/>
        <v>High</v>
      </c>
      <c r="T133" t="str">
        <f t="shared" si="2"/>
        <v>Runoff</v>
      </c>
      <c r="U133" t="str">
        <f t="shared" si="3"/>
        <v>Poor Filter</v>
      </c>
      <c r="AB133" s="7"/>
      <c r="AC133" s="7"/>
    </row>
    <row r="134" spans="1:29" ht="12.75" hidden="1">
      <c r="A134" t="s">
        <v>80</v>
      </c>
      <c r="B134">
        <v>12</v>
      </c>
      <c r="C134" t="s">
        <v>108</v>
      </c>
      <c r="D134" t="s">
        <v>71</v>
      </c>
      <c r="E134">
        <v>81</v>
      </c>
      <c r="F134" t="s">
        <v>1582</v>
      </c>
      <c r="K134" t="s">
        <v>139</v>
      </c>
      <c r="R134" t="str">
        <f t="shared" si="0"/>
        <v>High</v>
      </c>
      <c r="S134" t="str">
        <f t="shared" si="1"/>
        <v>NA</v>
      </c>
      <c r="T134" t="str">
        <f t="shared" si="2"/>
        <v>NA</v>
      </c>
      <c r="U134" t="str">
        <f t="shared" si="3"/>
        <v>Poor Filter</v>
      </c>
      <c r="AB134" s="7"/>
      <c r="AC134" s="7"/>
    </row>
    <row r="135" spans="1:29" ht="12.75" hidden="1">
      <c r="A135" t="s">
        <v>80</v>
      </c>
      <c r="B135" t="s">
        <v>83</v>
      </c>
      <c r="C135" t="s">
        <v>109</v>
      </c>
      <c r="D135" t="s">
        <v>72</v>
      </c>
      <c r="E135">
        <v>65</v>
      </c>
      <c r="F135" t="s">
        <v>1582</v>
      </c>
      <c r="I135" t="s">
        <v>1582</v>
      </c>
      <c r="K135" t="s">
        <v>139</v>
      </c>
      <c r="R135" t="str">
        <f t="shared" si="0"/>
        <v>High</v>
      </c>
      <c r="S135" t="str">
        <f t="shared" si="1"/>
        <v>High</v>
      </c>
      <c r="T135" t="str">
        <f t="shared" si="2"/>
        <v>Runoff</v>
      </c>
      <c r="U135" t="str">
        <f t="shared" si="3"/>
        <v>Poor Filter</v>
      </c>
      <c r="AB135" s="7"/>
      <c r="AC135" s="7"/>
    </row>
    <row r="136" spans="1:29" ht="12.75" hidden="1">
      <c r="A136" t="s">
        <v>80</v>
      </c>
      <c r="B136" t="s">
        <v>728</v>
      </c>
      <c r="C136" t="s">
        <v>110</v>
      </c>
      <c r="D136" t="s">
        <v>69</v>
      </c>
      <c r="E136">
        <v>46</v>
      </c>
      <c r="I136" t="s">
        <v>1582</v>
      </c>
      <c r="K136" t="s">
        <v>863</v>
      </c>
      <c r="R136" t="str">
        <f t="shared" si="0"/>
        <v>NA</v>
      </c>
      <c r="S136" t="str">
        <f t="shared" si="1"/>
        <v>High</v>
      </c>
      <c r="T136" t="str">
        <f t="shared" si="2"/>
        <v>Runoff</v>
      </c>
      <c r="U136" t="str">
        <f t="shared" si="3"/>
        <v>NA</v>
      </c>
      <c r="AB136" s="7"/>
      <c r="AC136" s="7"/>
    </row>
    <row r="137" spans="1:29" ht="12.75" hidden="1">
      <c r="A137" t="s">
        <v>80</v>
      </c>
      <c r="B137">
        <v>20</v>
      </c>
      <c r="C137" t="s">
        <v>111</v>
      </c>
      <c r="D137" t="s">
        <v>725</v>
      </c>
      <c r="E137">
        <v>73</v>
      </c>
      <c r="H137" t="s">
        <v>1582</v>
      </c>
      <c r="K137" t="s">
        <v>863</v>
      </c>
      <c r="R137" t="str">
        <f t="shared" si="0"/>
        <v>High</v>
      </c>
      <c r="S137" t="str">
        <f t="shared" si="1"/>
        <v>NA</v>
      </c>
      <c r="T137" t="str">
        <f t="shared" si="2"/>
        <v>NA</v>
      </c>
      <c r="U137" t="str">
        <f t="shared" si="3"/>
        <v>Lateral Flow</v>
      </c>
      <c r="AB137" s="7"/>
      <c r="AC137" s="7"/>
    </row>
    <row r="138" spans="1:29" ht="12.75" hidden="1">
      <c r="A138" t="s">
        <v>80</v>
      </c>
      <c r="B138" t="s">
        <v>729</v>
      </c>
      <c r="C138" t="s">
        <v>112</v>
      </c>
      <c r="D138" t="s">
        <v>725</v>
      </c>
      <c r="E138">
        <v>58</v>
      </c>
      <c r="H138" t="s">
        <v>1582</v>
      </c>
      <c r="K138" t="s">
        <v>863</v>
      </c>
      <c r="R138" t="str">
        <f t="shared" si="0"/>
        <v>High</v>
      </c>
      <c r="S138" t="str">
        <f t="shared" si="1"/>
        <v>NA</v>
      </c>
      <c r="T138" t="str">
        <f t="shared" si="2"/>
        <v>NA</v>
      </c>
      <c r="U138" t="str">
        <f t="shared" si="3"/>
        <v>Lateral Flow</v>
      </c>
      <c r="AB138" s="7"/>
      <c r="AC138" s="7"/>
    </row>
    <row r="139" spans="1:29" ht="12.75" hidden="1">
      <c r="A139" t="s">
        <v>80</v>
      </c>
      <c r="B139" t="s">
        <v>84</v>
      </c>
      <c r="C139" t="s">
        <v>113</v>
      </c>
      <c r="D139" t="s">
        <v>725</v>
      </c>
      <c r="E139">
        <v>51</v>
      </c>
      <c r="H139" t="s">
        <v>1582</v>
      </c>
      <c r="I139" t="s">
        <v>721</v>
      </c>
      <c r="K139" t="s">
        <v>863</v>
      </c>
      <c r="R139" t="str">
        <f t="shared" si="0"/>
        <v>High</v>
      </c>
      <c r="S139" t="str">
        <f t="shared" si="1"/>
        <v>Moderate</v>
      </c>
      <c r="T139" t="str">
        <f t="shared" si="2"/>
        <v>Runoff</v>
      </c>
      <c r="U139" t="str">
        <f t="shared" si="3"/>
        <v>Lateral Flow</v>
      </c>
      <c r="AB139" s="7"/>
      <c r="AC139" s="7"/>
    </row>
    <row r="140" spans="1:29" ht="12.75" hidden="1">
      <c r="A140" t="s">
        <v>80</v>
      </c>
      <c r="B140" t="s">
        <v>1494</v>
      </c>
      <c r="C140" t="s">
        <v>114</v>
      </c>
      <c r="D140" t="s">
        <v>73</v>
      </c>
      <c r="E140">
        <v>88</v>
      </c>
      <c r="I140" t="s">
        <v>721</v>
      </c>
      <c r="K140" t="s">
        <v>863</v>
      </c>
      <c r="R140" t="str">
        <f t="shared" si="0"/>
        <v>NA</v>
      </c>
      <c r="S140" t="str">
        <f t="shared" si="1"/>
        <v>Moderate</v>
      </c>
      <c r="T140" t="str">
        <f t="shared" si="2"/>
        <v>Runoff</v>
      </c>
      <c r="U140" t="str">
        <f t="shared" si="3"/>
        <v>NA</v>
      </c>
      <c r="AB140" s="7"/>
      <c r="AC140" s="7"/>
    </row>
    <row r="141" spans="1:29" ht="12.75" hidden="1">
      <c r="A141" t="s">
        <v>80</v>
      </c>
      <c r="B141" t="s">
        <v>85</v>
      </c>
      <c r="C141" t="s">
        <v>115</v>
      </c>
      <c r="D141" t="s">
        <v>73</v>
      </c>
      <c r="E141">
        <v>73</v>
      </c>
      <c r="I141" t="s">
        <v>1582</v>
      </c>
      <c r="K141" t="s">
        <v>863</v>
      </c>
      <c r="R141" t="str">
        <f t="shared" si="0"/>
        <v>NA</v>
      </c>
      <c r="S141" t="str">
        <f t="shared" si="1"/>
        <v>High</v>
      </c>
      <c r="T141" t="str">
        <f t="shared" si="2"/>
        <v>Runoff</v>
      </c>
      <c r="U141" t="str">
        <f t="shared" si="3"/>
        <v>NA</v>
      </c>
      <c r="AB141" s="7"/>
      <c r="AC141" s="7"/>
    </row>
    <row r="142" spans="1:29" ht="12.75" hidden="1">
      <c r="A142" t="s">
        <v>80</v>
      </c>
      <c r="B142">
        <v>26</v>
      </c>
      <c r="C142" t="s">
        <v>116</v>
      </c>
      <c r="D142" t="s">
        <v>74</v>
      </c>
      <c r="E142">
        <v>90</v>
      </c>
      <c r="G142" t="s">
        <v>721</v>
      </c>
      <c r="K142" t="s">
        <v>734</v>
      </c>
      <c r="R142" t="str">
        <f t="shared" si="0"/>
        <v>Moderate</v>
      </c>
      <c r="S142" t="str">
        <f t="shared" si="1"/>
        <v>NA</v>
      </c>
      <c r="T142" t="str">
        <f t="shared" si="2"/>
        <v>NA</v>
      </c>
      <c r="U142" t="str">
        <f t="shared" si="3"/>
        <v>Wetness</v>
      </c>
      <c r="AB142" s="7"/>
      <c r="AC142" s="7"/>
    </row>
    <row r="143" spans="1:29" ht="12.75" hidden="1">
      <c r="A143" t="s">
        <v>80</v>
      </c>
      <c r="B143" t="s">
        <v>86</v>
      </c>
      <c r="C143" t="s">
        <v>117</v>
      </c>
      <c r="D143" t="s">
        <v>730</v>
      </c>
      <c r="E143">
        <v>71</v>
      </c>
      <c r="I143" t="s">
        <v>1582</v>
      </c>
      <c r="K143" t="s">
        <v>139</v>
      </c>
      <c r="R143" t="str">
        <f t="shared" si="0"/>
        <v>NA</v>
      </c>
      <c r="S143" t="str">
        <f t="shared" si="1"/>
        <v>High</v>
      </c>
      <c r="T143" t="str">
        <f t="shared" si="2"/>
        <v>Runoff</v>
      </c>
      <c r="U143" t="str">
        <f t="shared" si="3"/>
        <v>NA</v>
      </c>
      <c r="AB143" s="7"/>
      <c r="AC143" s="7"/>
    </row>
    <row r="144" spans="1:29" ht="12.75" hidden="1">
      <c r="A144" t="s">
        <v>80</v>
      </c>
      <c r="B144">
        <v>37</v>
      </c>
      <c r="C144" t="s">
        <v>118</v>
      </c>
      <c r="D144" t="s">
        <v>75</v>
      </c>
      <c r="E144">
        <v>72</v>
      </c>
      <c r="K144" t="s">
        <v>863</v>
      </c>
      <c r="R144" t="str">
        <f t="shared" si="0"/>
        <v>NA</v>
      </c>
      <c r="S144" t="str">
        <f t="shared" si="1"/>
        <v>NA</v>
      </c>
      <c r="T144" t="str">
        <f t="shared" si="2"/>
        <v>NA</v>
      </c>
      <c r="U144" t="str">
        <f t="shared" si="3"/>
        <v>NA</v>
      </c>
      <c r="AB144" s="7"/>
      <c r="AC144" s="7"/>
    </row>
    <row r="145" spans="1:29" ht="12.75" hidden="1">
      <c r="A145" t="s">
        <v>80</v>
      </c>
      <c r="B145" t="s">
        <v>87</v>
      </c>
      <c r="C145" t="s">
        <v>119</v>
      </c>
      <c r="D145" t="s">
        <v>75</v>
      </c>
      <c r="E145">
        <v>70</v>
      </c>
      <c r="K145" t="s">
        <v>863</v>
      </c>
      <c r="R145" t="str">
        <f t="shared" si="0"/>
        <v>NA</v>
      </c>
      <c r="S145" t="str">
        <f t="shared" si="1"/>
        <v>NA</v>
      </c>
      <c r="T145" t="str">
        <f t="shared" si="2"/>
        <v>NA</v>
      </c>
      <c r="U145" t="str">
        <f t="shared" si="3"/>
        <v>NA</v>
      </c>
      <c r="AB145" s="7"/>
      <c r="AC145" s="7"/>
    </row>
    <row r="146" spans="1:29" ht="12.75" hidden="1">
      <c r="A146" t="s">
        <v>80</v>
      </c>
      <c r="B146">
        <v>41</v>
      </c>
      <c r="C146" t="s">
        <v>731</v>
      </c>
      <c r="D146" t="s">
        <v>732</v>
      </c>
      <c r="E146">
        <v>57</v>
      </c>
      <c r="K146" t="s">
        <v>863</v>
      </c>
      <c r="R146" t="str">
        <f t="shared" si="0"/>
        <v>NA</v>
      </c>
      <c r="S146" t="str">
        <f t="shared" si="1"/>
        <v>NA</v>
      </c>
      <c r="T146" t="str">
        <f t="shared" si="2"/>
        <v>NA</v>
      </c>
      <c r="U146" t="str">
        <f t="shared" si="3"/>
        <v>NA</v>
      </c>
      <c r="AB146" s="7"/>
      <c r="AC146" s="7"/>
    </row>
    <row r="147" spans="1:29" ht="12.75" hidden="1">
      <c r="A147" t="s">
        <v>80</v>
      </c>
      <c r="B147">
        <v>45</v>
      </c>
      <c r="C147" t="s">
        <v>120</v>
      </c>
      <c r="D147" t="s">
        <v>66</v>
      </c>
      <c r="E147">
        <v>70</v>
      </c>
      <c r="K147" t="s">
        <v>863</v>
      </c>
      <c r="R147" t="str">
        <f t="shared" si="0"/>
        <v>NA</v>
      </c>
      <c r="S147" t="str">
        <f t="shared" si="1"/>
        <v>NA</v>
      </c>
      <c r="T147" t="str">
        <f t="shared" si="2"/>
        <v>NA</v>
      </c>
      <c r="U147" t="str">
        <f t="shared" si="3"/>
        <v>NA</v>
      </c>
      <c r="AB147" s="7"/>
      <c r="AC147" s="7"/>
    </row>
    <row r="148" spans="1:29" ht="12.75" hidden="1">
      <c r="A148" t="s">
        <v>80</v>
      </c>
      <c r="B148">
        <v>46</v>
      </c>
      <c r="C148" t="s">
        <v>121</v>
      </c>
      <c r="D148" t="s">
        <v>76</v>
      </c>
      <c r="E148">
        <v>60</v>
      </c>
      <c r="F148" t="s">
        <v>1582</v>
      </c>
      <c r="K148" t="s">
        <v>863</v>
      </c>
      <c r="R148" t="str">
        <f t="shared" si="0"/>
        <v>High</v>
      </c>
      <c r="S148" t="str">
        <f t="shared" si="1"/>
        <v>NA</v>
      </c>
      <c r="T148" t="str">
        <f t="shared" si="2"/>
        <v>NA</v>
      </c>
      <c r="U148" t="str">
        <f t="shared" si="3"/>
        <v>Poor Filter</v>
      </c>
      <c r="AB148" s="7"/>
      <c r="AC148" s="7"/>
    </row>
    <row r="149" spans="1:29" ht="12.75" hidden="1">
      <c r="A149" t="s">
        <v>80</v>
      </c>
      <c r="B149">
        <v>47</v>
      </c>
      <c r="C149" t="s">
        <v>122</v>
      </c>
      <c r="D149" t="s">
        <v>77</v>
      </c>
      <c r="E149">
        <v>70</v>
      </c>
      <c r="K149" t="s">
        <v>863</v>
      </c>
      <c r="R149" t="str">
        <f t="shared" si="0"/>
        <v>NA</v>
      </c>
      <c r="S149" t="str">
        <f t="shared" si="1"/>
        <v>NA</v>
      </c>
      <c r="T149" t="str">
        <f t="shared" si="2"/>
        <v>NA</v>
      </c>
      <c r="U149" t="str">
        <f t="shared" si="3"/>
        <v>NA</v>
      </c>
      <c r="AB149" s="7"/>
      <c r="AC149" s="7"/>
    </row>
    <row r="150" spans="1:29" ht="12.75" hidden="1">
      <c r="A150" t="s">
        <v>80</v>
      </c>
      <c r="B150" t="s">
        <v>88</v>
      </c>
      <c r="C150" t="s">
        <v>123</v>
      </c>
      <c r="D150" t="s">
        <v>748</v>
      </c>
      <c r="E150">
        <v>68</v>
      </c>
      <c r="K150" t="s">
        <v>863</v>
      </c>
      <c r="R150" t="str">
        <f t="shared" si="0"/>
        <v>NA</v>
      </c>
      <c r="S150" t="str">
        <f t="shared" si="1"/>
        <v>NA</v>
      </c>
      <c r="T150" t="str">
        <f t="shared" si="2"/>
        <v>NA</v>
      </c>
      <c r="U150" t="str">
        <f t="shared" si="3"/>
        <v>NA</v>
      </c>
      <c r="AB150" s="7"/>
      <c r="AC150" s="7"/>
    </row>
    <row r="151" spans="1:29" ht="12.75" hidden="1">
      <c r="A151" t="s">
        <v>80</v>
      </c>
      <c r="B151">
        <v>55</v>
      </c>
      <c r="C151" t="s">
        <v>124</v>
      </c>
      <c r="D151" t="s">
        <v>78</v>
      </c>
      <c r="E151">
        <v>80</v>
      </c>
      <c r="K151" t="s">
        <v>863</v>
      </c>
      <c r="R151" t="str">
        <f t="shared" si="0"/>
        <v>NA</v>
      </c>
      <c r="S151" t="str">
        <f t="shared" si="1"/>
        <v>NA</v>
      </c>
      <c r="T151" t="str">
        <f t="shared" si="2"/>
        <v>NA</v>
      </c>
      <c r="U151" t="str">
        <f t="shared" si="3"/>
        <v>NA</v>
      </c>
      <c r="AB151" s="7"/>
      <c r="AC151" s="7"/>
    </row>
    <row r="152" spans="1:29" ht="12.75" hidden="1">
      <c r="A152" t="s">
        <v>80</v>
      </c>
      <c r="B152" t="s">
        <v>89</v>
      </c>
      <c r="C152" t="s">
        <v>125</v>
      </c>
      <c r="D152" t="s">
        <v>78</v>
      </c>
      <c r="E152">
        <v>76</v>
      </c>
      <c r="K152" t="s">
        <v>863</v>
      </c>
      <c r="R152" t="str">
        <f t="shared" si="0"/>
        <v>NA</v>
      </c>
      <c r="S152" t="str">
        <f t="shared" si="1"/>
        <v>NA</v>
      </c>
      <c r="T152" t="str">
        <f t="shared" si="2"/>
        <v>NA</v>
      </c>
      <c r="U152" t="str">
        <f t="shared" si="3"/>
        <v>NA</v>
      </c>
      <c r="AB152" s="7"/>
      <c r="AC152" s="7"/>
    </row>
    <row r="153" spans="1:29" ht="12.75" hidden="1">
      <c r="A153" t="s">
        <v>80</v>
      </c>
      <c r="B153" t="s">
        <v>90</v>
      </c>
      <c r="C153" t="s">
        <v>126</v>
      </c>
      <c r="D153" t="s">
        <v>735</v>
      </c>
      <c r="E153">
        <v>43</v>
      </c>
      <c r="H153" t="s">
        <v>1582</v>
      </c>
      <c r="I153" t="s">
        <v>721</v>
      </c>
      <c r="K153" t="s">
        <v>863</v>
      </c>
      <c r="R153" t="str">
        <f t="shared" si="0"/>
        <v>High</v>
      </c>
      <c r="S153" t="str">
        <f t="shared" si="1"/>
        <v>Moderate</v>
      </c>
      <c r="T153" t="str">
        <f t="shared" si="2"/>
        <v>Runoff</v>
      </c>
      <c r="U153" t="str">
        <f t="shared" si="3"/>
        <v>Lateral Flow</v>
      </c>
      <c r="AB153" s="7"/>
      <c r="AC153" s="7"/>
    </row>
    <row r="154" spans="1:29" ht="12.75" hidden="1">
      <c r="A154" t="s">
        <v>80</v>
      </c>
      <c r="B154">
        <v>72</v>
      </c>
      <c r="C154" t="s">
        <v>127</v>
      </c>
      <c r="D154" t="s">
        <v>741</v>
      </c>
      <c r="E154">
        <v>64</v>
      </c>
      <c r="F154" t="s">
        <v>1582</v>
      </c>
      <c r="K154" t="s">
        <v>863</v>
      </c>
      <c r="R154" t="str">
        <f t="shared" si="0"/>
        <v>High</v>
      </c>
      <c r="S154" t="str">
        <f t="shared" si="1"/>
        <v>NA</v>
      </c>
      <c r="T154" t="str">
        <f t="shared" si="2"/>
        <v>NA</v>
      </c>
      <c r="U154" t="str">
        <f t="shared" si="3"/>
        <v>Poor Filter</v>
      </c>
      <c r="AB154" s="7"/>
      <c r="AC154" s="7"/>
    </row>
    <row r="155" spans="1:29" ht="12.75" hidden="1">
      <c r="A155" t="s">
        <v>80</v>
      </c>
      <c r="B155" t="s">
        <v>91</v>
      </c>
      <c r="C155" t="s">
        <v>736</v>
      </c>
      <c r="D155" t="s">
        <v>737</v>
      </c>
      <c r="E155">
        <v>70</v>
      </c>
      <c r="H155" t="s">
        <v>1582</v>
      </c>
      <c r="I155" t="s">
        <v>721</v>
      </c>
      <c r="K155" t="s">
        <v>863</v>
      </c>
      <c r="R155" t="str">
        <f t="shared" si="0"/>
        <v>High</v>
      </c>
      <c r="S155" t="str">
        <f t="shared" si="1"/>
        <v>Moderate</v>
      </c>
      <c r="T155" t="str">
        <f t="shared" si="2"/>
        <v>Runoff</v>
      </c>
      <c r="U155" t="str">
        <f t="shared" si="3"/>
        <v>Lateral Flow</v>
      </c>
      <c r="AB155" s="7"/>
      <c r="AC155" s="7"/>
    </row>
    <row r="156" spans="1:29" ht="12.75" hidden="1">
      <c r="A156" t="s">
        <v>80</v>
      </c>
      <c r="B156" t="s">
        <v>745</v>
      </c>
      <c r="C156" t="s">
        <v>128</v>
      </c>
      <c r="D156" t="s">
        <v>79</v>
      </c>
      <c r="E156">
        <v>75</v>
      </c>
      <c r="K156" t="s">
        <v>863</v>
      </c>
      <c r="R156" t="str">
        <f t="shared" si="0"/>
        <v>NA</v>
      </c>
      <c r="S156" t="str">
        <f t="shared" si="1"/>
        <v>NA</v>
      </c>
      <c r="T156" t="str">
        <f t="shared" si="2"/>
        <v>NA</v>
      </c>
      <c r="U156" t="str">
        <f t="shared" si="3"/>
        <v>NA</v>
      </c>
      <c r="AB156" s="7"/>
      <c r="AC156" s="7"/>
    </row>
    <row r="157" spans="1:29" ht="12.75" hidden="1">
      <c r="A157" t="s">
        <v>80</v>
      </c>
      <c r="B157" t="s">
        <v>92</v>
      </c>
      <c r="C157" t="s">
        <v>129</v>
      </c>
      <c r="D157" t="s">
        <v>69</v>
      </c>
      <c r="E157">
        <v>50</v>
      </c>
      <c r="I157" t="s">
        <v>1582</v>
      </c>
      <c r="K157" t="s">
        <v>863</v>
      </c>
      <c r="R157" t="str">
        <f t="shared" si="0"/>
        <v>NA</v>
      </c>
      <c r="S157" t="str">
        <f t="shared" si="1"/>
        <v>High</v>
      </c>
      <c r="T157" t="str">
        <f t="shared" si="2"/>
        <v>Runoff</v>
      </c>
      <c r="U157" t="str">
        <f t="shared" si="3"/>
        <v>NA</v>
      </c>
      <c r="AB157" s="7"/>
      <c r="AC157" s="7"/>
    </row>
    <row r="158" spans="1:29" ht="12.75" hidden="1">
      <c r="A158" t="s">
        <v>80</v>
      </c>
      <c r="B158" t="s">
        <v>93</v>
      </c>
      <c r="C158" t="s">
        <v>130</v>
      </c>
      <c r="D158" t="s">
        <v>726</v>
      </c>
      <c r="E158">
        <v>58</v>
      </c>
      <c r="I158" t="s">
        <v>1582</v>
      </c>
      <c r="K158" t="s">
        <v>863</v>
      </c>
      <c r="R158" t="str">
        <f t="shared" si="0"/>
        <v>NA</v>
      </c>
      <c r="S158" t="str">
        <f t="shared" si="1"/>
        <v>High</v>
      </c>
      <c r="T158" t="str">
        <f t="shared" si="2"/>
        <v>Runoff</v>
      </c>
      <c r="U158" t="str">
        <f t="shared" si="3"/>
        <v>NA</v>
      </c>
      <c r="AB158" s="7"/>
      <c r="AC158" s="7"/>
    </row>
    <row r="159" spans="1:29" ht="12.75" hidden="1">
      <c r="A159" t="s">
        <v>80</v>
      </c>
      <c r="B159">
        <v>84</v>
      </c>
      <c r="C159" t="s">
        <v>131</v>
      </c>
      <c r="D159" t="s">
        <v>733</v>
      </c>
      <c r="E159">
        <v>52</v>
      </c>
      <c r="K159" t="s">
        <v>863</v>
      </c>
      <c r="R159" t="str">
        <f t="shared" si="0"/>
        <v>NA</v>
      </c>
      <c r="S159" t="str">
        <f t="shared" si="1"/>
        <v>NA</v>
      </c>
      <c r="T159" t="str">
        <f t="shared" si="2"/>
        <v>NA</v>
      </c>
      <c r="U159" t="str">
        <f t="shared" si="3"/>
        <v>NA</v>
      </c>
      <c r="AB159" s="7"/>
      <c r="AC159" s="7"/>
    </row>
    <row r="160" spans="1:29" ht="12.75" hidden="1">
      <c r="A160" t="s">
        <v>80</v>
      </c>
      <c r="B160" t="s">
        <v>94</v>
      </c>
      <c r="C160" t="s">
        <v>132</v>
      </c>
      <c r="D160" t="s">
        <v>733</v>
      </c>
      <c r="E160">
        <v>58</v>
      </c>
      <c r="I160" t="s">
        <v>721</v>
      </c>
      <c r="K160" t="s">
        <v>863</v>
      </c>
      <c r="R160" t="str">
        <f t="shared" si="0"/>
        <v>NA</v>
      </c>
      <c r="S160" t="str">
        <f t="shared" si="1"/>
        <v>Moderate</v>
      </c>
      <c r="T160" t="str">
        <f t="shared" si="2"/>
        <v>Runoff</v>
      </c>
      <c r="U160" t="str">
        <f t="shared" si="3"/>
        <v>NA</v>
      </c>
      <c r="AB160" s="7"/>
      <c r="AC160" s="7"/>
    </row>
    <row r="161" spans="1:29" ht="12.75" hidden="1">
      <c r="A161" t="s">
        <v>80</v>
      </c>
      <c r="B161">
        <v>88</v>
      </c>
      <c r="C161" t="s">
        <v>133</v>
      </c>
      <c r="D161" t="s">
        <v>744</v>
      </c>
      <c r="E161">
        <v>66</v>
      </c>
      <c r="H161" t="s">
        <v>1582</v>
      </c>
      <c r="K161" t="s">
        <v>863</v>
      </c>
      <c r="R161" t="str">
        <f t="shared" si="0"/>
        <v>High</v>
      </c>
      <c r="S161" t="str">
        <f t="shared" si="1"/>
        <v>NA</v>
      </c>
      <c r="T161" t="str">
        <f t="shared" si="2"/>
        <v>NA</v>
      </c>
      <c r="U161" t="str">
        <f t="shared" si="3"/>
        <v>Lateral Flow</v>
      </c>
      <c r="AB161" s="7"/>
      <c r="AC161" s="7"/>
    </row>
    <row r="162" spans="1:29" ht="12.75" hidden="1">
      <c r="A162" t="s">
        <v>80</v>
      </c>
      <c r="B162" t="s">
        <v>95</v>
      </c>
      <c r="C162" t="s">
        <v>743</v>
      </c>
      <c r="D162" t="s">
        <v>744</v>
      </c>
      <c r="E162">
        <v>72</v>
      </c>
      <c r="H162" t="s">
        <v>1582</v>
      </c>
      <c r="K162" t="s">
        <v>863</v>
      </c>
      <c r="R162" t="str">
        <f t="shared" si="0"/>
        <v>High</v>
      </c>
      <c r="S162" t="str">
        <f t="shared" si="1"/>
        <v>NA</v>
      </c>
      <c r="T162" t="str">
        <f t="shared" si="2"/>
        <v>NA</v>
      </c>
      <c r="U162" t="str">
        <f t="shared" si="3"/>
        <v>Lateral Flow</v>
      </c>
      <c r="AB162" s="7"/>
      <c r="AC162" s="7"/>
    </row>
    <row r="163" spans="1:29" ht="12.75" hidden="1">
      <c r="A163" t="s">
        <v>80</v>
      </c>
      <c r="B163">
        <v>89</v>
      </c>
      <c r="C163" t="s">
        <v>738</v>
      </c>
      <c r="D163" t="s">
        <v>739</v>
      </c>
      <c r="E163">
        <v>73</v>
      </c>
      <c r="K163" t="s">
        <v>863</v>
      </c>
      <c r="R163" t="str">
        <f t="shared" si="0"/>
        <v>NA</v>
      </c>
      <c r="S163" t="str">
        <f t="shared" si="1"/>
        <v>NA</v>
      </c>
      <c r="T163" t="str">
        <f t="shared" si="2"/>
        <v>NA</v>
      </c>
      <c r="U163" t="str">
        <f t="shared" si="3"/>
        <v>NA</v>
      </c>
      <c r="AB163" s="7"/>
      <c r="AC163" s="7"/>
    </row>
    <row r="164" spans="1:29" ht="12.75" hidden="1">
      <c r="A164" t="s">
        <v>80</v>
      </c>
      <c r="B164" t="s">
        <v>96</v>
      </c>
      <c r="C164" t="s">
        <v>740</v>
      </c>
      <c r="D164" t="s">
        <v>739</v>
      </c>
      <c r="E164">
        <v>45</v>
      </c>
      <c r="K164" t="s">
        <v>863</v>
      </c>
      <c r="R164" t="str">
        <f t="shared" si="0"/>
        <v>NA</v>
      </c>
      <c r="S164" t="str">
        <f t="shared" si="1"/>
        <v>NA</v>
      </c>
      <c r="T164" t="str">
        <f t="shared" si="2"/>
        <v>NA</v>
      </c>
      <c r="U164" t="str">
        <f t="shared" si="3"/>
        <v>NA</v>
      </c>
      <c r="AB164" s="7"/>
      <c r="AC164" s="7"/>
    </row>
    <row r="165" spans="1:29" ht="12.75" hidden="1">
      <c r="A165" t="s">
        <v>80</v>
      </c>
      <c r="B165" t="s">
        <v>97</v>
      </c>
      <c r="C165" t="s">
        <v>134</v>
      </c>
      <c r="D165" t="s">
        <v>746</v>
      </c>
      <c r="E165">
        <v>46</v>
      </c>
      <c r="F165" t="s">
        <v>1582</v>
      </c>
      <c r="H165" t="s">
        <v>1582</v>
      </c>
      <c r="K165" t="s">
        <v>863</v>
      </c>
      <c r="R165" t="str">
        <f t="shared" si="0"/>
        <v>High</v>
      </c>
      <c r="S165" t="str">
        <f t="shared" si="1"/>
        <v>NA</v>
      </c>
      <c r="T165" t="str">
        <f t="shared" si="2"/>
        <v>NA</v>
      </c>
      <c r="U165" t="str">
        <f t="shared" si="3"/>
        <v>Poor Filter</v>
      </c>
      <c r="AB165" s="7"/>
      <c r="AC165" s="7"/>
    </row>
    <row r="166" spans="1:29" ht="12.75" hidden="1">
      <c r="A166" t="s">
        <v>80</v>
      </c>
      <c r="B166" t="s">
        <v>98</v>
      </c>
      <c r="C166" t="s">
        <v>747</v>
      </c>
      <c r="D166" t="s">
        <v>746</v>
      </c>
      <c r="E166">
        <v>53</v>
      </c>
      <c r="F166" t="s">
        <v>1582</v>
      </c>
      <c r="H166" t="s">
        <v>1582</v>
      </c>
      <c r="K166" t="s">
        <v>863</v>
      </c>
      <c r="R166" t="str">
        <f t="shared" si="0"/>
        <v>High</v>
      </c>
      <c r="S166" t="str">
        <f t="shared" si="1"/>
        <v>NA</v>
      </c>
      <c r="T166" t="str">
        <f t="shared" si="2"/>
        <v>NA</v>
      </c>
      <c r="U166" t="str">
        <f t="shared" si="3"/>
        <v>Poor Filter</v>
      </c>
      <c r="AB166" s="7"/>
      <c r="AC166" s="7"/>
    </row>
    <row r="167" spans="1:29" ht="12.75" hidden="1">
      <c r="A167" t="s">
        <v>80</v>
      </c>
      <c r="B167" t="s">
        <v>99</v>
      </c>
      <c r="C167" t="s">
        <v>135</v>
      </c>
      <c r="D167" t="s">
        <v>742</v>
      </c>
      <c r="E167">
        <v>31</v>
      </c>
      <c r="F167" t="s">
        <v>1582</v>
      </c>
      <c r="H167" t="s">
        <v>1582</v>
      </c>
      <c r="K167" t="s">
        <v>139</v>
      </c>
      <c r="R167" t="str">
        <f t="shared" si="0"/>
        <v>High</v>
      </c>
      <c r="S167" t="str">
        <f t="shared" si="1"/>
        <v>NA</v>
      </c>
      <c r="T167" t="str">
        <f t="shared" si="2"/>
        <v>NA</v>
      </c>
      <c r="U167" t="str">
        <f t="shared" si="3"/>
        <v>Poor Filter</v>
      </c>
      <c r="AB167" s="7"/>
      <c r="AC167" s="7"/>
    </row>
    <row r="168" spans="1:29" ht="12.75" hidden="1">
      <c r="A168" t="s">
        <v>80</v>
      </c>
      <c r="B168" t="s">
        <v>99</v>
      </c>
      <c r="C168" t="s">
        <v>135</v>
      </c>
      <c r="D168" t="s">
        <v>730</v>
      </c>
      <c r="E168">
        <v>31</v>
      </c>
      <c r="H168" t="s">
        <v>1582</v>
      </c>
      <c r="K168" t="s">
        <v>139</v>
      </c>
      <c r="R168" t="str">
        <f t="shared" si="0"/>
        <v>High</v>
      </c>
      <c r="S168" t="str">
        <f t="shared" si="1"/>
        <v>NA</v>
      </c>
      <c r="T168" t="str">
        <f t="shared" si="2"/>
        <v>NA</v>
      </c>
      <c r="U168" t="str">
        <f t="shared" si="3"/>
        <v>Lateral Flow</v>
      </c>
      <c r="AB168" s="7"/>
      <c r="AC168" s="7"/>
    </row>
    <row r="169" spans="1:29" ht="12.75" hidden="1">
      <c r="A169" t="s">
        <v>80</v>
      </c>
      <c r="B169" t="s">
        <v>749</v>
      </c>
      <c r="C169" t="s">
        <v>136</v>
      </c>
      <c r="D169" t="s">
        <v>742</v>
      </c>
      <c r="E169">
        <v>49</v>
      </c>
      <c r="F169" t="s">
        <v>1582</v>
      </c>
      <c r="I169" t="s">
        <v>721</v>
      </c>
      <c r="K169" t="s">
        <v>139</v>
      </c>
      <c r="R169" t="str">
        <f t="shared" si="0"/>
        <v>High</v>
      </c>
      <c r="S169" t="str">
        <f t="shared" si="1"/>
        <v>Moderate</v>
      </c>
      <c r="T169" t="str">
        <f t="shared" si="2"/>
        <v>Runoff</v>
      </c>
      <c r="U169" t="str">
        <f t="shared" si="3"/>
        <v>Poor Filter</v>
      </c>
      <c r="AB169" s="7"/>
      <c r="AC169" s="7"/>
    </row>
    <row r="170" spans="1:29" ht="12.75" hidden="1">
      <c r="A170" t="s">
        <v>80</v>
      </c>
      <c r="B170" t="s">
        <v>100</v>
      </c>
      <c r="C170" t="s">
        <v>718</v>
      </c>
      <c r="D170" t="s">
        <v>719</v>
      </c>
      <c r="E170">
        <v>83</v>
      </c>
      <c r="H170" t="s">
        <v>1582</v>
      </c>
      <c r="K170" t="s">
        <v>863</v>
      </c>
      <c r="R170" t="str">
        <f t="shared" si="0"/>
        <v>High</v>
      </c>
      <c r="S170" t="str">
        <f t="shared" si="1"/>
        <v>NA</v>
      </c>
      <c r="T170" t="str">
        <f t="shared" si="2"/>
        <v>NA</v>
      </c>
      <c r="U170" t="str">
        <f t="shared" si="3"/>
        <v>Lateral Flow</v>
      </c>
      <c r="AB170" s="7"/>
      <c r="AC170" s="7"/>
    </row>
    <row r="171" spans="1:29" ht="12.75" hidden="1">
      <c r="A171" t="s">
        <v>80</v>
      </c>
      <c r="B171" t="s">
        <v>101</v>
      </c>
      <c r="C171" t="s">
        <v>720</v>
      </c>
      <c r="D171" t="s">
        <v>719</v>
      </c>
      <c r="E171">
        <v>65</v>
      </c>
      <c r="H171" t="s">
        <v>1582</v>
      </c>
      <c r="I171" t="s">
        <v>721</v>
      </c>
      <c r="K171" t="s">
        <v>863</v>
      </c>
      <c r="R171" t="str">
        <f t="shared" si="0"/>
        <v>High</v>
      </c>
      <c r="S171" t="str">
        <f t="shared" si="1"/>
        <v>Moderate</v>
      </c>
      <c r="T171" t="str">
        <f t="shared" si="2"/>
        <v>Runoff</v>
      </c>
      <c r="U171" t="str">
        <f t="shared" si="3"/>
        <v>Lateral Flow</v>
      </c>
      <c r="AB171" s="7"/>
      <c r="AC171" s="7"/>
    </row>
    <row r="172" spans="1:29" ht="12.75" hidden="1">
      <c r="A172" t="s">
        <v>80</v>
      </c>
      <c r="B172">
        <v>114</v>
      </c>
      <c r="C172" t="s">
        <v>137</v>
      </c>
      <c r="D172" t="s">
        <v>732</v>
      </c>
      <c r="E172">
        <v>40</v>
      </c>
      <c r="K172" t="s">
        <v>863</v>
      </c>
      <c r="R172" t="str">
        <f t="shared" si="0"/>
        <v>NA</v>
      </c>
      <c r="S172" t="str">
        <f t="shared" si="1"/>
        <v>NA</v>
      </c>
      <c r="T172" t="str">
        <f t="shared" si="2"/>
        <v>NA</v>
      </c>
      <c r="U172" t="str">
        <f t="shared" si="3"/>
        <v>NA</v>
      </c>
      <c r="AB172" s="7"/>
      <c r="AC172" s="7"/>
    </row>
    <row r="173" spans="18:21" ht="12.75" hidden="1">
      <c r="R173" t="str">
        <f t="shared" si="0"/>
        <v>NA</v>
      </c>
      <c r="S173" t="str">
        <f t="shared" si="1"/>
        <v>NA</v>
      </c>
      <c r="T173" t="str">
        <f t="shared" si="2"/>
        <v>NA</v>
      </c>
      <c r="U173" t="str">
        <f t="shared" si="3"/>
        <v>NA</v>
      </c>
    </row>
    <row r="174" spans="18:21" ht="12.75" hidden="1">
      <c r="R174" t="str">
        <f t="shared" si="0"/>
        <v>NA</v>
      </c>
      <c r="S174" t="str">
        <f t="shared" si="1"/>
        <v>NA</v>
      </c>
      <c r="T174" t="str">
        <f t="shared" si="2"/>
        <v>NA</v>
      </c>
      <c r="U174" t="str">
        <f t="shared" si="3"/>
        <v>NA</v>
      </c>
    </row>
    <row r="175" spans="18:21" ht="12.75" hidden="1">
      <c r="R175" t="str">
        <f t="shared" si="0"/>
        <v>NA</v>
      </c>
      <c r="S175" t="str">
        <f t="shared" si="1"/>
        <v>NA</v>
      </c>
      <c r="T175" t="str">
        <f t="shared" si="2"/>
        <v>NA</v>
      </c>
      <c r="U175" t="str">
        <f t="shared" si="3"/>
        <v>NA</v>
      </c>
    </row>
    <row r="176" spans="18:21" ht="12.75" hidden="1">
      <c r="R176" t="str">
        <f t="shared" si="0"/>
        <v>NA</v>
      </c>
      <c r="S176" t="str">
        <f t="shared" si="1"/>
        <v>NA</v>
      </c>
      <c r="T176" t="str">
        <f t="shared" si="2"/>
        <v>NA</v>
      </c>
      <c r="U176" t="str">
        <f t="shared" si="3"/>
        <v>NA</v>
      </c>
    </row>
    <row r="177" spans="18:21" ht="12.75" hidden="1">
      <c r="R177" t="str">
        <f t="shared" si="0"/>
        <v>NA</v>
      </c>
      <c r="S177" t="str">
        <f t="shared" si="1"/>
        <v>NA</v>
      </c>
      <c r="T177" t="str">
        <f t="shared" si="2"/>
        <v>NA</v>
      </c>
      <c r="U177" t="str">
        <f t="shared" si="3"/>
        <v>NA</v>
      </c>
    </row>
    <row r="178" spans="18:21" ht="12.75" hidden="1">
      <c r="R178" t="str">
        <f t="shared" si="0"/>
        <v>NA</v>
      </c>
      <c r="S178" t="str">
        <f t="shared" si="1"/>
        <v>NA</v>
      </c>
      <c r="T178" t="str">
        <f t="shared" si="2"/>
        <v>NA</v>
      </c>
      <c r="U178" t="str">
        <f t="shared" si="3"/>
        <v>NA</v>
      </c>
    </row>
    <row r="179" spans="18:21" ht="12.75" hidden="1">
      <c r="R179" t="str">
        <f t="shared" si="0"/>
        <v>NA</v>
      </c>
      <c r="S179" t="str">
        <f t="shared" si="1"/>
        <v>NA</v>
      </c>
      <c r="T179" t="str">
        <f t="shared" si="2"/>
        <v>NA</v>
      </c>
      <c r="U179" t="str">
        <f t="shared" si="3"/>
        <v>NA</v>
      </c>
    </row>
    <row r="180" spans="18:21" ht="12.75" hidden="1">
      <c r="R180" t="str">
        <f t="shared" si="0"/>
        <v>NA</v>
      </c>
      <c r="S180" t="str">
        <f t="shared" si="1"/>
        <v>NA</v>
      </c>
      <c r="T180" t="str">
        <f t="shared" si="2"/>
        <v>NA</v>
      </c>
      <c r="U180" t="str">
        <f t="shared" si="3"/>
        <v>NA</v>
      </c>
    </row>
    <row r="181" spans="18:21" ht="12.75" hidden="1">
      <c r="R181" t="str">
        <f t="shared" si="0"/>
        <v>NA</v>
      </c>
      <c r="S181" t="str">
        <f t="shared" si="1"/>
        <v>NA</v>
      </c>
      <c r="T181" t="str">
        <f t="shared" si="2"/>
        <v>NA</v>
      </c>
      <c r="U181" t="str">
        <f t="shared" si="3"/>
        <v>NA</v>
      </c>
    </row>
    <row r="182" spans="18:21" ht="12.75" hidden="1">
      <c r="R182" t="str">
        <f t="shared" si="0"/>
        <v>NA</v>
      </c>
      <c r="S182" t="str">
        <f t="shared" si="1"/>
        <v>NA</v>
      </c>
      <c r="T182" t="str">
        <f t="shared" si="2"/>
        <v>NA</v>
      </c>
      <c r="U182" t="str">
        <f t="shared" si="3"/>
        <v>NA</v>
      </c>
    </row>
    <row r="183" spans="18:21" ht="12.75" hidden="1">
      <c r="R183" t="str">
        <f t="shared" si="0"/>
        <v>NA</v>
      </c>
      <c r="S183" t="str">
        <f t="shared" si="1"/>
        <v>NA</v>
      </c>
      <c r="T183" t="str">
        <f t="shared" si="2"/>
        <v>NA</v>
      </c>
      <c r="U183" t="str">
        <f t="shared" si="3"/>
        <v>NA</v>
      </c>
    </row>
    <row r="184" spans="18:21" ht="12.75" hidden="1">
      <c r="R184" t="str">
        <f t="shared" si="0"/>
        <v>NA</v>
      </c>
      <c r="S184" t="str">
        <f t="shared" si="1"/>
        <v>NA</v>
      </c>
      <c r="T184" t="str">
        <f t="shared" si="2"/>
        <v>NA</v>
      </c>
      <c r="U184" t="str">
        <f t="shared" si="3"/>
        <v>NA</v>
      </c>
    </row>
    <row r="185" spans="18:21" ht="12.75" hidden="1">
      <c r="R185" t="str">
        <f t="shared" si="0"/>
        <v>NA</v>
      </c>
      <c r="S185" t="str">
        <f t="shared" si="1"/>
        <v>NA</v>
      </c>
      <c r="T185" t="str">
        <f t="shared" si="2"/>
        <v>NA</v>
      </c>
      <c r="U185" t="str">
        <f t="shared" si="3"/>
        <v>NA</v>
      </c>
    </row>
    <row r="186" spans="18:21" ht="12.75" hidden="1">
      <c r="R186" t="str">
        <f t="shared" si="0"/>
        <v>NA</v>
      </c>
      <c r="S186" t="str">
        <f t="shared" si="1"/>
        <v>NA</v>
      </c>
      <c r="T186" t="str">
        <f t="shared" si="2"/>
        <v>NA</v>
      </c>
      <c r="U186" t="str">
        <f t="shared" si="3"/>
        <v>NA</v>
      </c>
    </row>
    <row r="187" spans="18:21" ht="12.75" hidden="1">
      <c r="R187" t="str">
        <f t="shared" si="0"/>
        <v>NA</v>
      </c>
      <c r="S187" t="str">
        <f t="shared" si="1"/>
        <v>NA</v>
      </c>
      <c r="T187" t="str">
        <f t="shared" si="2"/>
        <v>NA</v>
      </c>
      <c r="U187" t="str">
        <f t="shared" si="3"/>
        <v>NA</v>
      </c>
    </row>
    <row r="188" spans="18:21" ht="12.75" hidden="1">
      <c r="R188" t="str">
        <f t="shared" si="0"/>
        <v>NA</v>
      </c>
      <c r="S188" t="str">
        <f t="shared" si="1"/>
        <v>NA</v>
      </c>
      <c r="T188" t="str">
        <f t="shared" si="2"/>
        <v>NA</v>
      </c>
      <c r="U188" t="str">
        <f t="shared" si="3"/>
        <v>NA</v>
      </c>
    </row>
    <row r="189" spans="18:21" ht="12.75" hidden="1">
      <c r="R189" t="str">
        <f t="shared" si="0"/>
        <v>NA</v>
      </c>
      <c r="S189" t="str">
        <f t="shared" si="1"/>
        <v>NA</v>
      </c>
      <c r="T189" t="str">
        <f t="shared" si="2"/>
        <v>NA</v>
      </c>
      <c r="U189" t="str">
        <f t="shared" si="3"/>
        <v>NA</v>
      </c>
    </row>
    <row r="190" spans="18:21" ht="12.75" hidden="1">
      <c r="R190" t="str">
        <f t="shared" si="0"/>
        <v>NA</v>
      </c>
      <c r="S190" t="str">
        <f t="shared" si="1"/>
        <v>NA</v>
      </c>
      <c r="T190" t="str">
        <f t="shared" si="2"/>
        <v>NA</v>
      </c>
      <c r="U190" t="str">
        <f t="shared" si="3"/>
        <v>NA</v>
      </c>
    </row>
    <row r="191" spans="18:21" ht="12.75" hidden="1">
      <c r="R191" t="str">
        <f t="shared" si="0"/>
        <v>NA</v>
      </c>
      <c r="S191" t="str">
        <f t="shared" si="1"/>
        <v>NA</v>
      </c>
      <c r="T191" t="str">
        <f t="shared" si="2"/>
        <v>NA</v>
      </c>
      <c r="U191" t="str">
        <f t="shared" si="3"/>
        <v>NA</v>
      </c>
    </row>
    <row r="192" spans="18:21" ht="12.75" hidden="1">
      <c r="R192" t="str">
        <f t="shared" si="0"/>
        <v>NA</v>
      </c>
      <c r="S192" t="str">
        <f t="shared" si="1"/>
        <v>NA</v>
      </c>
      <c r="T192" t="str">
        <f t="shared" si="2"/>
        <v>NA</v>
      </c>
      <c r="U192" t="str">
        <f t="shared" si="3"/>
        <v>NA</v>
      </c>
    </row>
    <row r="193" spans="18:21" ht="12.75" hidden="1">
      <c r="R193" t="str">
        <f aca="true" t="shared" si="4" ref="R193:R256">(IF(F193="High","High",IF(G193="High","High",IF(H193="High","High",IF(F193="Moderate","Moderate",IF(G193="Moderate","Moderate",IF(H193="Moderate","Moderate","NA")))))))</f>
        <v>NA</v>
      </c>
      <c r="S193" t="str">
        <f aca="true" t="shared" si="5" ref="S193:S256">(IF(I193="High","High",IF(J193="High","High",IF(I193="Moderate","Moderate",IF(J193="Moderate","Moderate","NA")))))</f>
        <v>NA</v>
      </c>
      <c r="T193" t="str">
        <f aca="true" t="shared" si="6" ref="T193:T256">(IF(I193="High","Runoff",IF(J193="High","Flooding",IF(I193="Moderate","Runoff",IF(J193="Moderate","Flooding","NA")))))</f>
        <v>NA</v>
      </c>
      <c r="U193" t="str">
        <f aca="true" t="shared" si="7" ref="U193:U256">(IF(F193="High","Poor Filter",IF(G193="High","Wetness",IF(H193="High","Lateral Flow",IF(F193="Moderate","Poor Filter",IF(G193="Moderate","Wetness",IF(H193="Moderate","Lateral Flow","NA")))))))</f>
        <v>NA</v>
      </c>
    </row>
    <row r="194" spans="18:21" ht="12.75" hidden="1">
      <c r="R194" t="str">
        <f t="shared" si="4"/>
        <v>NA</v>
      </c>
      <c r="S194" t="str">
        <f t="shared" si="5"/>
        <v>NA</v>
      </c>
      <c r="T194" t="str">
        <f t="shared" si="6"/>
        <v>NA</v>
      </c>
      <c r="U194" t="str">
        <f t="shared" si="7"/>
        <v>NA</v>
      </c>
    </row>
    <row r="195" spans="18:21" ht="12.75" hidden="1">
      <c r="R195" t="str">
        <f t="shared" si="4"/>
        <v>NA</v>
      </c>
      <c r="S195" t="str">
        <f t="shared" si="5"/>
        <v>NA</v>
      </c>
      <c r="T195" t="str">
        <f t="shared" si="6"/>
        <v>NA</v>
      </c>
      <c r="U195" t="str">
        <f t="shared" si="7"/>
        <v>NA</v>
      </c>
    </row>
    <row r="196" spans="18:21" ht="12.75" hidden="1">
      <c r="R196" t="str">
        <f t="shared" si="4"/>
        <v>NA</v>
      </c>
      <c r="S196" t="str">
        <f t="shared" si="5"/>
        <v>NA</v>
      </c>
      <c r="T196" t="str">
        <f t="shared" si="6"/>
        <v>NA</v>
      </c>
      <c r="U196" t="str">
        <f t="shared" si="7"/>
        <v>NA</v>
      </c>
    </row>
    <row r="197" spans="18:21" ht="12.75" hidden="1">
      <c r="R197" t="str">
        <f t="shared" si="4"/>
        <v>NA</v>
      </c>
      <c r="S197" t="str">
        <f t="shared" si="5"/>
        <v>NA</v>
      </c>
      <c r="T197" t="str">
        <f t="shared" si="6"/>
        <v>NA</v>
      </c>
      <c r="U197" t="str">
        <f t="shared" si="7"/>
        <v>NA</v>
      </c>
    </row>
    <row r="198" spans="18:21" ht="12.75" hidden="1">
      <c r="R198" t="str">
        <f t="shared" si="4"/>
        <v>NA</v>
      </c>
      <c r="S198" t="str">
        <f t="shared" si="5"/>
        <v>NA</v>
      </c>
      <c r="T198" t="str">
        <f t="shared" si="6"/>
        <v>NA</v>
      </c>
      <c r="U198" t="str">
        <f t="shared" si="7"/>
        <v>NA</v>
      </c>
    </row>
    <row r="199" spans="18:21" ht="12.75" hidden="1">
      <c r="R199" t="str">
        <f t="shared" si="4"/>
        <v>NA</v>
      </c>
      <c r="S199" t="str">
        <f t="shared" si="5"/>
        <v>NA</v>
      </c>
      <c r="T199" t="str">
        <f t="shared" si="6"/>
        <v>NA</v>
      </c>
      <c r="U199" t="str">
        <f t="shared" si="7"/>
        <v>NA</v>
      </c>
    </row>
    <row r="200" spans="18:21" ht="12.75" hidden="1">
      <c r="R200" t="str">
        <f t="shared" si="4"/>
        <v>NA</v>
      </c>
      <c r="S200" t="str">
        <f t="shared" si="5"/>
        <v>NA</v>
      </c>
      <c r="T200" t="str">
        <f t="shared" si="6"/>
        <v>NA</v>
      </c>
      <c r="U200" t="str">
        <f t="shared" si="7"/>
        <v>NA</v>
      </c>
    </row>
    <row r="201" spans="18:21" ht="12.75">
      <c r="R201" t="str">
        <f t="shared" si="4"/>
        <v>NA</v>
      </c>
      <c r="S201" t="str">
        <f t="shared" si="5"/>
        <v>NA</v>
      </c>
      <c r="T201" t="str">
        <f t="shared" si="6"/>
        <v>NA</v>
      </c>
      <c r="U201" t="str">
        <f t="shared" si="7"/>
        <v>NA</v>
      </c>
    </row>
    <row r="202" spans="18:21" ht="12.75">
      <c r="R202" t="str">
        <f t="shared" si="4"/>
        <v>NA</v>
      </c>
      <c r="S202" t="str">
        <f t="shared" si="5"/>
        <v>NA</v>
      </c>
      <c r="T202" t="str">
        <f t="shared" si="6"/>
        <v>NA</v>
      </c>
      <c r="U202" t="str">
        <f t="shared" si="7"/>
        <v>NA</v>
      </c>
    </row>
    <row r="203" spans="18:21" ht="12.75">
      <c r="R203" t="str">
        <f t="shared" si="4"/>
        <v>NA</v>
      </c>
      <c r="S203" t="str">
        <f t="shared" si="5"/>
        <v>NA</v>
      </c>
      <c r="T203" t="str">
        <f t="shared" si="6"/>
        <v>NA</v>
      </c>
      <c r="U203" t="str">
        <f t="shared" si="7"/>
        <v>NA</v>
      </c>
    </row>
    <row r="204" spans="18:21" ht="12.75">
      <c r="R204" t="str">
        <f t="shared" si="4"/>
        <v>NA</v>
      </c>
      <c r="S204" t="str">
        <f t="shared" si="5"/>
        <v>NA</v>
      </c>
      <c r="T204" t="str">
        <f t="shared" si="6"/>
        <v>NA</v>
      </c>
      <c r="U204" t="str">
        <f t="shared" si="7"/>
        <v>NA</v>
      </c>
    </row>
    <row r="205" spans="18:21" ht="12.75">
      <c r="R205" t="str">
        <f t="shared" si="4"/>
        <v>NA</v>
      </c>
      <c r="S205" t="str">
        <f t="shared" si="5"/>
        <v>NA</v>
      </c>
      <c r="T205" t="str">
        <f t="shared" si="6"/>
        <v>NA</v>
      </c>
      <c r="U205" t="str">
        <f t="shared" si="7"/>
        <v>NA</v>
      </c>
    </row>
    <row r="206" spans="18:21" ht="12.75">
      <c r="R206" t="str">
        <f t="shared" si="4"/>
        <v>NA</v>
      </c>
      <c r="S206" t="str">
        <f t="shared" si="5"/>
        <v>NA</v>
      </c>
      <c r="T206" t="str">
        <f t="shared" si="6"/>
        <v>NA</v>
      </c>
      <c r="U206" t="str">
        <f t="shared" si="7"/>
        <v>NA</v>
      </c>
    </row>
    <row r="207" spans="18:21" ht="12.75">
      <c r="R207" t="str">
        <f t="shared" si="4"/>
        <v>NA</v>
      </c>
      <c r="S207" t="str">
        <f t="shared" si="5"/>
        <v>NA</v>
      </c>
      <c r="T207" t="str">
        <f t="shared" si="6"/>
        <v>NA</v>
      </c>
      <c r="U207" t="str">
        <f t="shared" si="7"/>
        <v>NA</v>
      </c>
    </row>
    <row r="208" spans="18:21" ht="12.75">
      <c r="R208" t="str">
        <f t="shared" si="4"/>
        <v>NA</v>
      </c>
      <c r="S208" t="str">
        <f t="shared" si="5"/>
        <v>NA</v>
      </c>
      <c r="T208" t="str">
        <f t="shared" si="6"/>
        <v>NA</v>
      </c>
      <c r="U208" t="str">
        <f t="shared" si="7"/>
        <v>NA</v>
      </c>
    </row>
    <row r="209" spans="18:21" ht="12.75">
      <c r="R209" t="str">
        <f t="shared" si="4"/>
        <v>NA</v>
      </c>
      <c r="S209" t="str">
        <f t="shared" si="5"/>
        <v>NA</v>
      </c>
      <c r="T209" t="str">
        <f t="shared" si="6"/>
        <v>NA</v>
      </c>
      <c r="U209" t="str">
        <f t="shared" si="7"/>
        <v>NA</v>
      </c>
    </row>
    <row r="210" spans="18:21" ht="12.75">
      <c r="R210" t="str">
        <f t="shared" si="4"/>
        <v>NA</v>
      </c>
      <c r="S210" t="str">
        <f t="shared" si="5"/>
        <v>NA</v>
      </c>
      <c r="T210" t="str">
        <f t="shared" si="6"/>
        <v>NA</v>
      </c>
      <c r="U210" t="str">
        <f t="shared" si="7"/>
        <v>NA</v>
      </c>
    </row>
    <row r="211" spans="18:21" ht="12.75">
      <c r="R211" t="str">
        <f t="shared" si="4"/>
        <v>NA</v>
      </c>
      <c r="S211" t="str">
        <f t="shared" si="5"/>
        <v>NA</v>
      </c>
      <c r="T211" t="str">
        <f t="shared" si="6"/>
        <v>NA</v>
      </c>
      <c r="U211" t="str">
        <f t="shared" si="7"/>
        <v>NA</v>
      </c>
    </row>
    <row r="212" spans="18:21" ht="12.75">
      <c r="R212" t="str">
        <f t="shared" si="4"/>
        <v>NA</v>
      </c>
      <c r="S212" t="str">
        <f t="shared" si="5"/>
        <v>NA</v>
      </c>
      <c r="T212" t="str">
        <f t="shared" si="6"/>
        <v>NA</v>
      </c>
      <c r="U212" t="str">
        <f t="shared" si="7"/>
        <v>NA</v>
      </c>
    </row>
    <row r="213" spans="18:21" ht="12.75">
      <c r="R213" t="str">
        <f t="shared" si="4"/>
        <v>NA</v>
      </c>
      <c r="S213" t="str">
        <f t="shared" si="5"/>
        <v>NA</v>
      </c>
      <c r="T213" t="str">
        <f t="shared" si="6"/>
        <v>NA</v>
      </c>
      <c r="U213" t="str">
        <f t="shared" si="7"/>
        <v>NA</v>
      </c>
    </row>
    <row r="214" spans="18:21" ht="12.75">
      <c r="R214" t="str">
        <f t="shared" si="4"/>
        <v>NA</v>
      </c>
      <c r="S214" t="str">
        <f t="shared" si="5"/>
        <v>NA</v>
      </c>
      <c r="T214" t="str">
        <f t="shared" si="6"/>
        <v>NA</v>
      </c>
      <c r="U214" t="str">
        <f t="shared" si="7"/>
        <v>NA</v>
      </c>
    </row>
    <row r="215" spans="18:21" ht="12.75">
      <c r="R215" t="str">
        <f t="shared" si="4"/>
        <v>NA</v>
      </c>
      <c r="S215" t="str">
        <f t="shared" si="5"/>
        <v>NA</v>
      </c>
      <c r="T215" t="str">
        <f t="shared" si="6"/>
        <v>NA</v>
      </c>
      <c r="U215" t="str">
        <f t="shared" si="7"/>
        <v>NA</v>
      </c>
    </row>
    <row r="216" spans="18:21" ht="12.75">
      <c r="R216" t="str">
        <f t="shared" si="4"/>
        <v>NA</v>
      </c>
      <c r="S216" t="str">
        <f t="shared" si="5"/>
        <v>NA</v>
      </c>
      <c r="T216" t="str">
        <f t="shared" si="6"/>
        <v>NA</v>
      </c>
      <c r="U216" t="str">
        <f t="shared" si="7"/>
        <v>NA</v>
      </c>
    </row>
    <row r="217" spans="18:21" ht="12.75">
      <c r="R217" t="str">
        <f t="shared" si="4"/>
        <v>NA</v>
      </c>
      <c r="S217" t="str">
        <f t="shared" si="5"/>
        <v>NA</v>
      </c>
      <c r="T217" t="str">
        <f t="shared" si="6"/>
        <v>NA</v>
      </c>
      <c r="U217" t="str">
        <f t="shared" si="7"/>
        <v>NA</v>
      </c>
    </row>
    <row r="218" spans="18:21" ht="12.75">
      <c r="R218" t="str">
        <f t="shared" si="4"/>
        <v>NA</v>
      </c>
      <c r="S218" t="str">
        <f t="shared" si="5"/>
        <v>NA</v>
      </c>
      <c r="T218" t="str">
        <f t="shared" si="6"/>
        <v>NA</v>
      </c>
      <c r="U218" t="str">
        <f t="shared" si="7"/>
        <v>NA</v>
      </c>
    </row>
    <row r="219" spans="18:21" ht="12.75">
      <c r="R219" t="str">
        <f t="shared" si="4"/>
        <v>NA</v>
      </c>
      <c r="S219" t="str">
        <f t="shared" si="5"/>
        <v>NA</v>
      </c>
      <c r="T219" t="str">
        <f t="shared" si="6"/>
        <v>NA</v>
      </c>
      <c r="U219" t="str">
        <f t="shared" si="7"/>
        <v>NA</v>
      </c>
    </row>
    <row r="220" spans="18:21" ht="12.75">
      <c r="R220" t="str">
        <f t="shared" si="4"/>
        <v>NA</v>
      </c>
      <c r="S220" t="str">
        <f t="shared" si="5"/>
        <v>NA</v>
      </c>
      <c r="T220" t="str">
        <f t="shared" si="6"/>
        <v>NA</v>
      </c>
      <c r="U220" t="str">
        <f t="shared" si="7"/>
        <v>NA</v>
      </c>
    </row>
    <row r="221" spans="18:21" ht="12.75">
      <c r="R221" t="str">
        <f t="shared" si="4"/>
        <v>NA</v>
      </c>
      <c r="S221" t="str">
        <f t="shared" si="5"/>
        <v>NA</v>
      </c>
      <c r="T221" t="str">
        <f t="shared" si="6"/>
        <v>NA</v>
      </c>
      <c r="U221" t="str">
        <f t="shared" si="7"/>
        <v>NA</v>
      </c>
    </row>
    <row r="222" spans="18:21" ht="12.75">
      <c r="R222" t="str">
        <f t="shared" si="4"/>
        <v>NA</v>
      </c>
      <c r="S222" t="str">
        <f t="shared" si="5"/>
        <v>NA</v>
      </c>
      <c r="T222" t="str">
        <f t="shared" si="6"/>
        <v>NA</v>
      </c>
      <c r="U222" t="str">
        <f t="shared" si="7"/>
        <v>NA</v>
      </c>
    </row>
    <row r="223" spans="18:21" ht="12.75">
      <c r="R223" t="str">
        <f t="shared" si="4"/>
        <v>NA</v>
      </c>
      <c r="S223" t="str">
        <f t="shared" si="5"/>
        <v>NA</v>
      </c>
      <c r="T223" t="str">
        <f t="shared" si="6"/>
        <v>NA</v>
      </c>
      <c r="U223" t="str">
        <f t="shared" si="7"/>
        <v>NA</v>
      </c>
    </row>
    <row r="224" spans="18:21" ht="12.75">
      <c r="R224" t="str">
        <f t="shared" si="4"/>
        <v>NA</v>
      </c>
      <c r="S224" t="str">
        <f t="shared" si="5"/>
        <v>NA</v>
      </c>
      <c r="T224" t="str">
        <f t="shared" si="6"/>
        <v>NA</v>
      </c>
      <c r="U224" t="str">
        <f t="shared" si="7"/>
        <v>NA</v>
      </c>
    </row>
    <row r="225" spans="18:21" ht="12.75">
      <c r="R225" t="str">
        <f t="shared" si="4"/>
        <v>NA</v>
      </c>
      <c r="S225" t="str">
        <f t="shared" si="5"/>
        <v>NA</v>
      </c>
      <c r="T225" t="str">
        <f t="shared" si="6"/>
        <v>NA</v>
      </c>
      <c r="U225" t="str">
        <f t="shared" si="7"/>
        <v>NA</v>
      </c>
    </row>
    <row r="226" spans="18:21" ht="12.75">
      <c r="R226" t="str">
        <f t="shared" si="4"/>
        <v>NA</v>
      </c>
      <c r="S226" t="str">
        <f t="shared" si="5"/>
        <v>NA</v>
      </c>
      <c r="T226" t="str">
        <f t="shared" si="6"/>
        <v>NA</v>
      </c>
      <c r="U226" t="str">
        <f t="shared" si="7"/>
        <v>NA</v>
      </c>
    </row>
    <row r="227" spans="18:21" ht="12.75">
      <c r="R227" t="str">
        <f t="shared" si="4"/>
        <v>NA</v>
      </c>
      <c r="S227" t="str">
        <f t="shared" si="5"/>
        <v>NA</v>
      </c>
      <c r="T227" t="str">
        <f t="shared" si="6"/>
        <v>NA</v>
      </c>
      <c r="U227" t="str">
        <f t="shared" si="7"/>
        <v>NA</v>
      </c>
    </row>
    <row r="228" spans="18:21" ht="12.75">
      <c r="R228" t="str">
        <f t="shared" si="4"/>
        <v>NA</v>
      </c>
      <c r="S228" t="str">
        <f t="shared" si="5"/>
        <v>NA</v>
      </c>
      <c r="T228" t="str">
        <f t="shared" si="6"/>
        <v>NA</v>
      </c>
      <c r="U228" t="str">
        <f t="shared" si="7"/>
        <v>NA</v>
      </c>
    </row>
    <row r="229" spans="18:21" ht="12.75">
      <c r="R229" t="str">
        <f t="shared" si="4"/>
        <v>NA</v>
      </c>
      <c r="S229" t="str">
        <f t="shared" si="5"/>
        <v>NA</v>
      </c>
      <c r="T229" t="str">
        <f t="shared" si="6"/>
        <v>NA</v>
      </c>
      <c r="U229" t="str">
        <f t="shared" si="7"/>
        <v>NA</v>
      </c>
    </row>
    <row r="230" spans="18:21" ht="12.75">
      <c r="R230" t="str">
        <f t="shared" si="4"/>
        <v>NA</v>
      </c>
      <c r="S230" t="str">
        <f t="shared" si="5"/>
        <v>NA</v>
      </c>
      <c r="T230" t="str">
        <f t="shared" si="6"/>
        <v>NA</v>
      </c>
      <c r="U230" t="str">
        <f t="shared" si="7"/>
        <v>NA</v>
      </c>
    </row>
    <row r="231" spans="18:21" ht="12.75">
      <c r="R231" t="str">
        <f t="shared" si="4"/>
        <v>NA</v>
      </c>
      <c r="S231" t="str">
        <f t="shared" si="5"/>
        <v>NA</v>
      </c>
      <c r="T231" t="str">
        <f t="shared" si="6"/>
        <v>NA</v>
      </c>
      <c r="U231" t="str">
        <f t="shared" si="7"/>
        <v>NA</v>
      </c>
    </row>
    <row r="232" spans="18:21" ht="12.75">
      <c r="R232" t="str">
        <f t="shared" si="4"/>
        <v>NA</v>
      </c>
      <c r="S232" t="str">
        <f t="shared" si="5"/>
        <v>NA</v>
      </c>
      <c r="T232" t="str">
        <f t="shared" si="6"/>
        <v>NA</v>
      </c>
      <c r="U232" t="str">
        <f t="shared" si="7"/>
        <v>NA</v>
      </c>
    </row>
    <row r="233" spans="18:21" ht="12.75">
      <c r="R233" t="str">
        <f t="shared" si="4"/>
        <v>NA</v>
      </c>
      <c r="S233" t="str">
        <f t="shared" si="5"/>
        <v>NA</v>
      </c>
      <c r="T233" t="str">
        <f t="shared" si="6"/>
        <v>NA</v>
      </c>
      <c r="U233" t="str">
        <f t="shared" si="7"/>
        <v>NA</v>
      </c>
    </row>
    <row r="234" spans="18:21" ht="12.75">
      <c r="R234" t="str">
        <f t="shared" si="4"/>
        <v>NA</v>
      </c>
      <c r="S234" t="str">
        <f t="shared" si="5"/>
        <v>NA</v>
      </c>
      <c r="T234" t="str">
        <f t="shared" si="6"/>
        <v>NA</v>
      </c>
      <c r="U234" t="str">
        <f t="shared" si="7"/>
        <v>NA</v>
      </c>
    </row>
    <row r="235" spans="18:21" ht="12.75">
      <c r="R235" t="str">
        <f t="shared" si="4"/>
        <v>NA</v>
      </c>
      <c r="S235" t="str">
        <f t="shared" si="5"/>
        <v>NA</v>
      </c>
      <c r="T235" t="str">
        <f t="shared" si="6"/>
        <v>NA</v>
      </c>
      <c r="U235" t="str">
        <f t="shared" si="7"/>
        <v>NA</v>
      </c>
    </row>
    <row r="236" spans="18:21" ht="12.75">
      <c r="R236" t="str">
        <f t="shared" si="4"/>
        <v>NA</v>
      </c>
      <c r="S236" t="str">
        <f t="shared" si="5"/>
        <v>NA</v>
      </c>
      <c r="T236" t="str">
        <f t="shared" si="6"/>
        <v>NA</v>
      </c>
      <c r="U236" t="str">
        <f t="shared" si="7"/>
        <v>NA</v>
      </c>
    </row>
    <row r="237" spans="18:21" ht="12.75">
      <c r="R237" t="str">
        <f t="shared" si="4"/>
        <v>NA</v>
      </c>
      <c r="S237" t="str">
        <f t="shared" si="5"/>
        <v>NA</v>
      </c>
      <c r="T237" t="str">
        <f t="shared" si="6"/>
        <v>NA</v>
      </c>
      <c r="U237" t="str">
        <f t="shared" si="7"/>
        <v>NA</v>
      </c>
    </row>
    <row r="238" spans="18:21" ht="12.75">
      <c r="R238" t="str">
        <f t="shared" si="4"/>
        <v>NA</v>
      </c>
      <c r="S238" t="str">
        <f t="shared" si="5"/>
        <v>NA</v>
      </c>
      <c r="T238" t="str">
        <f t="shared" si="6"/>
        <v>NA</v>
      </c>
      <c r="U238" t="str">
        <f t="shared" si="7"/>
        <v>NA</v>
      </c>
    </row>
    <row r="239" spans="18:21" ht="12.75">
      <c r="R239" t="str">
        <f t="shared" si="4"/>
        <v>NA</v>
      </c>
      <c r="S239" t="str">
        <f t="shared" si="5"/>
        <v>NA</v>
      </c>
      <c r="T239" t="str">
        <f t="shared" si="6"/>
        <v>NA</v>
      </c>
      <c r="U239" t="str">
        <f t="shared" si="7"/>
        <v>NA</v>
      </c>
    </row>
    <row r="240" spans="18:21" ht="12.75">
      <c r="R240" t="str">
        <f t="shared" si="4"/>
        <v>NA</v>
      </c>
      <c r="S240" t="str">
        <f t="shared" si="5"/>
        <v>NA</v>
      </c>
      <c r="T240" t="str">
        <f t="shared" si="6"/>
        <v>NA</v>
      </c>
      <c r="U240" t="str">
        <f t="shared" si="7"/>
        <v>NA</v>
      </c>
    </row>
    <row r="241" spans="18:21" ht="12.75">
      <c r="R241" t="str">
        <f t="shared" si="4"/>
        <v>NA</v>
      </c>
      <c r="S241" t="str">
        <f t="shared" si="5"/>
        <v>NA</v>
      </c>
      <c r="T241" t="str">
        <f t="shared" si="6"/>
        <v>NA</v>
      </c>
      <c r="U241" t="str">
        <f t="shared" si="7"/>
        <v>NA</v>
      </c>
    </row>
    <row r="242" spans="18:21" ht="12.75">
      <c r="R242" t="str">
        <f t="shared" si="4"/>
        <v>NA</v>
      </c>
      <c r="S242" t="str">
        <f t="shared" si="5"/>
        <v>NA</v>
      </c>
      <c r="T242" t="str">
        <f t="shared" si="6"/>
        <v>NA</v>
      </c>
      <c r="U242" t="str">
        <f t="shared" si="7"/>
        <v>NA</v>
      </c>
    </row>
    <row r="243" spans="18:21" ht="12.75">
      <c r="R243" t="str">
        <f t="shared" si="4"/>
        <v>NA</v>
      </c>
      <c r="S243" t="str">
        <f t="shared" si="5"/>
        <v>NA</v>
      </c>
      <c r="T243" t="str">
        <f t="shared" si="6"/>
        <v>NA</v>
      </c>
      <c r="U243" t="str">
        <f t="shared" si="7"/>
        <v>NA</v>
      </c>
    </row>
    <row r="244" spans="18:21" ht="12.75">
      <c r="R244" t="str">
        <f t="shared" si="4"/>
        <v>NA</v>
      </c>
      <c r="S244" t="str">
        <f t="shared" si="5"/>
        <v>NA</v>
      </c>
      <c r="T244" t="str">
        <f t="shared" si="6"/>
        <v>NA</v>
      </c>
      <c r="U244" t="str">
        <f t="shared" si="7"/>
        <v>NA</v>
      </c>
    </row>
    <row r="245" spans="18:21" ht="12.75">
      <c r="R245" t="str">
        <f t="shared" si="4"/>
        <v>NA</v>
      </c>
      <c r="S245" t="str">
        <f t="shared" si="5"/>
        <v>NA</v>
      </c>
      <c r="T245" t="str">
        <f t="shared" si="6"/>
        <v>NA</v>
      </c>
      <c r="U245" t="str">
        <f t="shared" si="7"/>
        <v>NA</v>
      </c>
    </row>
    <row r="246" spans="18:21" ht="12.75">
      <c r="R246" t="str">
        <f t="shared" si="4"/>
        <v>NA</v>
      </c>
      <c r="S246" t="str">
        <f t="shared" si="5"/>
        <v>NA</v>
      </c>
      <c r="T246" t="str">
        <f t="shared" si="6"/>
        <v>NA</v>
      </c>
      <c r="U246" t="str">
        <f t="shared" si="7"/>
        <v>NA</v>
      </c>
    </row>
    <row r="247" spans="2:21" ht="12.75">
      <c r="B247" s="7"/>
      <c r="C247" s="7"/>
      <c r="R247" t="str">
        <f t="shared" si="4"/>
        <v>NA</v>
      </c>
      <c r="S247" t="str">
        <f t="shared" si="5"/>
        <v>NA</v>
      </c>
      <c r="T247" t="str">
        <f t="shared" si="6"/>
        <v>NA</v>
      </c>
      <c r="U247" t="str">
        <f t="shared" si="7"/>
        <v>NA</v>
      </c>
    </row>
    <row r="248" spans="2:21" ht="12.75">
      <c r="B248" s="7"/>
      <c r="C248" s="7"/>
      <c r="R248" t="str">
        <f t="shared" si="4"/>
        <v>NA</v>
      </c>
      <c r="S248" t="str">
        <f t="shared" si="5"/>
        <v>NA</v>
      </c>
      <c r="T248" t="str">
        <f t="shared" si="6"/>
        <v>NA</v>
      </c>
      <c r="U248" t="str">
        <f t="shared" si="7"/>
        <v>NA</v>
      </c>
    </row>
    <row r="249" spans="2:21" ht="12.75">
      <c r="B249" s="7"/>
      <c r="C249" s="7"/>
      <c r="R249" t="str">
        <f t="shared" si="4"/>
        <v>NA</v>
      </c>
      <c r="S249" t="str">
        <f t="shared" si="5"/>
        <v>NA</v>
      </c>
      <c r="T249" t="str">
        <f t="shared" si="6"/>
        <v>NA</v>
      </c>
      <c r="U249" t="str">
        <f t="shared" si="7"/>
        <v>NA</v>
      </c>
    </row>
    <row r="250" spans="2:21" ht="12.75">
      <c r="B250" s="7"/>
      <c r="C250" s="7"/>
      <c r="R250" t="str">
        <f t="shared" si="4"/>
        <v>NA</v>
      </c>
      <c r="S250" t="str">
        <f t="shared" si="5"/>
        <v>NA</v>
      </c>
      <c r="T250" t="str">
        <f t="shared" si="6"/>
        <v>NA</v>
      </c>
      <c r="U250" t="str">
        <f t="shared" si="7"/>
        <v>NA</v>
      </c>
    </row>
    <row r="251" spans="2:21" ht="12.75">
      <c r="B251" s="7"/>
      <c r="C251" s="7"/>
      <c r="R251" t="str">
        <f t="shared" si="4"/>
        <v>NA</v>
      </c>
      <c r="S251" t="str">
        <f t="shared" si="5"/>
        <v>NA</v>
      </c>
      <c r="T251" t="str">
        <f t="shared" si="6"/>
        <v>NA</v>
      </c>
      <c r="U251" t="str">
        <f t="shared" si="7"/>
        <v>NA</v>
      </c>
    </row>
    <row r="252" spans="2:21" ht="12.75">
      <c r="B252" s="7"/>
      <c r="C252" s="7"/>
      <c r="R252" t="str">
        <f t="shared" si="4"/>
        <v>NA</v>
      </c>
      <c r="S252" t="str">
        <f t="shared" si="5"/>
        <v>NA</v>
      </c>
      <c r="T252" t="str">
        <f t="shared" si="6"/>
        <v>NA</v>
      </c>
      <c r="U252" t="str">
        <f t="shared" si="7"/>
        <v>NA</v>
      </c>
    </row>
    <row r="253" spans="2:21" ht="12.75">
      <c r="B253" s="7"/>
      <c r="C253" s="7"/>
      <c r="R253" t="str">
        <f t="shared" si="4"/>
        <v>NA</v>
      </c>
      <c r="S253" t="str">
        <f t="shared" si="5"/>
        <v>NA</v>
      </c>
      <c r="T253" t="str">
        <f t="shared" si="6"/>
        <v>NA</v>
      </c>
      <c r="U253" t="str">
        <f t="shared" si="7"/>
        <v>NA</v>
      </c>
    </row>
    <row r="254" spans="2:21" ht="12.75">
      <c r="B254" s="7"/>
      <c r="C254" s="7"/>
      <c r="R254" t="str">
        <f t="shared" si="4"/>
        <v>NA</v>
      </c>
      <c r="S254" t="str">
        <f t="shared" si="5"/>
        <v>NA</v>
      </c>
      <c r="T254" t="str">
        <f t="shared" si="6"/>
        <v>NA</v>
      </c>
      <c r="U254" t="str">
        <f t="shared" si="7"/>
        <v>NA</v>
      </c>
    </row>
    <row r="255" spans="2:21" ht="12.75">
      <c r="B255" s="7"/>
      <c r="C255" s="7"/>
      <c r="R255" t="str">
        <f t="shared" si="4"/>
        <v>NA</v>
      </c>
      <c r="S255" t="str">
        <f t="shared" si="5"/>
        <v>NA</v>
      </c>
      <c r="T255" t="str">
        <f t="shared" si="6"/>
        <v>NA</v>
      </c>
      <c r="U255" t="str">
        <f t="shared" si="7"/>
        <v>NA</v>
      </c>
    </row>
    <row r="256" spans="2:21" ht="12.75">
      <c r="B256" s="7"/>
      <c r="C256" s="7"/>
      <c r="R256" t="str">
        <f t="shared" si="4"/>
        <v>NA</v>
      </c>
      <c r="S256" t="str">
        <f t="shared" si="5"/>
        <v>NA</v>
      </c>
      <c r="T256" t="str">
        <f t="shared" si="6"/>
        <v>NA</v>
      </c>
      <c r="U256" t="str">
        <f t="shared" si="7"/>
        <v>NA</v>
      </c>
    </row>
    <row r="257" spans="2:21" ht="12.75">
      <c r="B257" s="7"/>
      <c r="C257" s="7"/>
      <c r="R257" t="str">
        <f aca="true" t="shared" si="8" ref="R257:R320">(IF(F257="High","High",IF(G257="High","High",IF(H257="High","High",IF(F257="Moderate","Moderate",IF(G257="Moderate","Moderate",IF(H257="Moderate","Moderate","NA")))))))</f>
        <v>NA</v>
      </c>
      <c r="S257" t="str">
        <f aca="true" t="shared" si="9" ref="S257:S320">(IF(I257="High","High",IF(J257="High","High",IF(I257="Moderate","Moderate",IF(J257="Moderate","Moderate","NA")))))</f>
        <v>NA</v>
      </c>
      <c r="T257" t="str">
        <f aca="true" t="shared" si="10" ref="T257:T320">(IF(I257="High","Runoff",IF(J257="High","Flooding",IF(I257="Moderate","Runoff",IF(J257="Moderate","Flooding","NA")))))</f>
        <v>NA</v>
      </c>
      <c r="U257" t="str">
        <f aca="true" t="shared" si="11" ref="U257:U320">(IF(F257="High","Poor Filter",IF(G257="High","Wetness",IF(H257="High","Lateral Flow",IF(F257="Moderate","Poor Filter",IF(G257="Moderate","Wetness",IF(H257="Moderate","Lateral Flow","NA")))))))</f>
        <v>NA</v>
      </c>
    </row>
    <row r="258" spans="2:21" ht="12.75">
      <c r="B258" s="7"/>
      <c r="C258" s="7"/>
      <c r="R258" t="str">
        <f t="shared" si="8"/>
        <v>NA</v>
      </c>
      <c r="S258" t="str">
        <f t="shared" si="9"/>
        <v>NA</v>
      </c>
      <c r="T258" t="str">
        <f t="shared" si="10"/>
        <v>NA</v>
      </c>
      <c r="U258" t="str">
        <f t="shared" si="11"/>
        <v>NA</v>
      </c>
    </row>
    <row r="259" spans="2:21" ht="12.75">
      <c r="B259" s="7"/>
      <c r="C259" s="7"/>
      <c r="R259" t="str">
        <f t="shared" si="8"/>
        <v>NA</v>
      </c>
      <c r="S259" t="str">
        <f t="shared" si="9"/>
        <v>NA</v>
      </c>
      <c r="T259" t="str">
        <f t="shared" si="10"/>
        <v>NA</v>
      </c>
      <c r="U259" t="str">
        <f t="shared" si="11"/>
        <v>NA</v>
      </c>
    </row>
    <row r="260" spans="2:21" ht="12.75">
      <c r="B260" s="7"/>
      <c r="C260" s="7"/>
      <c r="R260" t="str">
        <f t="shared" si="8"/>
        <v>NA</v>
      </c>
      <c r="S260" t="str">
        <f t="shared" si="9"/>
        <v>NA</v>
      </c>
      <c r="T260" t="str">
        <f t="shared" si="10"/>
        <v>NA</v>
      </c>
      <c r="U260" t="str">
        <f t="shared" si="11"/>
        <v>NA</v>
      </c>
    </row>
    <row r="261" spans="2:21" ht="12.75">
      <c r="B261" s="7"/>
      <c r="C261" s="7"/>
      <c r="R261" t="str">
        <f t="shared" si="8"/>
        <v>NA</v>
      </c>
      <c r="S261" t="str">
        <f t="shared" si="9"/>
        <v>NA</v>
      </c>
      <c r="T261" t="str">
        <f t="shared" si="10"/>
        <v>NA</v>
      </c>
      <c r="U261" t="str">
        <f t="shared" si="11"/>
        <v>NA</v>
      </c>
    </row>
    <row r="262" spans="2:21" ht="12.75">
      <c r="B262" s="7"/>
      <c r="C262" s="7"/>
      <c r="R262" t="str">
        <f t="shared" si="8"/>
        <v>NA</v>
      </c>
      <c r="S262" t="str">
        <f t="shared" si="9"/>
        <v>NA</v>
      </c>
      <c r="T262" t="str">
        <f t="shared" si="10"/>
        <v>NA</v>
      </c>
      <c r="U262" t="str">
        <f t="shared" si="11"/>
        <v>NA</v>
      </c>
    </row>
    <row r="263" spans="2:21" ht="12.75">
      <c r="B263" s="7"/>
      <c r="C263" s="7"/>
      <c r="R263" t="str">
        <f t="shared" si="8"/>
        <v>NA</v>
      </c>
      <c r="S263" t="str">
        <f t="shared" si="9"/>
        <v>NA</v>
      </c>
      <c r="T263" t="str">
        <f t="shared" si="10"/>
        <v>NA</v>
      </c>
      <c r="U263" t="str">
        <f t="shared" si="11"/>
        <v>NA</v>
      </c>
    </row>
    <row r="264" spans="2:21" ht="12.75">
      <c r="B264" s="7"/>
      <c r="C264" s="7"/>
      <c r="R264" t="str">
        <f t="shared" si="8"/>
        <v>NA</v>
      </c>
      <c r="S264" t="str">
        <f t="shared" si="9"/>
        <v>NA</v>
      </c>
      <c r="T264" t="str">
        <f t="shared" si="10"/>
        <v>NA</v>
      </c>
      <c r="U264" t="str">
        <f t="shared" si="11"/>
        <v>NA</v>
      </c>
    </row>
    <row r="265" spans="2:21" ht="12.75">
      <c r="B265" s="7"/>
      <c r="C265" s="7"/>
      <c r="R265" t="str">
        <f t="shared" si="8"/>
        <v>NA</v>
      </c>
      <c r="S265" t="str">
        <f t="shared" si="9"/>
        <v>NA</v>
      </c>
      <c r="T265" t="str">
        <f t="shared" si="10"/>
        <v>NA</v>
      </c>
      <c r="U265" t="str">
        <f t="shared" si="11"/>
        <v>NA</v>
      </c>
    </row>
    <row r="266" spans="2:21" ht="12.75">
      <c r="B266" s="7"/>
      <c r="C266" s="7"/>
      <c r="R266" t="str">
        <f t="shared" si="8"/>
        <v>NA</v>
      </c>
      <c r="S266" t="str">
        <f t="shared" si="9"/>
        <v>NA</v>
      </c>
      <c r="T266" t="str">
        <f t="shared" si="10"/>
        <v>NA</v>
      </c>
      <c r="U266" t="str">
        <f t="shared" si="11"/>
        <v>NA</v>
      </c>
    </row>
    <row r="267" spans="2:21" ht="12.75">
      <c r="B267" s="7"/>
      <c r="C267" s="7"/>
      <c r="R267" t="str">
        <f t="shared" si="8"/>
        <v>NA</v>
      </c>
      <c r="S267" t="str">
        <f t="shared" si="9"/>
        <v>NA</v>
      </c>
      <c r="T267" t="str">
        <f t="shared" si="10"/>
        <v>NA</v>
      </c>
      <c r="U267" t="str">
        <f t="shared" si="11"/>
        <v>NA</v>
      </c>
    </row>
    <row r="268" spans="2:21" ht="12.75">
      <c r="B268" s="7"/>
      <c r="C268" s="7"/>
      <c r="R268" t="str">
        <f t="shared" si="8"/>
        <v>NA</v>
      </c>
      <c r="S268" t="str">
        <f t="shared" si="9"/>
        <v>NA</v>
      </c>
      <c r="T268" t="str">
        <f t="shared" si="10"/>
        <v>NA</v>
      </c>
      <c r="U268" t="str">
        <f t="shared" si="11"/>
        <v>NA</v>
      </c>
    </row>
    <row r="269" spans="2:21" ht="12.75">
      <c r="B269" s="7"/>
      <c r="C269" s="7"/>
      <c r="R269" t="str">
        <f t="shared" si="8"/>
        <v>NA</v>
      </c>
      <c r="S269" t="str">
        <f t="shared" si="9"/>
        <v>NA</v>
      </c>
      <c r="T269" t="str">
        <f t="shared" si="10"/>
        <v>NA</v>
      </c>
      <c r="U269" t="str">
        <f t="shared" si="11"/>
        <v>NA</v>
      </c>
    </row>
    <row r="270" spans="2:21" ht="12.75">
      <c r="B270" s="7"/>
      <c r="C270" s="7"/>
      <c r="R270" t="str">
        <f t="shared" si="8"/>
        <v>NA</v>
      </c>
      <c r="S270" t="str">
        <f t="shared" si="9"/>
        <v>NA</v>
      </c>
      <c r="T270" t="str">
        <f t="shared" si="10"/>
        <v>NA</v>
      </c>
      <c r="U270" t="str">
        <f t="shared" si="11"/>
        <v>NA</v>
      </c>
    </row>
    <row r="271" spans="2:21" ht="12.75">
      <c r="B271" s="7"/>
      <c r="C271" s="7"/>
      <c r="R271" t="str">
        <f t="shared" si="8"/>
        <v>NA</v>
      </c>
      <c r="S271" t="str">
        <f t="shared" si="9"/>
        <v>NA</v>
      </c>
      <c r="T271" t="str">
        <f t="shared" si="10"/>
        <v>NA</v>
      </c>
      <c r="U271" t="str">
        <f t="shared" si="11"/>
        <v>NA</v>
      </c>
    </row>
    <row r="272" spans="2:21" ht="12.75">
      <c r="B272" s="7"/>
      <c r="C272" s="7"/>
      <c r="R272" t="str">
        <f t="shared" si="8"/>
        <v>NA</v>
      </c>
      <c r="S272" t="str">
        <f t="shared" si="9"/>
        <v>NA</v>
      </c>
      <c r="T272" t="str">
        <f t="shared" si="10"/>
        <v>NA</v>
      </c>
      <c r="U272" t="str">
        <f t="shared" si="11"/>
        <v>NA</v>
      </c>
    </row>
    <row r="273" spans="2:21" ht="12.75">
      <c r="B273" s="7"/>
      <c r="C273" s="7"/>
      <c r="R273" t="str">
        <f t="shared" si="8"/>
        <v>NA</v>
      </c>
      <c r="S273" t="str">
        <f t="shared" si="9"/>
        <v>NA</v>
      </c>
      <c r="T273" t="str">
        <f t="shared" si="10"/>
        <v>NA</v>
      </c>
      <c r="U273" t="str">
        <f t="shared" si="11"/>
        <v>NA</v>
      </c>
    </row>
    <row r="274" spans="2:21" ht="12.75">
      <c r="B274" s="7"/>
      <c r="C274" s="7"/>
      <c r="R274" t="str">
        <f t="shared" si="8"/>
        <v>NA</v>
      </c>
      <c r="S274" t="str">
        <f t="shared" si="9"/>
        <v>NA</v>
      </c>
      <c r="T274" t="str">
        <f t="shared" si="10"/>
        <v>NA</v>
      </c>
      <c r="U274" t="str">
        <f t="shared" si="11"/>
        <v>NA</v>
      </c>
    </row>
    <row r="275" spans="2:21" ht="12.75">
      <c r="B275" s="7"/>
      <c r="C275" s="7"/>
      <c r="R275" t="str">
        <f t="shared" si="8"/>
        <v>NA</v>
      </c>
      <c r="S275" t="str">
        <f t="shared" si="9"/>
        <v>NA</v>
      </c>
      <c r="T275" t="str">
        <f t="shared" si="10"/>
        <v>NA</v>
      </c>
      <c r="U275" t="str">
        <f t="shared" si="11"/>
        <v>NA</v>
      </c>
    </row>
    <row r="276" spans="2:21" ht="12.75">
      <c r="B276" s="7"/>
      <c r="C276" s="7"/>
      <c r="R276" t="str">
        <f t="shared" si="8"/>
        <v>NA</v>
      </c>
      <c r="S276" t="str">
        <f t="shared" si="9"/>
        <v>NA</v>
      </c>
      <c r="T276" t="str">
        <f t="shared" si="10"/>
        <v>NA</v>
      </c>
      <c r="U276" t="str">
        <f t="shared" si="11"/>
        <v>NA</v>
      </c>
    </row>
    <row r="277" spans="2:21" ht="12.75">
      <c r="B277" s="7"/>
      <c r="C277" s="7"/>
      <c r="R277" t="str">
        <f t="shared" si="8"/>
        <v>NA</v>
      </c>
      <c r="S277" t="str">
        <f t="shared" si="9"/>
        <v>NA</v>
      </c>
      <c r="T277" t="str">
        <f t="shared" si="10"/>
        <v>NA</v>
      </c>
      <c r="U277" t="str">
        <f t="shared" si="11"/>
        <v>NA</v>
      </c>
    </row>
    <row r="278" spans="2:21" ht="12.75">
      <c r="B278" s="7"/>
      <c r="C278" s="7"/>
      <c r="R278" t="str">
        <f t="shared" si="8"/>
        <v>NA</v>
      </c>
      <c r="S278" t="str">
        <f t="shared" si="9"/>
        <v>NA</v>
      </c>
      <c r="T278" t="str">
        <f t="shared" si="10"/>
        <v>NA</v>
      </c>
      <c r="U278" t="str">
        <f t="shared" si="11"/>
        <v>NA</v>
      </c>
    </row>
    <row r="279" spans="2:21" ht="12.75">
      <c r="B279" s="7"/>
      <c r="C279" s="7"/>
      <c r="R279" t="str">
        <f t="shared" si="8"/>
        <v>NA</v>
      </c>
      <c r="S279" t="str">
        <f t="shared" si="9"/>
        <v>NA</v>
      </c>
      <c r="T279" t="str">
        <f t="shared" si="10"/>
        <v>NA</v>
      </c>
      <c r="U279" t="str">
        <f t="shared" si="11"/>
        <v>NA</v>
      </c>
    </row>
    <row r="280" spans="2:21" ht="12.75">
      <c r="B280" s="7"/>
      <c r="C280" s="7"/>
      <c r="R280" t="str">
        <f t="shared" si="8"/>
        <v>NA</v>
      </c>
      <c r="S280" t="str">
        <f t="shared" si="9"/>
        <v>NA</v>
      </c>
      <c r="T280" t="str">
        <f t="shared" si="10"/>
        <v>NA</v>
      </c>
      <c r="U280" t="str">
        <f t="shared" si="11"/>
        <v>NA</v>
      </c>
    </row>
    <row r="281" spans="2:21" ht="12.75">
      <c r="B281" s="7"/>
      <c r="C281" s="7"/>
      <c r="R281" t="str">
        <f t="shared" si="8"/>
        <v>NA</v>
      </c>
      <c r="S281" t="str">
        <f t="shared" si="9"/>
        <v>NA</v>
      </c>
      <c r="T281" t="str">
        <f t="shared" si="10"/>
        <v>NA</v>
      </c>
      <c r="U281" t="str">
        <f t="shared" si="11"/>
        <v>NA</v>
      </c>
    </row>
    <row r="282" spans="2:21" ht="12.75">
      <c r="B282" s="7"/>
      <c r="C282" s="7"/>
      <c r="R282" t="str">
        <f t="shared" si="8"/>
        <v>NA</v>
      </c>
      <c r="S282" t="str">
        <f t="shared" si="9"/>
        <v>NA</v>
      </c>
      <c r="T282" t="str">
        <f t="shared" si="10"/>
        <v>NA</v>
      </c>
      <c r="U282" t="str">
        <f t="shared" si="11"/>
        <v>NA</v>
      </c>
    </row>
    <row r="283" spans="18:21" ht="12.75">
      <c r="R283" t="str">
        <f t="shared" si="8"/>
        <v>NA</v>
      </c>
      <c r="S283" t="str">
        <f t="shared" si="9"/>
        <v>NA</v>
      </c>
      <c r="T283" t="str">
        <f t="shared" si="10"/>
        <v>NA</v>
      </c>
      <c r="U283" t="str">
        <f t="shared" si="11"/>
        <v>NA</v>
      </c>
    </row>
    <row r="284" spans="18:21" ht="12.75">
      <c r="R284" t="str">
        <f t="shared" si="8"/>
        <v>NA</v>
      </c>
      <c r="S284" t="str">
        <f t="shared" si="9"/>
        <v>NA</v>
      </c>
      <c r="T284" t="str">
        <f t="shared" si="10"/>
        <v>NA</v>
      </c>
      <c r="U284" t="str">
        <f t="shared" si="11"/>
        <v>NA</v>
      </c>
    </row>
    <row r="285" spans="18:21" ht="12.75">
      <c r="R285" t="str">
        <f t="shared" si="8"/>
        <v>NA</v>
      </c>
      <c r="S285" t="str">
        <f t="shared" si="9"/>
        <v>NA</v>
      </c>
      <c r="T285" t="str">
        <f t="shared" si="10"/>
        <v>NA</v>
      </c>
      <c r="U285" t="str">
        <f t="shared" si="11"/>
        <v>NA</v>
      </c>
    </row>
    <row r="286" spans="18:21" ht="12.75">
      <c r="R286" t="str">
        <f t="shared" si="8"/>
        <v>NA</v>
      </c>
      <c r="S286" t="str">
        <f t="shared" si="9"/>
        <v>NA</v>
      </c>
      <c r="T286" t="str">
        <f t="shared" si="10"/>
        <v>NA</v>
      </c>
      <c r="U286" t="str">
        <f t="shared" si="11"/>
        <v>NA</v>
      </c>
    </row>
    <row r="287" spans="18:21" ht="12.75">
      <c r="R287" t="str">
        <f t="shared" si="8"/>
        <v>NA</v>
      </c>
      <c r="S287" t="str">
        <f t="shared" si="9"/>
        <v>NA</v>
      </c>
      <c r="T287" t="str">
        <f t="shared" si="10"/>
        <v>NA</v>
      </c>
      <c r="U287" t="str">
        <f t="shared" si="11"/>
        <v>NA</v>
      </c>
    </row>
    <row r="288" spans="18:21" ht="12.75">
      <c r="R288" t="str">
        <f t="shared" si="8"/>
        <v>NA</v>
      </c>
      <c r="S288" t="str">
        <f t="shared" si="9"/>
        <v>NA</v>
      </c>
      <c r="T288" t="str">
        <f t="shared" si="10"/>
        <v>NA</v>
      </c>
      <c r="U288" t="str">
        <f t="shared" si="11"/>
        <v>NA</v>
      </c>
    </row>
    <row r="289" spans="18:21" ht="12.75">
      <c r="R289" t="str">
        <f t="shared" si="8"/>
        <v>NA</v>
      </c>
      <c r="S289" t="str">
        <f t="shared" si="9"/>
        <v>NA</v>
      </c>
      <c r="T289" t="str">
        <f t="shared" si="10"/>
        <v>NA</v>
      </c>
      <c r="U289" t="str">
        <f t="shared" si="11"/>
        <v>NA</v>
      </c>
    </row>
    <row r="290" spans="18:21" ht="12.75">
      <c r="R290" t="str">
        <f t="shared" si="8"/>
        <v>NA</v>
      </c>
      <c r="S290" t="str">
        <f t="shared" si="9"/>
        <v>NA</v>
      </c>
      <c r="T290" t="str">
        <f t="shared" si="10"/>
        <v>NA</v>
      </c>
      <c r="U290" t="str">
        <f t="shared" si="11"/>
        <v>NA</v>
      </c>
    </row>
    <row r="291" spans="18:21" ht="12.75">
      <c r="R291" t="str">
        <f t="shared" si="8"/>
        <v>NA</v>
      </c>
      <c r="S291" t="str">
        <f t="shared" si="9"/>
        <v>NA</v>
      </c>
      <c r="T291" t="str">
        <f t="shared" si="10"/>
        <v>NA</v>
      </c>
      <c r="U291" t="str">
        <f t="shared" si="11"/>
        <v>NA</v>
      </c>
    </row>
    <row r="292" spans="18:21" ht="12.75">
      <c r="R292" t="str">
        <f t="shared" si="8"/>
        <v>NA</v>
      </c>
      <c r="S292" t="str">
        <f t="shared" si="9"/>
        <v>NA</v>
      </c>
      <c r="T292" t="str">
        <f t="shared" si="10"/>
        <v>NA</v>
      </c>
      <c r="U292" t="str">
        <f t="shared" si="11"/>
        <v>NA</v>
      </c>
    </row>
    <row r="293" spans="18:21" ht="12.75">
      <c r="R293" t="str">
        <f t="shared" si="8"/>
        <v>NA</v>
      </c>
      <c r="S293" t="str">
        <f t="shared" si="9"/>
        <v>NA</v>
      </c>
      <c r="T293" t="str">
        <f t="shared" si="10"/>
        <v>NA</v>
      </c>
      <c r="U293" t="str">
        <f t="shared" si="11"/>
        <v>NA</v>
      </c>
    </row>
    <row r="294" spans="18:21" ht="12.75">
      <c r="R294" t="str">
        <f t="shared" si="8"/>
        <v>NA</v>
      </c>
      <c r="S294" t="str">
        <f t="shared" si="9"/>
        <v>NA</v>
      </c>
      <c r="T294" t="str">
        <f t="shared" si="10"/>
        <v>NA</v>
      </c>
      <c r="U294" t="str">
        <f t="shared" si="11"/>
        <v>NA</v>
      </c>
    </row>
    <row r="295" spans="18:21" ht="12.75">
      <c r="R295" t="str">
        <f t="shared" si="8"/>
        <v>NA</v>
      </c>
      <c r="S295" t="str">
        <f t="shared" si="9"/>
        <v>NA</v>
      </c>
      <c r="T295" t="str">
        <f t="shared" si="10"/>
        <v>NA</v>
      </c>
      <c r="U295" t="str">
        <f t="shared" si="11"/>
        <v>NA</v>
      </c>
    </row>
    <row r="296" spans="18:21" ht="12.75">
      <c r="R296" t="str">
        <f t="shared" si="8"/>
        <v>NA</v>
      </c>
      <c r="S296" t="str">
        <f t="shared" si="9"/>
        <v>NA</v>
      </c>
      <c r="T296" t="str">
        <f t="shared" si="10"/>
        <v>NA</v>
      </c>
      <c r="U296" t="str">
        <f t="shared" si="11"/>
        <v>NA</v>
      </c>
    </row>
    <row r="297" spans="18:21" ht="12.75">
      <c r="R297" t="str">
        <f t="shared" si="8"/>
        <v>NA</v>
      </c>
      <c r="S297" t="str">
        <f t="shared" si="9"/>
        <v>NA</v>
      </c>
      <c r="T297" t="str">
        <f t="shared" si="10"/>
        <v>NA</v>
      </c>
      <c r="U297" t="str">
        <f t="shared" si="11"/>
        <v>NA</v>
      </c>
    </row>
    <row r="298" spans="18:21" ht="12.75">
      <c r="R298" t="str">
        <f t="shared" si="8"/>
        <v>NA</v>
      </c>
      <c r="S298" t="str">
        <f t="shared" si="9"/>
        <v>NA</v>
      </c>
      <c r="T298" t="str">
        <f t="shared" si="10"/>
        <v>NA</v>
      </c>
      <c r="U298" t="str">
        <f t="shared" si="11"/>
        <v>NA</v>
      </c>
    </row>
    <row r="299" spans="18:21" ht="12.75">
      <c r="R299" t="str">
        <f t="shared" si="8"/>
        <v>NA</v>
      </c>
      <c r="S299" t="str">
        <f t="shared" si="9"/>
        <v>NA</v>
      </c>
      <c r="T299" t="str">
        <f t="shared" si="10"/>
        <v>NA</v>
      </c>
      <c r="U299" t="str">
        <f t="shared" si="11"/>
        <v>NA</v>
      </c>
    </row>
    <row r="300" spans="18:21" ht="12.75">
      <c r="R300" t="str">
        <f t="shared" si="8"/>
        <v>NA</v>
      </c>
      <c r="S300" t="str">
        <f t="shared" si="9"/>
        <v>NA</v>
      </c>
      <c r="T300" t="str">
        <f t="shared" si="10"/>
        <v>NA</v>
      </c>
      <c r="U300" t="str">
        <f t="shared" si="11"/>
        <v>NA</v>
      </c>
    </row>
    <row r="301" spans="18:21" ht="12.75">
      <c r="R301" t="str">
        <f t="shared" si="8"/>
        <v>NA</v>
      </c>
      <c r="S301" t="str">
        <f t="shared" si="9"/>
        <v>NA</v>
      </c>
      <c r="T301" t="str">
        <f t="shared" si="10"/>
        <v>NA</v>
      </c>
      <c r="U301" t="str">
        <f t="shared" si="11"/>
        <v>NA</v>
      </c>
    </row>
    <row r="302" spans="18:21" ht="12.75">
      <c r="R302" t="str">
        <f t="shared" si="8"/>
        <v>NA</v>
      </c>
      <c r="S302" t="str">
        <f t="shared" si="9"/>
        <v>NA</v>
      </c>
      <c r="T302" t="str">
        <f t="shared" si="10"/>
        <v>NA</v>
      </c>
      <c r="U302" t="str">
        <f t="shared" si="11"/>
        <v>NA</v>
      </c>
    </row>
    <row r="303" spans="18:21" ht="12.75">
      <c r="R303" t="str">
        <f t="shared" si="8"/>
        <v>NA</v>
      </c>
      <c r="S303" t="str">
        <f t="shared" si="9"/>
        <v>NA</v>
      </c>
      <c r="T303" t="str">
        <f t="shared" si="10"/>
        <v>NA</v>
      </c>
      <c r="U303" t="str">
        <f t="shared" si="11"/>
        <v>NA</v>
      </c>
    </row>
    <row r="304" spans="18:21" ht="12.75">
      <c r="R304" t="str">
        <f t="shared" si="8"/>
        <v>NA</v>
      </c>
      <c r="S304" t="str">
        <f t="shared" si="9"/>
        <v>NA</v>
      </c>
      <c r="T304" t="str">
        <f t="shared" si="10"/>
        <v>NA</v>
      </c>
      <c r="U304" t="str">
        <f t="shared" si="11"/>
        <v>NA</v>
      </c>
    </row>
    <row r="305" spans="18:21" ht="12.75">
      <c r="R305" t="str">
        <f t="shared" si="8"/>
        <v>NA</v>
      </c>
      <c r="S305" t="str">
        <f t="shared" si="9"/>
        <v>NA</v>
      </c>
      <c r="T305" t="str">
        <f t="shared" si="10"/>
        <v>NA</v>
      </c>
      <c r="U305" t="str">
        <f t="shared" si="11"/>
        <v>NA</v>
      </c>
    </row>
    <row r="306" spans="18:21" ht="12.75">
      <c r="R306" t="str">
        <f t="shared" si="8"/>
        <v>NA</v>
      </c>
      <c r="S306" t="str">
        <f t="shared" si="9"/>
        <v>NA</v>
      </c>
      <c r="T306" t="str">
        <f t="shared" si="10"/>
        <v>NA</v>
      </c>
      <c r="U306" t="str">
        <f t="shared" si="11"/>
        <v>NA</v>
      </c>
    </row>
    <row r="307" spans="18:21" ht="12.75">
      <c r="R307" t="str">
        <f t="shared" si="8"/>
        <v>NA</v>
      </c>
      <c r="S307" t="str">
        <f t="shared" si="9"/>
        <v>NA</v>
      </c>
      <c r="T307" t="str">
        <f t="shared" si="10"/>
        <v>NA</v>
      </c>
      <c r="U307" t="str">
        <f t="shared" si="11"/>
        <v>NA</v>
      </c>
    </row>
    <row r="308" spans="18:21" ht="12.75">
      <c r="R308" t="str">
        <f t="shared" si="8"/>
        <v>NA</v>
      </c>
      <c r="S308" t="str">
        <f t="shared" si="9"/>
        <v>NA</v>
      </c>
      <c r="T308" t="str">
        <f t="shared" si="10"/>
        <v>NA</v>
      </c>
      <c r="U308" t="str">
        <f t="shared" si="11"/>
        <v>NA</v>
      </c>
    </row>
    <row r="309" spans="18:21" ht="12.75">
      <c r="R309" t="str">
        <f t="shared" si="8"/>
        <v>NA</v>
      </c>
      <c r="S309" t="str">
        <f t="shared" si="9"/>
        <v>NA</v>
      </c>
      <c r="T309" t="str">
        <f t="shared" si="10"/>
        <v>NA</v>
      </c>
      <c r="U309" t="str">
        <f t="shared" si="11"/>
        <v>NA</v>
      </c>
    </row>
    <row r="310" spans="18:21" ht="12.75">
      <c r="R310" t="str">
        <f t="shared" si="8"/>
        <v>NA</v>
      </c>
      <c r="S310" t="str">
        <f t="shared" si="9"/>
        <v>NA</v>
      </c>
      <c r="T310" t="str">
        <f t="shared" si="10"/>
        <v>NA</v>
      </c>
      <c r="U310" t="str">
        <f t="shared" si="11"/>
        <v>NA</v>
      </c>
    </row>
    <row r="311" spans="18:21" ht="12.75">
      <c r="R311" t="str">
        <f t="shared" si="8"/>
        <v>NA</v>
      </c>
      <c r="S311" t="str">
        <f t="shared" si="9"/>
        <v>NA</v>
      </c>
      <c r="T311" t="str">
        <f t="shared" si="10"/>
        <v>NA</v>
      </c>
      <c r="U311" t="str">
        <f t="shared" si="11"/>
        <v>NA</v>
      </c>
    </row>
    <row r="312" spans="18:21" ht="12.75">
      <c r="R312" t="str">
        <f t="shared" si="8"/>
        <v>NA</v>
      </c>
      <c r="S312" t="str">
        <f t="shared" si="9"/>
        <v>NA</v>
      </c>
      <c r="T312" t="str">
        <f t="shared" si="10"/>
        <v>NA</v>
      </c>
      <c r="U312" t="str">
        <f t="shared" si="11"/>
        <v>NA</v>
      </c>
    </row>
    <row r="313" spans="18:21" ht="12.75">
      <c r="R313" t="str">
        <f t="shared" si="8"/>
        <v>NA</v>
      </c>
      <c r="S313" t="str">
        <f t="shared" si="9"/>
        <v>NA</v>
      </c>
      <c r="T313" t="str">
        <f t="shared" si="10"/>
        <v>NA</v>
      </c>
      <c r="U313" t="str">
        <f t="shared" si="11"/>
        <v>NA</v>
      </c>
    </row>
    <row r="314" spans="18:21" ht="12.75">
      <c r="R314" t="str">
        <f t="shared" si="8"/>
        <v>NA</v>
      </c>
      <c r="S314" t="str">
        <f t="shared" si="9"/>
        <v>NA</v>
      </c>
      <c r="T314" t="str">
        <f t="shared" si="10"/>
        <v>NA</v>
      </c>
      <c r="U314" t="str">
        <f t="shared" si="11"/>
        <v>NA</v>
      </c>
    </row>
    <row r="315" spans="18:21" ht="12.75">
      <c r="R315" t="str">
        <f t="shared" si="8"/>
        <v>NA</v>
      </c>
      <c r="S315" t="str">
        <f t="shared" si="9"/>
        <v>NA</v>
      </c>
      <c r="T315" t="str">
        <f t="shared" si="10"/>
        <v>NA</v>
      </c>
      <c r="U315" t="str">
        <f t="shared" si="11"/>
        <v>NA</v>
      </c>
    </row>
    <row r="316" spans="18:21" ht="12.75">
      <c r="R316" t="str">
        <f t="shared" si="8"/>
        <v>NA</v>
      </c>
      <c r="S316" t="str">
        <f t="shared" si="9"/>
        <v>NA</v>
      </c>
      <c r="T316" t="str">
        <f t="shared" si="10"/>
        <v>NA</v>
      </c>
      <c r="U316" t="str">
        <f t="shared" si="11"/>
        <v>NA</v>
      </c>
    </row>
    <row r="317" spans="18:21" ht="12.75">
      <c r="R317" t="str">
        <f t="shared" si="8"/>
        <v>NA</v>
      </c>
      <c r="S317" t="str">
        <f t="shared" si="9"/>
        <v>NA</v>
      </c>
      <c r="T317" t="str">
        <f t="shared" si="10"/>
        <v>NA</v>
      </c>
      <c r="U317" t="str">
        <f t="shared" si="11"/>
        <v>NA</v>
      </c>
    </row>
    <row r="318" spans="18:21" ht="12.75">
      <c r="R318" t="str">
        <f t="shared" si="8"/>
        <v>NA</v>
      </c>
      <c r="S318" t="str">
        <f t="shared" si="9"/>
        <v>NA</v>
      </c>
      <c r="T318" t="str">
        <f t="shared" si="10"/>
        <v>NA</v>
      </c>
      <c r="U318" t="str">
        <f t="shared" si="11"/>
        <v>NA</v>
      </c>
    </row>
    <row r="319" spans="18:21" ht="12.75">
      <c r="R319" t="str">
        <f t="shared" si="8"/>
        <v>NA</v>
      </c>
      <c r="S319" t="str">
        <f t="shared" si="9"/>
        <v>NA</v>
      </c>
      <c r="T319" t="str">
        <f t="shared" si="10"/>
        <v>NA</v>
      </c>
      <c r="U319" t="str">
        <f t="shared" si="11"/>
        <v>NA</v>
      </c>
    </row>
    <row r="320" spans="18:21" ht="12.75">
      <c r="R320" t="str">
        <f t="shared" si="8"/>
        <v>NA</v>
      </c>
      <c r="S320" t="str">
        <f t="shared" si="9"/>
        <v>NA</v>
      </c>
      <c r="T320" t="str">
        <f t="shared" si="10"/>
        <v>NA</v>
      </c>
      <c r="U320" t="str">
        <f t="shared" si="11"/>
        <v>NA</v>
      </c>
    </row>
    <row r="321" spans="18:21" ht="12.75">
      <c r="R321" t="str">
        <f aca="true" t="shared" si="12" ref="R321:R384">(IF(F321="High","High",IF(G321="High","High",IF(H321="High","High",IF(F321="Moderate","Moderate",IF(G321="Moderate","Moderate",IF(H321="Moderate","Moderate","NA")))))))</f>
        <v>NA</v>
      </c>
      <c r="S321" t="str">
        <f aca="true" t="shared" si="13" ref="S321:S384">(IF(I321="High","High",IF(J321="High","High",IF(I321="Moderate","Moderate",IF(J321="Moderate","Moderate","NA")))))</f>
        <v>NA</v>
      </c>
      <c r="T321" t="str">
        <f aca="true" t="shared" si="14" ref="T321:T384">(IF(I321="High","Runoff",IF(J321="High","Flooding",IF(I321="Moderate","Runoff",IF(J321="Moderate","Flooding","NA")))))</f>
        <v>NA</v>
      </c>
      <c r="U321" t="str">
        <f aca="true" t="shared" si="15" ref="U321:U384">(IF(F321="High","Poor Filter",IF(G321="High","Wetness",IF(H321="High","Lateral Flow",IF(F321="Moderate","Poor Filter",IF(G321="Moderate","Wetness",IF(H321="Moderate","Lateral Flow","NA")))))))</f>
        <v>NA</v>
      </c>
    </row>
    <row r="322" spans="18:21" ht="12.75">
      <c r="R322" t="str">
        <f t="shared" si="12"/>
        <v>NA</v>
      </c>
      <c r="S322" t="str">
        <f t="shared" si="13"/>
        <v>NA</v>
      </c>
      <c r="T322" t="str">
        <f t="shared" si="14"/>
        <v>NA</v>
      </c>
      <c r="U322" t="str">
        <f t="shared" si="15"/>
        <v>NA</v>
      </c>
    </row>
    <row r="323" spans="18:21" ht="12.75">
      <c r="R323" t="str">
        <f t="shared" si="12"/>
        <v>NA</v>
      </c>
      <c r="S323" t="str">
        <f t="shared" si="13"/>
        <v>NA</v>
      </c>
      <c r="T323" t="str">
        <f t="shared" si="14"/>
        <v>NA</v>
      </c>
      <c r="U323" t="str">
        <f t="shared" si="15"/>
        <v>NA</v>
      </c>
    </row>
    <row r="324" spans="18:21" ht="12.75">
      <c r="R324" t="str">
        <f t="shared" si="12"/>
        <v>NA</v>
      </c>
      <c r="S324" t="str">
        <f t="shared" si="13"/>
        <v>NA</v>
      </c>
      <c r="T324" t="str">
        <f t="shared" si="14"/>
        <v>NA</v>
      </c>
      <c r="U324" t="str">
        <f t="shared" si="15"/>
        <v>NA</v>
      </c>
    </row>
    <row r="325" spans="18:21" ht="12.75">
      <c r="R325" t="str">
        <f t="shared" si="12"/>
        <v>NA</v>
      </c>
      <c r="S325" t="str">
        <f t="shared" si="13"/>
        <v>NA</v>
      </c>
      <c r="T325" t="str">
        <f t="shared" si="14"/>
        <v>NA</v>
      </c>
      <c r="U325" t="str">
        <f t="shared" si="15"/>
        <v>NA</v>
      </c>
    </row>
    <row r="326" spans="18:21" ht="12.75">
      <c r="R326" t="str">
        <f t="shared" si="12"/>
        <v>NA</v>
      </c>
      <c r="S326" t="str">
        <f t="shared" si="13"/>
        <v>NA</v>
      </c>
      <c r="T326" t="str">
        <f t="shared" si="14"/>
        <v>NA</v>
      </c>
      <c r="U326" t="str">
        <f t="shared" si="15"/>
        <v>NA</v>
      </c>
    </row>
    <row r="327" spans="18:21" ht="12.75">
      <c r="R327" t="str">
        <f t="shared" si="12"/>
        <v>NA</v>
      </c>
      <c r="S327" t="str">
        <f t="shared" si="13"/>
        <v>NA</v>
      </c>
      <c r="T327" t="str">
        <f t="shared" si="14"/>
        <v>NA</v>
      </c>
      <c r="U327" t="str">
        <f t="shared" si="15"/>
        <v>NA</v>
      </c>
    </row>
    <row r="328" spans="18:21" ht="12.75">
      <c r="R328" t="str">
        <f t="shared" si="12"/>
        <v>NA</v>
      </c>
      <c r="S328" t="str">
        <f t="shared" si="13"/>
        <v>NA</v>
      </c>
      <c r="T328" t="str">
        <f t="shared" si="14"/>
        <v>NA</v>
      </c>
      <c r="U328" t="str">
        <f t="shared" si="15"/>
        <v>NA</v>
      </c>
    </row>
    <row r="329" spans="18:21" ht="12.75">
      <c r="R329" t="str">
        <f t="shared" si="12"/>
        <v>NA</v>
      </c>
      <c r="S329" t="str">
        <f t="shared" si="13"/>
        <v>NA</v>
      </c>
      <c r="T329" t="str">
        <f t="shared" si="14"/>
        <v>NA</v>
      </c>
      <c r="U329" t="str">
        <f t="shared" si="15"/>
        <v>NA</v>
      </c>
    </row>
    <row r="330" spans="18:21" ht="12.75">
      <c r="R330" t="str">
        <f t="shared" si="12"/>
        <v>NA</v>
      </c>
      <c r="S330" t="str">
        <f t="shared" si="13"/>
        <v>NA</v>
      </c>
      <c r="T330" t="str">
        <f t="shared" si="14"/>
        <v>NA</v>
      </c>
      <c r="U330" t="str">
        <f t="shared" si="15"/>
        <v>NA</v>
      </c>
    </row>
    <row r="331" spans="18:21" ht="12.75">
      <c r="R331" t="str">
        <f t="shared" si="12"/>
        <v>NA</v>
      </c>
      <c r="S331" t="str">
        <f t="shared" si="13"/>
        <v>NA</v>
      </c>
      <c r="T331" t="str">
        <f t="shared" si="14"/>
        <v>NA</v>
      </c>
      <c r="U331" t="str">
        <f t="shared" si="15"/>
        <v>NA</v>
      </c>
    </row>
    <row r="332" spans="18:21" ht="12.75">
      <c r="R332" t="str">
        <f t="shared" si="12"/>
        <v>NA</v>
      </c>
      <c r="S332" t="str">
        <f t="shared" si="13"/>
        <v>NA</v>
      </c>
      <c r="T332" t="str">
        <f t="shared" si="14"/>
        <v>NA</v>
      </c>
      <c r="U332" t="str">
        <f t="shared" si="15"/>
        <v>NA</v>
      </c>
    </row>
    <row r="333" spans="18:21" ht="12.75">
      <c r="R333" t="str">
        <f t="shared" si="12"/>
        <v>NA</v>
      </c>
      <c r="S333" t="str">
        <f t="shared" si="13"/>
        <v>NA</v>
      </c>
      <c r="T333" t="str">
        <f t="shared" si="14"/>
        <v>NA</v>
      </c>
      <c r="U333" t="str">
        <f t="shared" si="15"/>
        <v>NA</v>
      </c>
    </row>
    <row r="334" spans="18:21" ht="12.75">
      <c r="R334" t="str">
        <f t="shared" si="12"/>
        <v>NA</v>
      </c>
      <c r="S334" t="str">
        <f t="shared" si="13"/>
        <v>NA</v>
      </c>
      <c r="T334" t="str">
        <f t="shared" si="14"/>
        <v>NA</v>
      </c>
      <c r="U334" t="str">
        <f t="shared" si="15"/>
        <v>NA</v>
      </c>
    </row>
    <row r="335" spans="18:21" ht="12.75">
      <c r="R335" t="str">
        <f t="shared" si="12"/>
        <v>NA</v>
      </c>
      <c r="S335" t="str">
        <f t="shared" si="13"/>
        <v>NA</v>
      </c>
      <c r="T335" t="str">
        <f t="shared" si="14"/>
        <v>NA</v>
      </c>
      <c r="U335" t="str">
        <f t="shared" si="15"/>
        <v>NA</v>
      </c>
    </row>
    <row r="336" spans="18:21" ht="12.75">
      <c r="R336" t="str">
        <f t="shared" si="12"/>
        <v>NA</v>
      </c>
      <c r="S336" t="str">
        <f t="shared" si="13"/>
        <v>NA</v>
      </c>
      <c r="T336" t="str">
        <f t="shared" si="14"/>
        <v>NA</v>
      </c>
      <c r="U336" t="str">
        <f t="shared" si="15"/>
        <v>NA</v>
      </c>
    </row>
    <row r="337" spans="18:21" ht="12.75">
      <c r="R337" t="str">
        <f t="shared" si="12"/>
        <v>NA</v>
      </c>
      <c r="S337" t="str">
        <f t="shared" si="13"/>
        <v>NA</v>
      </c>
      <c r="T337" t="str">
        <f t="shared" si="14"/>
        <v>NA</v>
      </c>
      <c r="U337" t="str">
        <f t="shared" si="15"/>
        <v>NA</v>
      </c>
    </row>
    <row r="338" spans="18:21" ht="12.75">
      <c r="R338" t="str">
        <f t="shared" si="12"/>
        <v>NA</v>
      </c>
      <c r="S338" t="str">
        <f t="shared" si="13"/>
        <v>NA</v>
      </c>
      <c r="T338" t="str">
        <f t="shared" si="14"/>
        <v>NA</v>
      </c>
      <c r="U338" t="str">
        <f t="shared" si="15"/>
        <v>NA</v>
      </c>
    </row>
    <row r="339" spans="18:21" ht="12.75">
      <c r="R339" t="str">
        <f t="shared" si="12"/>
        <v>NA</v>
      </c>
      <c r="S339" t="str">
        <f t="shared" si="13"/>
        <v>NA</v>
      </c>
      <c r="T339" t="str">
        <f t="shared" si="14"/>
        <v>NA</v>
      </c>
      <c r="U339" t="str">
        <f t="shared" si="15"/>
        <v>NA</v>
      </c>
    </row>
    <row r="340" spans="18:21" ht="12.75">
      <c r="R340" t="str">
        <f t="shared" si="12"/>
        <v>NA</v>
      </c>
      <c r="S340" t="str">
        <f t="shared" si="13"/>
        <v>NA</v>
      </c>
      <c r="T340" t="str">
        <f t="shared" si="14"/>
        <v>NA</v>
      </c>
      <c r="U340" t="str">
        <f t="shared" si="15"/>
        <v>NA</v>
      </c>
    </row>
    <row r="341" spans="18:21" ht="12.75">
      <c r="R341" t="str">
        <f t="shared" si="12"/>
        <v>NA</v>
      </c>
      <c r="S341" t="str">
        <f t="shared" si="13"/>
        <v>NA</v>
      </c>
      <c r="T341" t="str">
        <f t="shared" si="14"/>
        <v>NA</v>
      </c>
      <c r="U341" t="str">
        <f t="shared" si="15"/>
        <v>NA</v>
      </c>
    </row>
    <row r="342" spans="18:21" ht="12.75">
      <c r="R342" t="str">
        <f t="shared" si="12"/>
        <v>NA</v>
      </c>
      <c r="S342" t="str">
        <f t="shared" si="13"/>
        <v>NA</v>
      </c>
      <c r="T342" t="str">
        <f t="shared" si="14"/>
        <v>NA</v>
      </c>
      <c r="U342" t="str">
        <f t="shared" si="15"/>
        <v>NA</v>
      </c>
    </row>
    <row r="343" spans="18:21" ht="12.75">
      <c r="R343" t="str">
        <f t="shared" si="12"/>
        <v>NA</v>
      </c>
      <c r="S343" t="str">
        <f t="shared" si="13"/>
        <v>NA</v>
      </c>
      <c r="T343" t="str">
        <f t="shared" si="14"/>
        <v>NA</v>
      </c>
      <c r="U343" t="str">
        <f t="shared" si="15"/>
        <v>NA</v>
      </c>
    </row>
    <row r="344" spans="18:21" ht="12.75">
      <c r="R344" t="str">
        <f t="shared" si="12"/>
        <v>NA</v>
      </c>
      <c r="S344" t="str">
        <f t="shared" si="13"/>
        <v>NA</v>
      </c>
      <c r="T344" t="str">
        <f t="shared" si="14"/>
        <v>NA</v>
      </c>
      <c r="U344" t="str">
        <f t="shared" si="15"/>
        <v>NA</v>
      </c>
    </row>
    <row r="345" spans="18:21" ht="12.75">
      <c r="R345" t="str">
        <f t="shared" si="12"/>
        <v>NA</v>
      </c>
      <c r="S345" t="str">
        <f t="shared" si="13"/>
        <v>NA</v>
      </c>
      <c r="T345" t="str">
        <f t="shared" si="14"/>
        <v>NA</v>
      </c>
      <c r="U345" t="str">
        <f t="shared" si="15"/>
        <v>NA</v>
      </c>
    </row>
    <row r="346" spans="18:21" ht="12.75">
      <c r="R346" t="str">
        <f t="shared" si="12"/>
        <v>NA</v>
      </c>
      <c r="S346" t="str">
        <f t="shared" si="13"/>
        <v>NA</v>
      </c>
      <c r="T346" t="str">
        <f t="shared" si="14"/>
        <v>NA</v>
      </c>
      <c r="U346" t="str">
        <f t="shared" si="15"/>
        <v>NA</v>
      </c>
    </row>
    <row r="347" spans="18:21" ht="12.75">
      <c r="R347" t="str">
        <f t="shared" si="12"/>
        <v>NA</v>
      </c>
      <c r="S347" t="str">
        <f t="shared" si="13"/>
        <v>NA</v>
      </c>
      <c r="T347" t="str">
        <f t="shared" si="14"/>
        <v>NA</v>
      </c>
      <c r="U347" t="str">
        <f t="shared" si="15"/>
        <v>NA</v>
      </c>
    </row>
    <row r="348" spans="18:21" ht="12.75">
      <c r="R348" t="str">
        <f t="shared" si="12"/>
        <v>NA</v>
      </c>
      <c r="S348" t="str">
        <f t="shared" si="13"/>
        <v>NA</v>
      </c>
      <c r="T348" t="str">
        <f t="shared" si="14"/>
        <v>NA</v>
      </c>
      <c r="U348" t="str">
        <f t="shared" si="15"/>
        <v>NA</v>
      </c>
    </row>
    <row r="349" spans="18:21" ht="12.75">
      <c r="R349" t="str">
        <f t="shared" si="12"/>
        <v>NA</v>
      </c>
      <c r="S349" t="str">
        <f t="shared" si="13"/>
        <v>NA</v>
      </c>
      <c r="T349" t="str">
        <f t="shared" si="14"/>
        <v>NA</v>
      </c>
      <c r="U349" t="str">
        <f t="shared" si="15"/>
        <v>NA</v>
      </c>
    </row>
    <row r="350" spans="18:21" ht="12.75">
      <c r="R350" t="str">
        <f t="shared" si="12"/>
        <v>NA</v>
      </c>
      <c r="S350" t="str">
        <f t="shared" si="13"/>
        <v>NA</v>
      </c>
      <c r="T350" t="str">
        <f t="shared" si="14"/>
        <v>NA</v>
      </c>
      <c r="U350" t="str">
        <f t="shared" si="15"/>
        <v>NA</v>
      </c>
    </row>
    <row r="351" spans="18:21" ht="12.75">
      <c r="R351" t="str">
        <f t="shared" si="12"/>
        <v>NA</v>
      </c>
      <c r="S351" t="str">
        <f t="shared" si="13"/>
        <v>NA</v>
      </c>
      <c r="T351" t="str">
        <f t="shared" si="14"/>
        <v>NA</v>
      </c>
      <c r="U351" t="str">
        <f t="shared" si="15"/>
        <v>NA</v>
      </c>
    </row>
    <row r="352" spans="18:21" ht="12.75">
      <c r="R352" t="str">
        <f t="shared" si="12"/>
        <v>NA</v>
      </c>
      <c r="S352" t="str">
        <f t="shared" si="13"/>
        <v>NA</v>
      </c>
      <c r="T352" t="str">
        <f t="shared" si="14"/>
        <v>NA</v>
      </c>
      <c r="U352" t="str">
        <f t="shared" si="15"/>
        <v>NA</v>
      </c>
    </row>
    <row r="353" spans="18:21" ht="12.75">
      <c r="R353" t="str">
        <f t="shared" si="12"/>
        <v>NA</v>
      </c>
      <c r="S353" t="str">
        <f t="shared" si="13"/>
        <v>NA</v>
      </c>
      <c r="T353" t="str">
        <f t="shared" si="14"/>
        <v>NA</v>
      </c>
      <c r="U353" t="str">
        <f t="shared" si="15"/>
        <v>NA</v>
      </c>
    </row>
    <row r="354" spans="18:21" ht="12.75">
      <c r="R354" t="str">
        <f t="shared" si="12"/>
        <v>NA</v>
      </c>
      <c r="S354" t="str">
        <f t="shared" si="13"/>
        <v>NA</v>
      </c>
      <c r="T354" t="str">
        <f t="shared" si="14"/>
        <v>NA</v>
      </c>
      <c r="U354" t="str">
        <f t="shared" si="15"/>
        <v>NA</v>
      </c>
    </row>
    <row r="355" spans="18:21" ht="12.75">
      <c r="R355" t="str">
        <f t="shared" si="12"/>
        <v>NA</v>
      </c>
      <c r="S355" t="str">
        <f t="shared" si="13"/>
        <v>NA</v>
      </c>
      <c r="T355" t="str">
        <f t="shared" si="14"/>
        <v>NA</v>
      </c>
      <c r="U355" t="str">
        <f t="shared" si="15"/>
        <v>NA</v>
      </c>
    </row>
    <row r="356" spans="18:21" ht="12.75">
      <c r="R356" t="str">
        <f t="shared" si="12"/>
        <v>NA</v>
      </c>
      <c r="S356" t="str">
        <f t="shared" si="13"/>
        <v>NA</v>
      </c>
      <c r="T356" t="str">
        <f t="shared" si="14"/>
        <v>NA</v>
      </c>
      <c r="U356" t="str">
        <f t="shared" si="15"/>
        <v>NA</v>
      </c>
    </row>
    <row r="357" spans="18:21" ht="12.75">
      <c r="R357" t="str">
        <f t="shared" si="12"/>
        <v>NA</v>
      </c>
      <c r="S357" t="str">
        <f t="shared" si="13"/>
        <v>NA</v>
      </c>
      <c r="T357" t="str">
        <f t="shared" si="14"/>
        <v>NA</v>
      </c>
      <c r="U357" t="str">
        <f t="shared" si="15"/>
        <v>NA</v>
      </c>
    </row>
    <row r="358" spans="18:21" ht="12.75">
      <c r="R358" t="str">
        <f t="shared" si="12"/>
        <v>NA</v>
      </c>
      <c r="S358" t="str">
        <f t="shared" si="13"/>
        <v>NA</v>
      </c>
      <c r="T358" t="str">
        <f t="shared" si="14"/>
        <v>NA</v>
      </c>
      <c r="U358" t="str">
        <f t="shared" si="15"/>
        <v>NA</v>
      </c>
    </row>
    <row r="359" spans="18:21" ht="12.75">
      <c r="R359" t="str">
        <f t="shared" si="12"/>
        <v>NA</v>
      </c>
      <c r="S359" t="str">
        <f t="shared" si="13"/>
        <v>NA</v>
      </c>
      <c r="T359" t="str">
        <f t="shared" si="14"/>
        <v>NA</v>
      </c>
      <c r="U359" t="str">
        <f t="shared" si="15"/>
        <v>NA</v>
      </c>
    </row>
    <row r="360" spans="18:21" ht="12.75">
      <c r="R360" t="str">
        <f t="shared" si="12"/>
        <v>NA</v>
      </c>
      <c r="S360" t="str">
        <f t="shared" si="13"/>
        <v>NA</v>
      </c>
      <c r="T360" t="str">
        <f t="shared" si="14"/>
        <v>NA</v>
      </c>
      <c r="U360" t="str">
        <f t="shared" si="15"/>
        <v>NA</v>
      </c>
    </row>
    <row r="361" spans="18:21" ht="12.75">
      <c r="R361" t="str">
        <f t="shared" si="12"/>
        <v>NA</v>
      </c>
      <c r="S361" t="str">
        <f t="shared" si="13"/>
        <v>NA</v>
      </c>
      <c r="T361" t="str">
        <f t="shared" si="14"/>
        <v>NA</v>
      </c>
      <c r="U361" t="str">
        <f t="shared" si="15"/>
        <v>NA</v>
      </c>
    </row>
    <row r="362" spans="18:21" ht="12.75">
      <c r="R362" t="str">
        <f t="shared" si="12"/>
        <v>NA</v>
      </c>
      <c r="S362" t="str">
        <f t="shared" si="13"/>
        <v>NA</v>
      </c>
      <c r="T362" t="str">
        <f t="shared" si="14"/>
        <v>NA</v>
      </c>
      <c r="U362" t="str">
        <f t="shared" si="15"/>
        <v>NA</v>
      </c>
    </row>
    <row r="363" spans="18:21" ht="12.75">
      <c r="R363" t="str">
        <f t="shared" si="12"/>
        <v>NA</v>
      </c>
      <c r="S363" t="str">
        <f t="shared" si="13"/>
        <v>NA</v>
      </c>
      <c r="T363" t="str">
        <f t="shared" si="14"/>
        <v>NA</v>
      </c>
      <c r="U363" t="str">
        <f t="shared" si="15"/>
        <v>NA</v>
      </c>
    </row>
    <row r="364" spans="18:21" ht="12.75">
      <c r="R364" t="str">
        <f t="shared" si="12"/>
        <v>NA</v>
      </c>
      <c r="S364" t="str">
        <f t="shared" si="13"/>
        <v>NA</v>
      </c>
      <c r="T364" t="str">
        <f t="shared" si="14"/>
        <v>NA</v>
      </c>
      <c r="U364" t="str">
        <f t="shared" si="15"/>
        <v>NA</v>
      </c>
    </row>
    <row r="365" spans="18:21" ht="12.75">
      <c r="R365" t="str">
        <f t="shared" si="12"/>
        <v>NA</v>
      </c>
      <c r="S365" t="str">
        <f t="shared" si="13"/>
        <v>NA</v>
      </c>
      <c r="T365" t="str">
        <f t="shared" si="14"/>
        <v>NA</v>
      </c>
      <c r="U365" t="str">
        <f t="shared" si="15"/>
        <v>NA</v>
      </c>
    </row>
    <row r="366" spans="18:21" ht="12.75">
      <c r="R366" t="str">
        <f t="shared" si="12"/>
        <v>NA</v>
      </c>
      <c r="S366" t="str">
        <f t="shared" si="13"/>
        <v>NA</v>
      </c>
      <c r="T366" t="str">
        <f t="shared" si="14"/>
        <v>NA</v>
      </c>
      <c r="U366" t="str">
        <f t="shared" si="15"/>
        <v>NA</v>
      </c>
    </row>
    <row r="367" spans="18:21" ht="12.75">
      <c r="R367" t="str">
        <f t="shared" si="12"/>
        <v>NA</v>
      </c>
      <c r="S367" t="str">
        <f t="shared" si="13"/>
        <v>NA</v>
      </c>
      <c r="T367" t="str">
        <f t="shared" si="14"/>
        <v>NA</v>
      </c>
      <c r="U367" t="str">
        <f t="shared" si="15"/>
        <v>NA</v>
      </c>
    </row>
    <row r="368" spans="18:21" ht="12.75">
      <c r="R368" t="str">
        <f t="shared" si="12"/>
        <v>NA</v>
      </c>
      <c r="S368" t="str">
        <f t="shared" si="13"/>
        <v>NA</v>
      </c>
      <c r="T368" t="str">
        <f t="shared" si="14"/>
        <v>NA</v>
      </c>
      <c r="U368" t="str">
        <f t="shared" si="15"/>
        <v>NA</v>
      </c>
    </row>
    <row r="369" spans="18:21" ht="12.75">
      <c r="R369" t="str">
        <f t="shared" si="12"/>
        <v>NA</v>
      </c>
      <c r="S369" t="str">
        <f t="shared" si="13"/>
        <v>NA</v>
      </c>
      <c r="T369" t="str">
        <f t="shared" si="14"/>
        <v>NA</v>
      </c>
      <c r="U369" t="str">
        <f t="shared" si="15"/>
        <v>NA</v>
      </c>
    </row>
    <row r="370" spans="18:21" ht="12.75">
      <c r="R370" t="str">
        <f t="shared" si="12"/>
        <v>NA</v>
      </c>
      <c r="S370" t="str">
        <f t="shared" si="13"/>
        <v>NA</v>
      </c>
      <c r="T370" t="str">
        <f t="shared" si="14"/>
        <v>NA</v>
      </c>
      <c r="U370" t="str">
        <f t="shared" si="15"/>
        <v>NA</v>
      </c>
    </row>
    <row r="371" spans="18:21" ht="12.75">
      <c r="R371" t="str">
        <f t="shared" si="12"/>
        <v>NA</v>
      </c>
      <c r="S371" t="str">
        <f t="shared" si="13"/>
        <v>NA</v>
      </c>
      <c r="T371" t="str">
        <f t="shared" si="14"/>
        <v>NA</v>
      </c>
      <c r="U371" t="str">
        <f t="shared" si="15"/>
        <v>NA</v>
      </c>
    </row>
    <row r="372" spans="18:21" ht="12.75">
      <c r="R372" t="str">
        <f t="shared" si="12"/>
        <v>NA</v>
      </c>
      <c r="S372" t="str">
        <f t="shared" si="13"/>
        <v>NA</v>
      </c>
      <c r="T372" t="str">
        <f t="shared" si="14"/>
        <v>NA</v>
      </c>
      <c r="U372" t="str">
        <f t="shared" si="15"/>
        <v>NA</v>
      </c>
    </row>
    <row r="373" spans="18:21" ht="12.75">
      <c r="R373" t="str">
        <f t="shared" si="12"/>
        <v>NA</v>
      </c>
      <c r="S373" t="str">
        <f t="shared" si="13"/>
        <v>NA</v>
      </c>
      <c r="T373" t="str">
        <f t="shared" si="14"/>
        <v>NA</v>
      </c>
      <c r="U373" t="str">
        <f t="shared" si="15"/>
        <v>NA</v>
      </c>
    </row>
    <row r="374" spans="18:21" ht="12.75">
      <c r="R374" t="str">
        <f t="shared" si="12"/>
        <v>NA</v>
      </c>
      <c r="S374" t="str">
        <f t="shared" si="13"/>
        <v>NA</v>
      </c>
      <c r="T374" t="str">
        <f t="shared" si="14"/>
        <v>NA</v>
      </c>
      <c r="U374" t="str">
        <f t="shared" si="15"/>
        <v>NA</v>
      </c>
    </row>
    <row r="375" spans="18:21" ht="12.75">
      <c r="R375" t="str">
        <f t="shared" si="12"/>
        <v>NA</v>
      </c>
      <c r="S375" t="str">
        <f t="shared" si="13"/>
        <v>NA</v>
      </c>
      <c r="T375" t="str">
        <f t="shared" si="14"/>
        <v>NA</v>
      </c>
      <c r="U375" t="str">
        <f t="shared" si="15"/>
        <v>NA</v>
      </c>
    </row>
    <row r="376" spans="18:21" ht="12.75">
      <c r="R376" t="str">
        <f t="shared" si="12"/>
        <v>NA</v>
      </c>
      <c r="S376" t="str">
        <f t="shared" si="13"/>
        <v>NA</v>
      </c>
      <c r="T376" t="str">
        <f t="shared" si="14"/>
        <v>NA</v>
      </c>
      <c r="U376" t="str">
        <f t="shared" si="15"/>
        <v>NA</v>
      </c>
    </row>
    <row r="377" spans="18:21" ht="12.75">
      <c r="R377" t="str">
        <f t="shared" si="12"/>
        <v>NA</v>
      </c>
      <c r="S377" t="str">
        <f t="shared" si="13"/>
        <v>NA</v>
      </c>
      <c r="T377" t="str">
        <f t="shared" si="14"/>
        <v>NA</v>
      </c>
      <c r="U377" t="str">
        <f t="shared" si="15"/>
        <v>NA</v>
      </c>
    </row>
    <row r="378" spans="18:21" ht="12.75">
      <c r="R378" t="str">
        <f t="shared" si="12"/>
        <v>NA</v>
      </c>
      <c r="S378" t="str">
        <f t="shared" si="13"/>
        <v>NA</v>
      </c>
      <c r="T378" t="str">
        <f t="shared" si="14"/>
        <v>NA</v>
      </c>
      <c r="U378" t="str">
        <f t="shared" si="15"/>
        <v>NA</v>
      </c>
    </row>
    <row r="379" spans="18:21" ht="12.75">
      <c r="R379" t="str">
        <f t="shared" si="12"/>
        <v>NA</v>
      </c>
      <c r="S379" t="str">
        <f t="shared" si="13"/>
        <v>NA</v>
      </c>
      <c r="T379" t="str">
        <f t="shared" si="14"/>
        <v>NA</v>
      </c>
      <c r="U379" t="str">
        <f t="shared" si="15"/>
        <v>NA</v>
      </c>
    </row>
    <row r="380" spans="18:21" ht="12.75">
      <c r="R380" t="str">
        <f t="shared" si="12"/>
        <v>NA</v>
      </c>
      <c r="S380" t="str">
        <f t="shared" si="13"/>
        <v>NA</v>
      </c>
      <c r="T380" t="str">
        <f t="shared" si="14"/>
        <v>NA</v>
      </c>
      <c r="U380" t="str">
        <f t="shared" si="15"/>
        <v>NA</v>
      </c>
    </row>
    <row r="381" spans="18:21" ht="12.75">
      <c r="R381" t="str">
        <f t="shared" si="12"/>
        <v>NA</v>
      </c>
      <c r="S381" t="str">
        <f t="shared" si="13"/>
        <v>NA</v>
      </c>
      <c r="T381" t="str">
        <f t="shared" si="14"/>
        <v>NA</v>
      </c>
      <c r="U381" t="str">
        <f t="shared" si="15"/>
        <v>NA</v>
      </c>
    </row>
    <row r="382" spans="18:21" ht="12.75">
      <c r="R382" t="str">
        <f t="shared" si="12"/>
        <v>NA</v>
      </c>
      <c r="S382" t="str">
        <f t="shared" si="13"/>
        <v>NA</v>
      </c>
      <c r="T382" t="str">
        <f t="shared" si="14"/>
        <v>NA</v>
      </c>
      <c r="U382" t="str">
        <f t="shared" si="15"/>
        <v>NA</v>
      </c>
    </row>
    <row r="383" spans="18:21" ht="12.75">
      <c r="R383" t="str">
        <f t="shared" si="12"/>
        <v>NA</v>
      </c>
      <c r="S383" t="str">
        <f t="shared" si="13"/>
        <v>NA</v>
      </c>
      <c r="T383" t="str">
        <f t="shared" si="14"/>
        <v>NA</v>
      </c>
      <c r="U383" t="str">
        <f t="shared" si="15"/>
        <v>NA</v>
      </c>
    </row>
    <row r="384" spans="18:21" ht="12.75">
      <c r="R384" t="str">
        <f t="shared" si="12"/>
        <v>NA</v>
      </c>
      <c r="S384" t="str">
        <f t="shared" si="13"/>
        <v>NA</v>
      </c>
      <c r="T384" t="str">
        <f t="shared" si="14"/>
        <v>NA</v>
      </c>
      <c r="U384" t="str">
        <f t="shared" si="15"/>
        <v>NA</v>
      </c>
    </row>
    <row r="385" spans="18:21" ht="12.75">
      <c r="R385" t="str">
        <f aca="true" t="shared" si="16" ref="R385:R448">(IF(F385="High","High",IF(G385="High","High",IF(H385="High","High",IF(F385="Moderate","Moderate",IF(G385="Moderate","Moderate",IF(H385="Moderate","Moderate","NA")))))))</f>
        <v>NA</v>
      </c>
      <c r="S385" t="str">
        <f aca="true" t="shared" si="17" ref="S385:S448">(IF(I385="High","High",IF(J385="High","High",IF(I385="Moderate","Moderate",IF(J385="Moderate","Moderate","NA")))))</f>
        <v>NA</v>
      </c>
      <c r="T385" t="str">
        <f aca="true" t="shared" si="18" ref="T385:T448">(IF(I385="High","Runoff",IF(J385="High","Flooding",IF(I385="Moderate","Runoff",IF(J385="Moderate","Flooding","NA")))))</f>
        <v>NA</v>
      </c>
      <c r="U385" t="str">
        <f aca="true" t="shared" si="19" ref="U385:U448">(IF(F385="High","Poor Filter",IF(G385="High","Wetness",IF(H385="High","Lateral Flow",IF(F385="Moderate","Poor Filter",IF(G385="Moderate","Wetness",IF(H385="Moderate","Lateral Flow","NA")))))))</f>
        <v>NA</v>
      </c>
    </row>
    <row r="386" spans="18:21" ht="12.75">
      <c r="R386" t="str">
        <f t="shared" si="16"/>
        <v>NA</v>
      </c>
      <c r="S386" t="str">
        <f t="shared" si="17"/>
        <v>NA</v>
      </c>
      <c r="T386" t="str">
        <f t="shared" si="18"/>
        <v>NA</v>
      </c>
      <c r="U386" t="str">
        <f t="shared" si="19"/>
        <v>NA</v>
      </c>
    </row>
    <row r="387" spans="18:21" ht="12.75">
      <c r="R387" t="str">
        <f t="shared" si="16"/>
        <v>NA</v>
      </c>
      <c r="S387" t="str">
        <f t="shared" si="17"/>
        <v>NA</v>
      </c>
      <c r="T387" t="str">
        <f t="shared" si="18"/>
        <v>NA</v>
      </c>
      <c r="U387" t="str">
        <f t="shared" si="19"/>
        <v>NA</v>
      </c>
    </row>
    <row r="388" spans="18:21" ht="12.75">
      <c r="R388" t="str">
        <f t="shared" si="16"/>
        <v>NA</v>
      </c>
      <c r="S388" t="str">
        <f t="shared" si="17"/>
        <v>NA</v>
      </c>
      <c r="T388" t="str">
        <f t="shared" si="18"/>
        <v>NA</v>
      </c>
      <c r="U388" t="str">
        <f t="shared" si="19"/>
        <v>NA</v>
      </c>
    </row>
    <row r="389" spans="18:21" ht="12.75">
      <c r="R389" t="str">
        <f t="shared" si="16"/>
        <v>NA</v>
      </c>
      <c r="S389" t="str">
        <f t="shared" si="17"/>
        <v>NA</v>
      </c>
      <c r="T389" t="str">
        <f t="shared" si="18"/>
        <v>NA</v>
      </c>
      <c r="U389" t="str">
        <f t="shared" si="19"/>
        <v>NA</v>
      </c>
    </row>
    <row r="390" spans="18:21" ht="12.75">
      <c r="R390" t="str">
        <f t="shared" si="16"/>
        <v>NA</v>
      </c>
      <c r="S390" t="str">
        <f t="shared" si="17"/>
        <v>NA</v>
      </c>
      <c r="T390" t="str">
        <f t="shared" si="18"/>
        <v>NA</v>
      </c>
      <c r="U390" t="str">
        <f t="shared" si="19"/>
        <v>NA</v>
      </c>
    </row>
    <row r="391" spans="18:21" ht="12.75">
      <c r="R391" t="str">
        <f t="shared" si="16"/>
        <v>NA</v>
      </c>
      <c r="S391" t="str">
        <f t="shared" si="17"/>
        <v>NA</v>
      </c>
      <c r="T391" t="str">
        <f t="shared" si="18"/>
        <v>NA</v>
      </c>
      <c r="U391" t="str">
        <f t="shared" si="19"/>
        <v>NA</v>
      </c>
    </row>
    <row r="392" spans="18:21" ht="12.75">
      <c r="R392" t="str">
        <f t="shared" si="16"/>
        <v>NA</v>
      </c>
      <c r="S392" t="str">
        <f t="shared" si="17"/>
        <v>NA</v>
      </c>
      <c r="T392" t="str">
        <f t="shared" si="18"/>
        <v>NA</v>
      </c>
      <c r="U392" t="str">
        <f t="shared" si="19"/>
        <v>NA</v>
      </c>
    </row>
    <row r="393" spans="18:21" ht="12.75">
      <c r="R393" t="str">
        <f t="shared" si="16"/>
        <v>NA</v>
      </c>
      <c r="S393" t="str">
        <f t="shared" si="17"/>
        <v>NA</v>
      </c>
      <c r="T393" t="str">
        <f t="shared" si="18"/>
        <v>NA</v>
      </c>
      <c r="U393" t="str">
        <f t="shared" si="19"/>
        <v>NA</v>
      </c>
    </row>
    <row r="394" spans="18:21" ht="12.75">
      <c r="R394" t="str">
        <f t="shared" si="16"/>
        <v>NA</v>
      </c>
      <c r="S394" t="str">
        <f t="shared" si="17"/>
        <v>NA</v>
      </c>
      <c r="T394" t="str">
        <f t="shared" si="18"/>
        <v>NA</v>
      </c>
      <c r="U394" t="str">
        <f t="shared" si="19"/>
        <v>NA</v>
      </c>
    </row>
    <row r="395" spans="18:21" ht="12.75">
      <c r="R395" t="str">
        <f t="shared" si="16"/>
        <v>NA</v>
      </c>
      <c r="S395" t="str">
        <f t="shared" si="17"/>
        <v>NA</v>
      </c>
      <c r="T395" t="str">
        <f t="shared" si="18"/>
        <v>NA</v>
      </c>
      <c r="U395" t="str">
        <f t="shared" si="19"/>
        <v>NA</v>
      </c>
    </row>
    <row r="396" spans="18:21" ht="12.75">
      <c r="R396" t="str">
        <f t="shared" si="16"/>
        <v>NA</v>
      </c>
      <c r="S396" t="str">
        <f t="shared" si="17"/>
        <v>NA</v>
      </c>
      <c r="T396" t="str">
        <f t="shared" si="18"/>
        <v>NA</v>
      </c>
      <c r="U396" t="str">
        <f t="shared" si="19"/>
        <v>NA</v>
      </c>
    </row>
    <row r="397" spans="18:21" ht="12.75">
      <c r="R397" t="str">
        <f t="shared" si="16"/>
        <v>NA</v>
      </c>
      <c r="S397" t="str">
        <f t="shared" si="17"/>
        <v>NA</v>
      </c>
      <c r="T397" t="str">
        <f t="shared" si="18"/>
        <v>NA</v>
      </c>
      <c r="U397" t="str">
        <f t="shared" si="19"/>
        <v>NA</v>
      </c>
    </row>
    <row r="398" spans="18:21" ht="12.75">
      <c r="R398" t="str">
        <f t="shared" si="16"/>
        <v>NA</v>
      </c>
      <c r="S398" t="str">
        <f t="shared" si="17"/>
        <v>NA</v>
      </c>
      <c r="T398" t="str">
        <f t="shared" si="18"/>
        <v>NA</v>
      </c>
      <c r="U398" t="str">
        <f t="shared" si="19"/>
        <v>NA</v>
      </c>
    </row>
    <row r="399" spans="18:21" ht="12.75">
      <c r="R399" t="str">
        <f t="shared" si="16"/>
        <v>NA</v>
      </c>
      <c r="S399" t="str">
        <f t="shared" si="17"/>
        <v>NA</v>
      </c>
      <c r="T399" t="str">
        <f t="shared" si="18"/>
        <v>NA</v>
      </c>
      <c r="U399" t="str">
        <f t="shared" si="19"/>
        <v>NA</v>
      </c>
    </row>
    <row r="400" spans="18:21" ht="12.75">
      <c r="R400" t="str">
        <f t="shared" si="16"/>
        <v>NA</v>
      </c>
      <c r="S400" t="str">
        <f t="shared" si="17"/>
        <v>NA</v>
      </c>
      <c r="T400" t="str">
        <f t="shared" si="18"/>
        <v>NA</v>
      </c>
      <c r="U400" t="str">
        <f t="shared" si="19"/>
        <v>NA</v>
      </c>
    </row>
    <row r="401" spans="18:21" ht="12.75">
      <c r="R401" t="str">
        <f t="shared" si="16"/>
        <v>NA</v>
      </c>
      <c r="S401" t="str">
        <f t="shared" si="17"/>
        <v>NA</v>
      </c>
      <c r="T401" t="str">
        <f t="shared" si="18"/>
        <v>NA</v>
      </c>
      <c r="U401" t="str">
        <f t="shared" si="19"/>
        <v>NA</v>
      </c>
    </row>
    <row r="402" spans="18:21" ht="12.75">
      <c r="R402" t="str">
        <f t="shared" si="16"/>
        <v>NA</v>
      </c>
      <c r="S402" t="str">
        <f t="shared" si="17"/>
        <v>NA</v>
      </c>
      <c r="T402" t="str">
        <f t="shared" si="18"/>
        <v>NA</v>
      </c>
      <c r="U402" t="str">
        <f t="shared" si="19"/>
        <v>NA</v>
      </c>
    </row>
    <row r="403" spans="18:21" ht="12.75">
      <c r="R403" t="str">
        <f t="shared" si="16"/>
        <v>NA</v>
      </c>
      <c r="S403" t="str">
        <f t="shared" si="17"/>
        <v>NA</v>
      </c>
      <c r="T403" t="str">
        <f t="shared" si="18"/>
        <v>NA</v>
      </c>
      <c r="U403" t="str">
        <f t="shared" si="19"/>
        <v>NA</v>
      </c>
    </row>
    <row r="404" spans="18:21" ht="12.75">
      <c r="R404" t="str">
        <f t="shared" si="16"/>
        <v>NA</v>
      </c>
      <c r="S404" t="str">
        <f t="shared" si="17"/>
        <v>NA</v>
      </c>
      <c r="T404" t="str">
        <f t="shared" si="18"/>
        <v>NA</v>
      </c>
      <c r="U404" t="str">
        <f t="shared" si="19"/>
        <v>NA</v>
      </c>
    </row>
    <row r="405" spans="18:21" ht="12.75">
      <c r="R405" t="str">
        <f t="shared" si="16"/>
        <v>NA</v>
      </c>
      <c r="S405" t="str">
        <f t="shared" si="17"/>
        <v>NA</v>
      </c>
      <c r="T405" t="str">
        <f t="shared" si="18"/>
        <v>NA</v>
      </c>
      <c r="U405" t="str">
        <f t="shared" si="19"/>
        <v>NA</v>
      </c>
    </row>
    <row r="406" spans="18:21" ht="12.75">
      <c r="R406" t="str">
        <f t="shared" si="16"/>
        <v>NA</v>
      </c>
      <c r="S406" t="str">
        <f t="shared" si="17"/>
        <v>NA</v>
      </c>
      <c r="T406" t="str">
        <f t="shared" si="18"/>
        <v>NA</v>
      </c>
      <c r="U406" t="str">
        <f t="shared" si="19"/>
        <v>NA</v>
      </c>
    </row>
    <row r="407" spans="18:21" ht="12.75">
      <c r="R407" t="str">
        <f t="shared" si="16"/>
        <v>NA</v>
      </c>
      <c r="S407" t="str">
        <f t="shared" si="17"/>
        <v>NA</v>
      </c>
      <c r="T407" t="str">
        <f t="shared" si="18"/>
        <v>NA</v>
      </c>
      <c r="U407" t="str">
        <f t="shared" si="19"/>
        <v>NA</v>
      </c>
    </row>
    <row r="408" spans="18:21" ht="12.75">
      <c r="R408" t="str">
        <f t="shared" si="16"/>
        <v>NA</v>
      </c>
      <c r="S408" t="str">
        <f t="shared" si="17"/>
        <v>NA</v>
      </c>
      <c r="T408" t="str">
        <f t="shared" si="18"/>
        <v>NA</v>
      </c>
      <c r="U408" t="str">
        <f t="shared" si="19"/>
        <v>NA</v>
      </c>
    </row>
    <row r="409" spans="18:21" ht="12.75">
      <c r="R409" t="str">
        <f t="shared" si="16"/>
        <v>NA</v>
      </c>
      <c r="S409" t="str">
        <f t="shared" si="17"/>
        <v>NA</v>
      </c>
      <c r="T409" t="str">
        <f t="shared" si="18"/>
        <v>NA</v>
      </c>
      <c r="U409" t="str">
        <f t="shared" si="19"/>
        <v>NA</v>
      </c>
    </row>
    <row r="410" spans="18:21" ht="12.75">
      <c r="R410" t="str">
        <f t="shared" si="16"/>
        <v>NA</v>
      </c>
      <c r="S410" t="str">
        <f t="shared" si="17"/>
        <v>NA</v>
      </c>
      <c r="T410" t="str">
        <f t="shared" si="18"/>
        <v>NA</v>
      </c>
      <c r="U410" t="str">
        <f t="shared" si="19"/>
        <v>NA</v>
      </c>
    </row>
    <row r="411" spans="18:21" ht="12.75">
      <c r="R411" t="str">
        <f t="shared" si="16"/>
        <v>NA</v>
      </c>
      <c r="S411" t="str">
        <f t="shared" si="17"/>
        <v>NA</v>
      </c>
      <c r="T411" t="str">
        <f t="shared" si="18"/>
        <v>NA</v>
      </c>
      <c r="U411" t="str">
        <f t="shared" si="19"/>
        <v>NA</v>
      </c>
    </row>
    <row r="412" spans="18:21" ht="12.75">
      <c r="R412" t="str">
        <f t="shared" si="16"/>
        <v>NA</v>
      </c>
      <c r="S412" t="str">
        <f t="shared" si="17"/>
        <v>NA</v>
      </c>
      <c r="T412" t="str">
        <f t="shared" si="18"/>
        <v>NA</v>
      </c>
      <c r="U412" t="str">
        <f t="shared" si="19"/>
        <v>NA</v>
      </c>
    </row>
    <row r="413" spans="18:21" ht="12.75">
      <c r="R413" t="str">
        <f t="shared" si="16"/>
        <v>NA</v>
      </c>
      <c r="S413" t="str">
        <f t="shared" si="17"/>
        <v>NA</v>
      </c>
      <c r="T413" t="str">
        <f t="shared" si="18"/>
        <v>NA</v>
      </c>
      <c r="U413" t="str">
        <f t="shared" si="19"/>
        <v>NA</v>
      </c>
    </row>
    <row r="414" spans="18:21" ht="12.75">
      <c r="R414" t="str">
        <f t="shared" si="16"/>
        <v>NA</v>
      </c>
      <c r="S414" t="str">
        <f t="shared" si="17"/>
        <v>NA</v>
      </c>
      <c r="T414" t="str">
        <f t="shared" si="18"/>
        <v>NA</v>
      </c>
      <c r="U414" t="str">
        <f t="shared" si="19"/>
        <v>NA</v>
      </c>
    </row>
    <row r="415" spans="18:21" ht="12.75">
      <c r="R415" t="str">
        <f t="shared" si="16"/>
        <v>NA</v>
      </c>
      <c r="S415" t="str">
        <f t="shared" si="17"/>
        <v>NA</v>
      </c>
      <c r="T415" t="str">
        <f t="shared" si="18"/>
        <v>NA</v>
      </c>
      <c r="U415" t="str">
        <f t="shared" si="19"/>
        <v>NA</v>
      </c>
    </row>
    <row r="416" spans="18:21" ht="12.75">
      <c r="R416" t="str">
        <f t="shared" si="16"/>
        <v>NA</v>
      </c>
      <c r="S416" t="str">
        <f t="shared" si="17"/>
        <v>NA</v>
      </c>
      <c r="T416" t="str">
        <f t="shared" si="18"/>
        <v>NA</v>
      </c>
      <c r="U416" t="str">
        <f t="shared" si="19"/>
        <v>NA</v>
      </c>
    </row>
    <row r="417" spans="18:21" ht="12.75">
      <c r="R417" t="str">
        <f t="shared" si="16"/>
        <v>NA</v>
      </c>
      <c r="S417" t="str">
        <f t="shared" si="17"/>
        <v>NA</v>
      </c>
      <c r="T417" t="str">
        <f t="shared" si="18"/>
        <v>NA</v>
      </c>
      <c r="U417" t="str">
        <f t="shared" si="19"/>
        <v>NA</v>
      </c>
    </row>
    <row r="418" spans="18:21" ht="12.75">
      <c r="R418" t="str">
        <f t="shared" si="16"/>
        <v>NA</v>
      </c>
      <c r="S418" t="str">
        <f t="shared" si="17"/>
        <v>NA</v>
      </c>
      <c r="T418" t="str">
        <f t="shared" si="18"/>
        <v>NA</v>
      </c>
      <c r="U418" t="str">
        <f t="shared" si="19"/>
        <v>NA</v>
      </c>
    </row>
    <row r="419" spans="18:21" ht="12.75">
      <c r="R419" t="str">
        <f t="shared" si="16"/>
        <v>NA</v>
      </c>
      <c r="S419" t="str">
        <f t="shared" si="17"/>
        <v>NA</v>
      </c>
      <c r="T419" t="str">
        <f t="shared" si="18"/>
        <v>NA</v>
      </c>
      <c r="U419" t="str">
        <f t="shared" si="19"/>
        <v>NA</v>
      </c>
    </row>
    <row r="420" spans="18:21" ht="12.75">
      <c r="R420" t="str">
        <f t="shared" si="16"/>
        <v>NA</v>
      </c>
      <c r="S420" t="str">
        <f t="shared" si="17"/>
        <v>NA</v>
      </c>
      <c r="T420" t="str">
        <f t="shared" si="18"/>
        <v>NA</v>
      </c>
      <c r="U420" t="str">
        <f t="shared" si="19"/>
        <v>NA</v>
      </c>
    </row>
    <row r="421" spans="18:21" ht="12.75">
      <c r="R421" t="str">
        <f t="shared" si="16"/>
        <v>NA</v>
      </c>
      <c r="S421" t="str">
        <f t="shared" si="17"/>
        <v>NA</v>
      </c>
      <c r="T421" t="str">
        <f t="shared" si="18"/>
        <v>NA</v>
      </c>
      <c r="U421" t="str">
        <f t="shared" si="19"/>
        <v>NA</v>
      </c>
    </row>
    <row r="422" spans="18:21" ht="12.75">
      <c r="R422" t="str">
        <f t="shared" si="16"/>
        <v>NA</v>
      </c>
      <c r="S422" t="str">
        <f t="shared" si="17"/>
        <v>NA</v>
      </c>
      <c r="T422" t="str">
        <f t="shared" si="18"/>
        <v>NA</v>
      </c>
      <c r="U422" t="str">
        <f t="shared" si="19"/>
        <v>NA</v>
      </c>
    </row>
    <row r="423" spans="18:21" ht="12.75">
      <c r="R423" t="str">
        <f t="shared" si="16"/>
        <v>NA</v>
      </c>
      <c r="S423" t="str">
        <f t="shared" si="17"/>
        <v>NA</v>
      </c>
      <c r="T423" t="str">
        <f t="shared" si="18"/>
        <v>NA</v>
      </c>
      <c r="U423" t="str">
        <f t="shared" si="19"/>
        <v>NA</v>
      </c>
    </row>
    <row r="424" spans="18:21" ht="12.75">
      <c r="R424" t="str">
        <f t="shared" si="16"/>
        <v>NA</v>
      </c>
      <c r="S424" t="str">
        <f t="shared" si="17"/>
        <v>NA</v>
      </c>
      <c r="T424" t="str">
        <f t="shared" si="18"/>
        <v>NA</v>
      </c>
      <c r="U424" t="str">
        <f t="shared" si="19"/>
        <v>NA</v>
      </c>
    </row>
    <row r="425" spans="18:21" ht="12.75">
      <c r="R425" t="str">
        <f t="shared" si="16"/>
        <v>NA</v>
      </c>
      <c r="S425" t="str">
        <f t="shared" si="17"/>
        <v>NA</v>
      </c>
      <c r="T425" t="str">
        <f t="shared" si="18"/>
        <v>NA</v>
      </c>
      <c r="U425" t="str">
        <f t="shared" si="19"/>
        <v>NA</v>
      </c>
    </row>
    <row r="426" spans="18:21" ht="12.75">
      <c r="R426" t="str">
        <f t="shared" si="16"/>
        <v>NA</v>
      </c>
      <c r="S426" t="str">
        <f t="shared" si="17"/>
        <v>NA</v>
      </c>
      <c r="T426" t="str">
        <f t="shared" si="18"/>
        <v>NA</v>
      </c>
      <c r="U426" t="str">
        <f t="shared" si="19"/>
        <v>NA</v>
      </c>
    </row>
    <row r="427" spans="18:21" ht="12.75">
      <c r="R427" t="str">
        <f t="shared" si="16"/>
        <v>NA</v>
      </c>
      <c r="S427" t="str">
        <f t="shared" si="17"/>
        <v>NA</v>
      </c>
      <c r="T427" t="str">
        <f t="shared" si="18"/>
        <v>NA</v>
      </c>
      <c r="U427" t="str">
        <f t="shared" si="19"/>
        <v>NA</v>
      </c>
    </row>
    <row r="428" spans="18:21" ht="12.75">
      <c r="R428" t="str">
        <f t="shared" si="16"/>
        <v>NA</v>
      </c>
      <c r="S428" t="str">
        <f t="shared" si="17"/>
        <v>NA</v>
      </c>
      <c r="T428" t="str">
        <f t="shared" si="18"/>
        <v>NA</v>
      </c>
      <c r="U428" t="str">
        <f t="shared" si="19"/>
        <v>NA</v>
      </c>
    </row>
    <row r="429" spans="18:21" ht="12.75">
      <c r="R429" t="str">
        <f t="shared" si="16"/>
        <v>NA</v>
      </c>
      <c r="S429" t="str">
        <f t="shared" si="17"/>
        <v>NA</v>
      </c>
      <c r="T429" t="str">
        <f t="shared" si="18"/>
        <v>NA</v>
      </c>
      <c r="U429" t="str">
        <f t="shared" si="19"/>
        <v>NA</v>
      </c>
    </row>
    <row r="430" spans="18:21" ht="12.75">
      <c r="R430" t="str">
        <f t="shared" si="16"/>
        <v>NA</v>
      </c>
      <c r="S430" t="str">
        <f t="shared" si="17"/>
        <v>NA</v>
      </c>
      <c r="T430" t="str">
        <f t="shared" si="18"/>
        <v>NA</v>
      </c>
      <c r="U430" t="str">
        <f t="shared" si="19"/>
        <v>NA</v>
      </c>
    </row>
    <row r="431" spans="18:21" ht="12.75">
      <c r="R431" t="str">
        <f t="shared" si="16"/>
        <v>NA</v>
      </c>
      <c r="S431" t="str">
        <f t="shared" si="17"/>
        <v>NA</v>
      </c>
      <c r="T431" t="str">
        <f t="shared" si="18"/>
        <v>NA</v>
      </c>
      <c r="U431" t="str">
        <f t="shared" si="19"/>
        <v>NA</v>
      </c>
    </row>
    <row r="432" spans="18:21" ht="12.75">
      <c r="R432" t="str">
        <f t="shared" si="16"/>
        <v>NA</v>
      </c>
      <c r="S432" t="str">
        <f t="shared" si="17"/>
        <v>NA</v>
      </c>
      <c r="T432" t="str">
        <f t="shared" si="18"/>
        <v>NA</v>
      </c>
      <c r="U432" t="str">
        <f t="shared" si="19"/>
        <v>NA</v>
      </c>
    </row>
    <row r="433" spans="18:21" ht="12.75">
      <c r="R433" t="str">
        <f t="shared" si="16"/>
        <v>NA</v>
      </c>
      <c r="S433" t="str">
        <f t="shared" si="17"/>
        <v>NA</v>
      </c>
      <c r="T433" t="str">
        <f t="shared" si="18"/>
        <v>NA</v>
      </c>
      <c r="U433" t="str">
        <f t="shared" si="19"/>
        <v>NA</v>
      </c>
    </row>
    <row r="434" spans="18:21" ht="12.75">
      <c r="R434" t="str">
        <f t="shared" si="16"/>
        <v>NA</v>
      </c>
      <c r="S434" t="str">
        <f t="shared" si="17"/>
        <v>NA</v>
      </c>
      <c r="T434" t="str">
        <f t="shared" si="18"/>
        <v>NA</v>
      </c>
      <c r="U434" t="str">
        <f t="shared" si="19"/>
        <v>NA</v>
      </c>
    </row>
    <row r="435" spans="18:21" ht="12.75">
      <c r="R435" t="str">
        <f t="shared" si="16"/>
        <v>NA</v>
      </c>
      <c r="S435" t="str">
        <f t="shared" si="17"/>
        <v>NA</v>
      </c>
      <c r="T435" t="str">
        <f t="shared" si="18"/>
        <v>NA</v>
      </c>
      <c r="U435" t="str">
        <f t="shared" si="19"/>
        <v>NA</v>
      </c>
    </row>
    <row r="436" spans="18:21" ht="12.75">
      <c r="R436" t="str">
        <f t="shared" si="16"/>
        <v>NA</v>
      </c>
      <c r="S436" t="str">
        <f t="shared" si="17"/>
        <v>NA</v>
      </c>
      <c r="T436" t="str">
        <f t="shared" si="18"/>
        <v>NA</v>
      </c>
      <c r="U436" t="str">
        <f t="shared" si="19"/>
        <v>NA</v>
      </c>
    </row>
    <row r="437" spans="18:21" ht="12.75">
      <c r="R437" t="str">
        <f t="shared" si="16"/>
        <v>NA</v>
      </c>
      <c r="S437" t="str">
        <f t="shared" si="17"/>
        <v>NA</v>
      </c>
      <c r="T437" t="str">
        <f t="shared" si="18"/>
        <v>NA</v>
      </c>
      <c r="U437" t="str">
        <f t="shared" si="19"/>
        <v>NA</v>
      </c>
    </row>
    <row r="438" spans="18:21" ht="12.75">
      <c r="R438" t="str">
        <f t="shared" si="16"/>
        <v>NA</v>
      </c>
      <c r="S438" t="str">
        <f t="shared" si="17"/>
        <v>NA</v>
      </c>
      <c r="T438" t="str">
        <f t="shared" si="18"/>
        <v>NA</v>
      </c>
      <c r="U438" t="str">
        <f t="shared" si="19"/>
        <v>NA</v>
      </c>
    </row>
    <row r="439" spans="18:21" ht="12.75">
      <c r="R439" t="str">
        <f t="shared" si="16"/>
        <v>NA</v>
      </c>
      <c r="S439" t="str">
        <f t="shared" si="17"/>
        <v>NA</v>
      </c>
      <c r="T439" t="str">
        <f t="shared" si="18"/>
        <v>NA</v>
      </c>
      <c r="U439" t="str">
        <f t="shared" si="19"/>
        <v>NA</v>
      </c>
    </row>
    <row r="440" spans="18:21" ht="12.75">
      <c r="R440" t="str">
        <f t="shared" si="16"/>
        <v>NA</v>
      </c>
      <c r="S440" t="str">
        <f t="shared" si="17"/>
        <v>NA</v>
      </c>
      <c r="T440" t="str">
        <f t="shared" si="18"/>
        <v>NA</v>
      </c>
      <c r="U440" t="str">
        <f t="shared" si="19"/>
        <v>NA</v>
      </c>
    </row>
    <row r="441" spans="18:21" ht="12.75">
      <c r="R441" t="str">
        <f t="shared" si="16"/>
        <v>NA</v>
      </c>
      <c r="S441" t="str">
        <f t="shared" si="17"/>
        <v>NA</v>
      </c>
      <c r="T441" t="str">
        <f t="shared" si="18"/>
        <v>NA</v>
      </c>
      <c r="U441" t="str">
        <f t="shared" si="19"/>
        <v>NA</v>
      </c>
    </row>
    <row r="442" spans="18:21" ht="12.75">
      <c r="R442" t="str">
        <f t="shared" si="16"/>
        <v>NA</v>
      </c>
      <c r="S442" t="str">
        <f t="shared" si="17"/>
        <v>NA</v>
      </c>
      <c r="T442" t="str">
        <f t="shared" si="18"/>
        <v>NA</v>
      </c>
      <c r="U442" t="str">
        <f t="shared" si="19"/>
        <v>NA</v>
      </c>
    </row>
    <row r="443" spans="18:21" ht="12.75">
      <c r="R443" t="str">
        <f t="shared" si="16"/>
        <v>NA</v>
      </c>
      <c r="S443" t="str">
        <f t="shared" si="17"/>
        <v>NA</v>
      </c>
      <c r="T443" t="str">
        <f t="shared" si="18"/>
        <v>NA</v>
      </c>
      <c r="U443" t="str">
        <f t="shared" si="19"/>
        <v>NA</v>
      </c>
    </row>
    <row r="444" spans="18:21" ht="12.75">
      <c r="R444" t="str">
        <f t="shared" si="16"/>
        <v>NA</v>
      </c>
      <c r="S444" t="str">
        <f t="shared" si="17"/>
        <v>NA</v>
      </c>
      <c r="T444" t="str">
        <f t="shared" si="18"/>
        <v>NA</v>
      </c>
      <c r="U444" t="str">
        <f t="shared" si="19"/>
        <v>NA</v>
      </c>
    </row>
    <row r="445" spans="18:21" ht="12.75">
      <c r="R445" t="str">
        <f t="shared" si="16"/>
        <v>NA</v>
      </c>
      <c r="S445" t="str">
        <f t="shared" si="17"/>
        <v>NA</v>
      </c>
      <c r="T445" t="str">
        <f t="shared" si="18"/>
        <v>NA</v>
      </c>
      <c r="U445" t="str">
        <f t="shared" si="19"/>
        <v>NA</v>
      </c>
    </row>
    <row r="446" spans="18:21" ht="12.75">
      <c r="R446" t="str">
        <f t="shared" si="16"/>
        <v>NA</v>
      </c>
      <c r="S446" t="str">
        <f t="shared" si="17"/>
        <v>NA</v>
      </c>
      <c r="T446" t="str">
        <f t="shared" si="18"/>
        <v>NA</v>
      </c>
      <c r="U446" t="str">
        <f t="shared" si="19"/>
        <v>NA</v>
      </c>
    </row>
    <row r="447" spans="18:21" ht="12.75">
      <c r="R447" t="str">
        <f t="shared" si="16"/>
        <v>NA</v>
      </c>
      <c r="S447" t="str">
        <f t="shared" si="17"/>
        <v>NA</v>
      </c>
      <c r="T447" t="str">
        <f t="shared" si="18"/>
        <v>NA</v>
      </c>
      <c r="U447" t="str">
        <f t="shared" si="19"/>
        <v>NA</v>
      </c>
    </row>
    <row r="448" spans="18:21" ht="12.75">
      <c r="R448" t="str">
        <f t="shared" si="16"/>
        <v>NA</v>
      </c>
      <c r="S448" t="str">
        <f t="shared" si="17"/>
        <v>NA</v>
      </c>
      <c r="T448" t="str">
        <f t="shared" si="18"/>
        <v>NA</v>
      </c>
      <c r="U448" t="str">
        <f t="shared" si="19"/>
        <v>NA</v>
      </c>
    </row>
    <row r="449" spans="18:21" ht="12.75">
      <c r="R449" t="str">
        <f aca="true" t="shared" si="20" ref="R449:R500">(IF(F449="High","High",IF(G449="High","High",IF(H449="High","High",IF(F449="Moderate","Moderate",IF(G449="Moderate","Moderate",IF(H449="Moderate","Moderate","NA")))))))</f>
        <v>NA</v>
      </c>
      <c r="S449" t="str">
        <f aca="true" t="shared" si="21" ref="S449:S500">(IF(I449="High","High",IF(J449="High","High",IF(I449="Moderate","Moderate",IF(J449="Moderate","Moderate","NA")))))</f>
        <v>NA</v>
      </c>
      <c r="T449" t="str">
        <f aca="true" t="shared" si="22" ref="T449:T500">(IF(I449="High","Runoff",IF(J449="High","Flooding",IF(I449="Moderate","Runoff",IF(J449="Moderate","Flooding","NA")))))</f>
        <v>NA</v>
      </c>
      <c r="U449" t="str">
        <f aca="true" t="shared" si="23" ref="U449:U500">(IF(F449="High","Poor Filter",IF(G449="High","Wetness",IF(H449="High","Lateral Flow",IF(F449="Moderate","Poor Filter",IF(G449="Moderate","Wetness",IF(H449="Moderate","Lateral Flow","NA")))))))</f>
        <v>NA</v>
      </c>
    </row>
    <row r="450" spans="18:21" ht="12.75">
      <c r="R450" t="str">
        <f t="shared" si="20"/>
        <v>NA</v>
      </c>
      <c r="S450" t="str">
        <f t="shared" si="21"/>
        <v>NA</v>
      </c>
      <c r="T450" t="str">
        <f t="shared" si="22"/>
        <v>NA</v>
      </c>
      <c r="U450" t="str">
        <f t="shared" si="23"/>
        <v>NA</v>
      </c>
    </row>
    <row r="451" spans="18:21" ht="12.75">
      <c r="R451" t="str">
        <f t="shared" si="20"/>
        <v>NA</v>
      </c>
      <c r="S451" t="str">
        <f t="shared" si="21"/>
        <v>NA</v>
      </c>
      <c r="T451" t="str">
        <f t="shared" si="22"/>
        <v>NA</v>
      </c>
      <c r="U451" t="str">
        <f t="shared" si="23"/>
        <v>NA</v>
      </c>
    </row>
    <row r="452" spans="18:21" ht="12.75">
      <c r="R452" t="str">
        <f t="shared" si="20"/>
        <v>NA</v>
      </c>
      <c r="S452" t="str">
        <f t="shared" si="21"/>
        <v>NA</v>
      </c>
      <c r="T452" t="str">
        <f t="shared" si="22"/>
        <v>NA</v>
      </c>
      <c r="U452" t="str">
        <f t="shared" si="23"/>
        <v>NA</v>
      </c>
    </row>
    <row r="453" spans="18:21" ht="12.75">
      <c r="R453" t="str">
        <f t="shared" si="20"/>
        <v>NA</v>
      </c>
      <c r="S453" t="str">
        <f t="shared" si="21"/>
        <v>NA</v>
      </c>
      <c r="T453" t="str">
        <f t="shared" si="22"/>
        <v>NA</v>
      </c>
      <c r="U453" t="str">
        <f t="shared" si="23"/>
        <v>NA</v>
      </c>
    </row>
    <row r="454" spans="18:21" ht="12.75">
      <c r="R454" t="str">
        <f t="shared" si="20"/>
        <v>NA</v>
      </c>
      <c r="S454" t="str">
        <f t="shared" si="21"/>
        <v>NA</v>
      </c>
      <c r="T454" t="str">
        <f t="shared" si="22"/>
        <v>NA</v>
      </c>
      <c r="U454" t="str">
        <f t="shared" si="23"/>
        <v>NA</v>
      </c>
    </row>
    <row r="455" spans="18:21" ht="12.75">
      <c r="R455" t="str">
        <f t="shared" si="20"/>
        <v>NA</v>
      </c>
      <c r="S455" t="str">
        <f t="shared" si="21"/>
        <v>NA</v>
      </c>
      <c r="T455" t="str">
        <f t="shared" si="22"/>
        <v>NA</v>
      </c>
      <c r="U455" t="str">
        <f t="shared" si="23"/>
        <v>NA</v>
      </c>
    </row>
    <row r="456" spans="18:21" ht="12.75">
      <c r="R456" t="str">
        <f t="shared" si="20"/>
        <v>NA</v>
      </c>
      <c r="S456" t="str">
        <f t="shared" si="21"/>
        <v>NA</v>
      </c>
      <c r="T456" t="str">
        <f t="shared" si="22"/>
        <v>NA</v>
      </c>
      <c r="U456" t="str">
        <f t="shared" si="23"/>
        <v>NA</v>
      </c>
    </row>
    <row r="457" spans="18:21" ht="12.75">
      <c r="R457" t="str">
        <f t="shared" si="20"/>
        <v>NA</v>
      </c>
      <c r="S457" t="str">
        <f t="shared" si="21"/>
        <v>NA</v>
      </c>
      <c r="T457" t="str">
        <f t="shared" si="22"/>
        <v>NA</v>
      </c>
      <c r="U457" t="str">
        <f t="shared" si="23"/>
        <v>NA</v>
      </c>
    </row>
    <row r="458" spans="18:21" ht="12.75">
      <c r="R458" t="str">
        <f t="shared" si="20"/>
        <v>NA</v>
      </c>
      <c r="S458" t="str">
        <f t="shared" si="21"/>
        <v>NA</v>
      </c>
      <c r="T458" t="str">
        <f t="shared" si="22"/>
        <v>NA</v>
      </c>
      <c r="U458" t="str">
        <f t="shared" si="23"/>
        <v>NA</v>
      </c>
    </row>
    <row r="459" spans="18:21" ht="12.75">
      <c r="R459" t="str">
        <f t="shared" si="20"/>
        <v>NA</v>
      </c>
      <c r="S459" t="str">
        <f t="shared" si="21"/>
        <v>NA</v>
      </c>
      <c r="T459" t="str">
        <f t="shared" si="22"/>
        <v>NA</v>
      </c>
      <c r="U459" t="str">
        <f t="shared" si="23"/>
        <v>NA</v>
      </c>
    </row>
    <row r="460" spans="18:21" ht="12.75">
      <c r="R460" t="str">
        <f t="shared" si="20"/>
        <v>NA</v>
      </c>
      <c r="S460" t="str">
        <f t="shared" si="21"/>
        <v>NA</v>
      </c>
      <c r="T460" t="str">
        <f t="shared" si="22"/>
        <v>NA</v>
      </c>
      <c r="U460" t="str">
        <f t="shared" si="23"/>
        <v>NA</v>
      </c>
    </row>
    <row r="461" spans="18:21" ht="12.75">
      <c r="R461" t="str">
        <f t="shared" si="20"/>
        <v>NA</v>
      </c>
      <c r="S461" t="str">
        <f t="shared" si="21"/>
        <v>NA</v>
      </c>
      <c r="T461" t="str">
        <f t="shared" si="22"/>
        <v>NA</v>
      </c>
      <c r="U461" t="str">
        <f t="shared" si="23"/>
        <v>NA</v>
      </c>
    </row>
    <row r="462" spans="18:21" ht="12.75">
      <c r="R462" t="str">
        <f t="shared" si="20"/>
        <v>NA</v>
      </c>
      <c r="S462" t="str">
        <f t="shared" si="21"/>
        <v>NA</v>
      </c>
      <c r="T462" t="str">
        <f t="shared" si="22"/>
        <v>NA</v>
      </c>
      <c r="U462" t="str">
        <f t="shared" si="23"/>
        <v>NA</v>
      </c>
    </row>
    <row r="463" spans="18:21" ht="12.75">
      <c r="R463" t="str">
        <f t="shared" si="20"/>
        <v>NA</v>
      </c>
      <c r="S463" t="str">
        <f t="shared" si="21"/>
        <v>NA</v>
      </c>
      <c r="T463" t="str">
        <f t="shared" si="22"/>
        <v>NA</v>
      </c>
      <c r="U463" t="str">
        <f t="shared" si="23"/>
        <v>NA</v>
      </c>
    </row>
    <row r="464" spans="18:21" ht="12.75">
      <c r="R464" t="str">
        <f t="shared" si="20"/>
        <v>NA</v>
      </c>
      <c r="S464" t="str">
        <f t="shared" si="21"/>
        <v>NA</v>
      </c>
      <c r="T464" t="str">
        <f t="shared" si="22"/>
        <v>NA</v>
      </c>
      <c r="U464" t="str">
        <f t="shared" si="23"/>
        <v>NA</v>
      </c>
    </row>
    <row r="465" spans="18:21" ht="12.75">
      <c r="R465" t="str">
        <f t="shared" si="20"/>
        <v>NA</v>
      </c>
      <c r="S465" t="str">
        <f t="shared" si="21"/>
        <v>NA</v>
      </c>
      <c r="T465" t="str">
        <f t="shared" si="22"/>
        <v>NA</v>
      </c>
      <c r="U465" t="str">
        <f t="shared" si="23"/>
        <v>NA</v>
      </c>
    </row>
    <row r="466" spans="18:21" ht="12.75">
      <c r="R466" t="str">
        <f t="shared" si="20"/>
        <v>NA</v>
      </c>
      <c r="S466" t="str">
        <f t="shared" si="21"/>
        <v>NA</v>
      </c>
      <c r="T466" t="str">
        <f t="shared" si="22"/>
        <v>NA</v>
      </c>
      <c r="U466" t="str">
        <f t="shared" si="23"/>
        <v>NA</v>
      </c>
    </row>
    <row r="467" spans="18:21" ht="12.75">
      <c r="R467" t="str">
        <f t="shared" si="20"/>
        <v>NA</v>
      </c>
      <c r="S467" t="str">
        <f t="shared" si="21"/>
        <v>NA</v>
      </c>
      <c r="T467" t="str">
        <f t="shared" si="22"/>
        <v>NA</v>
      </c>
      <c r="U467" t="str">
        <f t="shared" si="23"/>
        <v>NA</v>
      </c>
    </row>
    <row r="468" spans="18:21" ht="12.75">
      <c r="R468" t="str">
        <f t="shared" si="20"/>
        <v>NA</v>
      </c>
      <c r="S468" t="str">
        <f t="shared" si="21"/>
        <v>NA</v>
      </c>
      <c r="T468" t="str">
        <f t="shared" si="22"/>
        <v>NA</v>
      </c>
      <c r="U468" t="str">
        <f t="shared" si="23"/>
        <v>NA</v>
      </c>
    </row>
    <row r="469" spans="18:21" ht="12.75">
      <c r="R469" t="str">
        <f t="shared" si="20"/>
        <v>NA</v>
      </c>
      <c r="S469" t="str">
        <f t="shared" si="21"/>
        <v>NA</v>
      </c>
      <c r="T469" t="str">
        <f t="shared" si="22"/>
        <v>NA</v>
      </c>
      <c r="U469" t="str">
        <f t="shared" si="23"/>
        <v>NA</v>
      </c>
    </row>
    <row r="470" spans="18:21" ht="12.75">
      <c r="R470" t="str">
        <f t="shared" si="20"/>
        <v>NA</v>
      </c>
      <c r="S470" t="str">
        <f t="shared" si="21"/>
        <v>NA</v>
      </c>
      <c r="T470" t="str">
        <f t="shared" si="22"/>
        <v>NA</v>
      </c>
      <c r="U470" t="str">
        <f t="shared" si="23"/>
        <v>NA</v>
      </c>
    </row>
    <row r="471" spans="18:21" ht="12.75">
      <c r="R471" t="str">
        <f t="shared" si="20"/>
        <v>NA</v>
      </c>
      <c r="S471" t="str">
        <f t="shared" si="21"/>
        <v>NA</v>
      </c>
      <c r="T471" t="str">
        <f t="shared" si="22"/>
        <v>NA</v>
      </c>
      <c r="U471" t="str">
        <f t="shared" si="23"/>
        <v>NA</v>
      </c>
    </row>
    <row r="472" spans="18:21" ht="12.75">
      <c r="R472" t="str">
        <f t="shared" si="20"/>
        <v>NA</v>
      </c>
      <c r="S472" t="str">
        <f t="shared" si="21"/>
        <v>NA</v>
      </c>
      <c r="T472" t="str">
        <f t="shared" si="22"/>
        <v>NA</v>
      </c>
      <c r="U472" t="str">
        <f t="shared" si="23"/>
        <v>NA</v>
      </c>
    </row>
    <row r="473" spans="18:21" ht="12.75">
      <c r="R473" t="str">
        <f t="shared" si="20"/>
        <v>NA</v>
      </c>
      <c r="S473" t="str">
        <f t="shared" si="21"/>
        <v>NA</v>
      </c>
      <c r="T473" t="str">
        <f t="shared" si="22"/>
        <v>NA</v>
      </c>
      <c r="U473" t="str">
        <f t="shared" si="23"/>
        <v>NA</v>
      </c>
    </row>
    <row r="474" spans="18:21" ht="12.75">
      <c r="R474" t="str">
        <f t="shared" si="20"/>
        <v>NA</v>
      </c>
      <c r="S474" t="str">
        <f t="shared" si="21"/>
        <v>NA</v>
      </c>
      <c r="T474" t="str">
        <f t="shared" si="22"/>
        <v>NA</v>
      </c>
      <c r="U474" t="str">
        <f t="shared" si="23"/>
        <v>NA</v>
      </c>
    </row>
    <row r="475" spans="18:21" ht="12.75">
      <c r="R475" t="str">
        <f t="shared" si="20"/>
        <v>NA</v>
      </c>
      <c r="S475" t="str">
        <f t="shared" si="21"/>
        <v>NA</v>
      </c>
      <c r="T475" t="str">
        <f t="shared" si="22"/>
        <v>NA</v>
      </c>
      <c r="U475" t="str">
        <f t="shared" si="23"/>
        <v>NA</v>
      </c>
    </row>
    <row r="476" spans="18:21" ht="12.75">
      <c r="R476" t="str">
        <f t="shared" si="20"/>
        <v>NA</v>
      </c>
      <c r="S476" t="str">
        <f t="shared" si="21"/>
        <v>NA</v>
      </c>
      <c r="T476" t="str">
        <f t="shared" si="22"/>
        <v>NA</v>
      </c>
      <c r="U476" t="str">
        <f t="shared" si="23"/>
        <v>NA</v>
      </c>
    </row>
    <row r="477" spans="18:21" ht="12.75">
      <c r="R477" t="str">
        <f t="shared" si="20"/>
        <v>NA</v>
      </c>
      <c r="S477" t="str">
        <f t="shared" si="21"/>
        <v>NA</v>
      </c>
      <c r="T477" t="str">
        <f t="shared" si="22"/>
        <v>NA</v>
      </c>
      <c r="U477" t="str">
        <f t="shared" si="23"/>
        <v>NA</v>
      </c>
    </row>
    <row r="478" spans="18:21" ht="12.75">
      <c r="R478" t="str">
        <f t="shared" si="20"/>
        <v>NA</v>
      </c>
      <c r="S478" t="str">
        <f t="shared" si="21"/>
        <v>NA</v>
      </c>
      <c r="T478" t="str">
        <f t="shared" si="22"/>
        <v>NA</v>
      </c>
      <c r="U478" t="str">
        <f t="shared" si="23"/>
        <v>NA</v>
      </c>
    </row>
    <row r="479" spans="18:21" ht="12.75">
      <c r="R479" t="str">
        <f t="shared" si="20"/>
        <v>NA</v>
      </c>
      <c r="S479" t="str">
        <f t="shared" si="21"/>
        <v>NA</v>
      </c>
      <c r="T479" t="str">
        <f t="shared" si="22"/>
        <v>NA</v>
      </c>
      <c r="U479" t="str">
        <f t="shared" si="23"/>
        <v>NA</v>
      </c>
    </row>
    <row r="480" spans="18:21" ht="12.75">
      <c r="R480" t="str">
        <f t="shared" si="20"/>
        <v>NA</v>
      </c>
      <c r="S480" t="str">
        <f t="shared" si="21"/>
        <v>NA</v>
      </c>
      <c r="T480" t="str">
        <f t="shared" si="22"/>
        <v>NA</v>
      </c>
      <c r="U480" t="str">
        <f t="shared" si="23"/>
        <v>NA</v>
      </c>
    </row>
    <row r="481" spans="18:21" ht="12.75">
      <c r="R481" t="str">
        <f t="shared" si="20"/>
        <v>NA</v>
      </c>
      <c r="S481" t="str">
        <f t="shared" si="21"/>
        <v>NA</v>
      </c>
      <c r="T481" t="str">
        <f t="shared" si="22"/>
        <v>NA</v>
      </c>
      <c r="U481" t="str">
        <f t="shared" si="23"/>
        <v>NA</v>
      </c>
    </row>
    <row r="482" spans="18:21" ht="12.75">
      <c r="R482" t="str">
        <f t="shared" si="20"/>
        <v>NA</v>
      </c>
      <c r="S482" t="str">
        <f t="shared" si="21"/>
        <v>NA</v>
      </c>
      <c r="T482" t="str">
        <f t="shared" si="22"/>
        <v>NA</v>
      </c>
      <c r="U482" t="str">
        <f t="shared" si="23"/>
        <v>NA</v>
      </c>
    </row>
    <row r="483" spans="18:21" ht="12.75">
      <c r="R483" t="str">
        <f t="shared" si="20"/>
        <v>NA</v>
      </c>
      <c r="S483" t="str">
        <f t="shared" si="21"/>
        <v>NA</v>
      </c>
      <c r="T483" t="str">
        <f t="shared" si="22"/>
        <v>NA</v>
      </c>
      <c r="U483" t="str">
        <f t="shared" si="23"/>
        <v>NA</v>
      </c>
    </row>
    <row r="484" spans="18:21" ht="12.75">
      <c r="R484" t="str">
        <f t="shared" si="20"/>
        <v>NA</v>
      </c>
      <c r="S484" t="str">
        <f t="shared" si="21"/>
        <v>NA</v>
      </c>
      <c r="T484" t="str">
        <f t="shared" si="22"/>
        <v>NA</v>
      </c>
      <c r="U484" t="str">
        <f t="shared" si="23"/>
        <v>NA</v>
      </c>
    </row>
    <row r="485" spans="18:21" ht="12.75">
      <c r="R485" t="str">
        <f t="shared" si="20"/>
        <v>NA</v>
      </c>
      <c r="S485" t="str">
        <f t="shared" si="21"/>
        <v>NA</v>
      </c>
      <c r="T485" t="str">
        <f t="shared" si="22"/>
        <v>NA</v>
      </c>
      <c r="U485" t="str">
        <f t="shared" si="23"/>
        <v>NA</v>
      </c>
    </row>
    <row r="486" spans="18:21" ht="12.75">
      <c r="R486" t="str">
        <f t="shared" si="20"/>
        <v>NA</v>
      </c>
      <c r="S486" t="str">
        <f t="shared" si="21"/>
        <v>NA</v>
      </c>
      <c r="T486" t="str">
        <f t="shared" si="22"/>
        <v>NA</v>
      </c>
      <c r="U486" t="str">
        <f t="shared" si="23"/>
        <v>NA</v>
      </c>
    </row>
    <row r="487" spans="18:21" ht="12.75">
      <c r="R487" t="str">
        <f t="shared" si="20"/>
        <v>NA</v>
      </c>
      <c r="S487" t="str">
        <f t="shared" si="21"/>
        <v>NA</v>
      </c>
      <c r="T487" t="str">
        <f t="shared" si="22"/>
        <v>NA</v>
      </c>
      <c r="U487" t="str">
        <f t="shared" si="23"/>
        <v>NA</v>
      </c>
    </row>
    <row r="488" spans="18:21" ht="12.75">
      <c r="R488" t="str">
        <f t="shared" si="20"/>
        <v>NA</v>
      </c>
      <c r="S488" t="str">
        <f t="shared" si="21"/>
        <v>NA</v>
      </c>
      <c r="T488" t="str">
        <f t="shared" si="22"/>
        <v>NA</v>
      </c>
      <c r="U488" t="str">
        <f t="shared" si="23"/>
        <v>NA</v>
      </c>
    </row>
    <row r="489" spans="18:21" ht="12.75">
      <c r="R489" t="str">
        <f t="shared" si="20"/>
        <v>NA</v>
      </c>
      <c r="S489" t="str">
        <f t="shared" si="21"/>
        <v>NA</v>
      </c>
      <c r="T489" t="str">
        <f t="shared" si="22"/>
        <v>NA</v>
      </c>
      <c r="U489" t="str">
        <f t="shared" si="23"/>
        <v>NA</v>
      </c>
    </row>
    <row r="490" spans="18:21" ht="12.75">
      <c r="R490" t="str">
        <f t="shared" si="20"/>
        <v>NA</v>
      </c>
      <c r="S490" t="str">
        <f t="shared" si="21"/>
        <v>NA</v>
      </c>
      <c r="T490" t="str">
        <f t="shared" si="22"/>
        <v>NA</v>
      </c>
      <c r="U490" t="str">
        <f t="shared" si="23"/>
        <v>NA</v>
      </c>
    </row>
    <row r="491" spans="18:21" ht="12.75">
      <c r="R491" t="str">
        <f t="shared" si="20"/>
        <v>NA</v>
      </c>
      <c r="S491" t="str">
        <f t="shared" si="21"/>
        <v>NA</v>
      </c>
      <c r="T491" t="str">
        <f t="shared" si="22"/>
        <v>NA</v>
      </c>
      <c r="U491" t="str">
        <f t="shared" si="23"/>
        <v>NA</v>
      </c>
    </row>
    <row r="492" spans="18:21" ht="12.75">
      <c r="R492" t="str">
        <f t="shared" si="20"/>
        <v>NA</v>
      </c>
      <c r="S492" t="str">
        <f t="shared" si="21"/>
        <v>NA</v>
      </c>
      <c r="T492" t="str">
        <f t="shared" si="22"/>
        <v>NA</v>
      </c>
      <c r="U492" t="str">
        <f t="shared" si="23"/>
        <v>NA</v>
      </c>
    </row>
    <row r="493" spans="18:21" ht="12.75">
      <c r="R493" t="str">
        <f t="shared" si="20"/>
        <v>NA</v>
      </c>
      <c r="S493" t="str">
        <f t="shared" si="21"/>
        <v>NA</v>
      </c>
      <c r="T493" t="str">
        <f t="shared" si="22"/>
        <v>NA</v>
      </c>
      <c r="U493" t="str">
        <f t="shared" si="23"/>
        <v>NA</v>
      </c>
    </row>
    <row r="494" spans="18:21" ht="12.75">
      <c r="R494" t="str">
        <f t="shared" si="20"/>
        <v>NA</v>
      </c>
      <c r="S494" t="str">
        <f t="shared" si="21"/>
        <v>NA</v>
      </c>
      <c r="T494" t="str">
        <f t="shared" si="22"/>
        <v>NA</v>
      </c>
      <c r="U494" t="str">
        <f t="shared" si="23"/>
        <v>NA</v>
      </c>
    </row>
    <row r="495" spans="18:21" ht="12.75">
      <c r="R495" t="str">
        <f t="shared" si="20"/>
        <v>NA</v>
      </c>
      <c r="S495" t="str">
        <f t="shared" si="21"/>
        <v>NA</v>
      </c>
      <c r="T495" t="str">
        <f t="shared" si="22"/>
        <v>NA</v>
      </c>
      <c r="U495" t="str">
        <f t="shared" si="23"/>
        <v>NA</v>
      </c>
    </row>
    <row r="496" spans="18:21" ht="12.75">
      <c r="R496" t="str">
        <f t="shared" si="20"/>
        <v>NA</v>
      </c>
      <c r="S496" t="str">
        <f t="shared" si="21"/>
        <v>NA</v>
      </c>
      <c r="T496" t="str">
        <f t="shared" si="22"/>
        <v>NA</v>
      </c>
      <c r="U496" t="str">
        <f t="shared" si="23"/>
        <v>NA</v>
      </c>
    </row>
    <row r="497" spans="18:21" ht="12.75">
      <c r="R497" t="str">
        <f t="shared" si="20"/>
        <v>NA</v>
      </c>
      <c r="S497" t="str">
        <f t="shared" si="21"/>
        <v>NA</v>
      </c>
      <c r="T497" t="str">
        <f t="shared" si="22"/>
        <v>NA</v>
      </c>
      <c r="U497" t="str">
        <f t="shared" si="23"/>
        <v>NA</v>
      </c>
    </row>
    <row r="498" spans="18:21" ht="12.75">
      <c r="R498" t="str">
        <f t="shared" si="20"/>
        <v>NA</v>
      </c>
      <c r="S498" t="str">
        <f t="shared" si="21"/>
        <v>NA</v>
      </c>
      <c r="T498" t="str">
        <f t="shared" si="22"/>
        <v>NA</v>
      </c>
      <c r="U498" t="str">
        <f t="shared" si="23"/>
        <v>NA</v>
      </c>
    </row>
    <row r="499" spans="18:21" ht="12.75">
      <c r="R499" t="str">
        <f t="shared" si="20"/>
        <v>NA</v>
      </c>
      <c r="S499" t="str">
        <f t="shared" si="21"/>
        <v>NA</v>
      </c>
      <c r="T499" t="str">
        <f t="shared" si="22"/>
        <v>NA</v>
      </c>
      <c r="U499" t="str">
        <f t="shared" si="23"/>
        <v>NA</v>
      </c>
    </row>
    <row r="500" spans="18:21" ht="12.75">
      <c r="R500" t="str">
        <f t="shared" si="20"/>
        <v>NA</v>
      </c>
      <c r="S500" t="str">
        <f t="shared" si="21"/>
        <v>NA</v>
      </c>
      <c r="T500" t="str">
        <f t="shared" si="22"/>
        <v>NA</v>
      </c>
      <c r="U500" t="str">
        <f t="shared" si="23"/>
        <v>NA</v>
      </c>
    </row>
  </sheetData>
  <sheetProtection/>
  <mergeCells count="11">
    <mergeCell ref="D13:G13"/>
    <mergeCell ref="B6:C6"/>
    <mergeCell ref="F6:G6"/>
    <mergeCell ref="B41:C41"/>
    <mergeCell ref="A10:H10"/>
    <mergeCell ref="E46:H48"/>
    <mergeCell ref="A19:H20"/>
    <mergeCell ref="A25:H25"/>
    <mergeCell ref="A29:H31"/>
    <mergeCell ref="A23:H23"/>
    <mergeCell ref="A27:H27"/>
  </mergeCells>
  <conditionalFormatting sqref="B53">
    <cfRule type="cellIs" priority="1" dxfId="0" operator="equal" stopIfTrue="1">
      <formula>"Medium"</formula>
    </cfRule>
    <cfRule type="cellIs" priority="2" dxfId="1" operator="equal" stopIfTrue="1">
      <formula>"High"</formula>
    </cfRule>
    <cfRule type="cellIs" priority="3" dxfId="2" operator="equal" stopIfTrue="1">
      <formula>"Very High"</formula>
    </cfRule>
  </conditionalFormatting>
  <conditionalFormatting sqref="B48">
    <cfRule type="cellIs" priority="4" dxfId="0" operator="equal" stopIfTrue="1">
      <formula>"Medium"</formula>
    </cfRule>
    <cfRule type="cellIs" priority="5" dxfId="3" operator="equal" stopIfTrue="1">
      <formula>"High"</formula>
    </cfRule>
    <cfRule type="cellIs" priority="6" dxfId="2" operator="equal" stopIfTrue="1">
      <formula>"Very High"</formula>
    </cfRule>
  </conditionalFormatting>
  <conditionalFormatting sqref="B26">
    <cfRule type="cellIs" priority="7" dxfId="2" operator="equal" stopIfTrue="1">
      <formula>"Medium"</formula>
    </cfRule>
    <cfRule type="cellIs" priority="8" dxfId="2" operator="equal" stopIfTrue="1">
      <formula>"High"</formula>
    </cfRule>
    <cfRule type="cellIs" priority="9" dxfId="2" operator="equal" stopIfTrue="1">
      <formula>"Very High"</formula>
    </cfRule>
  </conditionalFormatting>
  <conditionalFormatting sqref="B24 D16:D18 B18">
    <cfRule type="cellIs" priority="10" dxfId="0" operator="equal" stopIfTrue="1">
      <formula>"Slight"</formula>
    </cfRule>
    <cfRule type="cellIs" priority="11" dxfId="2" operator="equal" stopIfTrue="1">
      <formula>"Moderate"</formula>
    </cfRule>
    <cfRule type="cellIs" priority="12" dxfId="2" operator="equal" stopIfTrue="1">
      <formula>"Severe"</formula>
    </cfRule>
  </conditionalFormatting>
  <conditionalFormatting sqref="B16:B17">
    <cfRule type="cellIs" priority="13" dxfId="2" operator="equal" stopIfTrue="1">
      <formula>"High"</formula>
    </cfRule>
  </conditionalFormatting>
  <hyperlinks>
    <hyperlink ref="A4" location="Instructions!A26" display="Instructions!A26"/>
    <hyperlink ref="A28" location="Instructions!A38" display="Instructions!A38"/>
  </hyperlinks>
  <printOptions/>
  <pageMargins left="0.75" right="0.75" top="1" bottom="1" header="0.5" footer="0.5"/>
  <pageSetup fitToHeight="1" fitToWidth="1" horizontalDpi="600" verticalDpi="600" orientation="portrait" scale="72" r:id="rId3"/>
  <legacyDrawing r:id="rId2"/>
</worksheet>
</file>

<file path=xl/worksheets/sheet3.xml><?xml version="1.0" encoding="utf-8"?>
<worksheet xmlns="http://schemas.openxmlformats.org/spreadsheetml/2006/main" xmlns:r="http://schemas.openxmlformats.org/officeDocument/2006/relationships">
  <sheetPr codeName="Sheet3"/>
  <dimension ref="A1:BT604"/>
  <sheetViews>
    <sheetView zoomScale="75" zoomScaleNormal="75" zoomScaleSheetLayoutView="50" workbookViewId="0" topLeftCell="B1">
      <selection activeCell="C1" sqref="C1:E1"/>
    </sheetView>
  </sheetViews>
  <sheetFormatPr defaultColWidth="9.140625" defaultRowHeight="12.75"/>
  <cols>
    <col min="1" max="1" width="6.421875" style="0" customWidth="1"/>
    <col min="3" max="3" width="10.421875" style="0" customWidth="1"/>
    <col min="4" max="4" width="10.28125" style="0" customWidth="1"/>
    <col min="5" max="5" width="10.140625" style="0" customWidth="1"/>
    <col min="6" max="6" width="11.57421875" style="0" bestFit="1" customWidth="1"/>
    <col min="7" max="7" width="10.57421875" style="0" customWidth="1"/>
    <col min="8" max="8" width="10.00390625" style="0" customWidth="1"/>
    <col min="9" max="9" width="9.57421875" style="0" customWidth="1"/>
    <col min="10" max="10" width="9.8515625" style="0" customWidth="1"/>
    <col min="11" max="11" width="10.140625" style="0" customWidth="1"/>
    <col min="12" max="13" width="9.140625" style="126" customWidth="1"/>
    <col min="14" max="14" width="10.57421875" style="0" bestFit="1" customWidth="1"/>
    <col min="15" max="15" width="11.421875" style="0" customWidth="1"/>
    <col min="16" max="16" width="11.7109375" style="0" customWidth="1"/>
    <col min="17" max="17" width="10.140625" style="0" customWidth="1"/>
    <col min="18" max="19" width="9.57421875" style="0" bestFit="1" customWidth="1"/>
    <col min="20" max="20" width="9.28125" style="0" customWidth="1"/>
    <col min="26" max="26" width="9.140625" style="286" customWidth="1"/>
  </cols>
  <sheetData>
    <row r="1" spans="2:20" ht="25.5" customHeight="1">
      <c r="B1" s="673" t="s">
        <v>985</v>
      </c>
      <c r="C1" s="1253">
        <f>IF('Nutrient Risk Assessment'!B6="","",'Nutrient Risk Assessment'!B6)</f>
      </c>
      <c r="D1" s="1254"/>
      <c r="E1" s="1255"/>
      <c r="F1" s="143"/>
      <c r="G1" s="143"/>
      <c r="H1" s="674" t="s">
        <v>388</v>
      </c>
      <c r="I1" s="1275">
        <f>IF('Nutrient Risk Assessment'!F6="","",'Nutrient Risk Assessment'!F6)</f>
      </c>
      <c r="J1" s="1276"/>
      <c r="K1" s="1276"/>
      <c r="L1" s="1277"/>
      <c r="M1" s="675"/>
      <c r="N1" s="676" t="s">
        <v>247</v>
      </c>
      <c r="O1" s="1090"/>
      <c r="P1" s="1090"/>
      <c r="Q1" s="143"/>
      <c r="R1" s="143"/>
      <c r="S1" s="143"/>
      <c r="T1" s="355"/>
    </row>
    <row r="2" spans="1:20" ht="27.75" customHeight="1" thickBot="1">
      <c r="A2" s="899" t="s">
        <v>594</v>
      </c>
      <c r="B2" s="677" t="s">
        <v>223</v>
      </c>
      <c r="C2" s="1256" t="str">
        <f>'Nutrient Risk Assessment'!B7</f>
        <v>Golden Valley</v>
      </c>
      <c r="D2" s="1257"/>
      <c r="E2" s="1"/>
      <c r="F2" s="1"/>
      <c r="G2" s="1"/>
      <c r="H2" s="575" t="s">
        <v>1086</v>
      </c>
      <c r="I2" s="927">
        <f>IF('Nutrient Risk Assessment'!F7="","",'Nutrient Risk Assessment'!F7)</f>
      </c>
      <c r="J2" s="591"/>
      <c r="K2" s="591"/>
      <c r="L2" s="591"/>
      <c r="M2" s="160"/>
      <c r="N2" s="575" t="s">
        <v>1087</v>
      </c>
      <c r="O2" s="1258"/>
      <c r="P2" s="1258"/>
      <c r="Q2" s="1258"/>
      <c r="R2" s="1"/>
      <c r="S2" s="1"/>
      <c r="T2" s="643"/>
    </row>
    <row r="3" spans="2:26" s="368" customFormat="1" ht="16.5" thickBot="1">
      <c r="B3" s="331" t="s">
        <v>761</v>
      </c>
      <c r="C3" s="574"/>
      <c r="D3" s="574"/>
      <c r="H3" s="346"/>
      <c r="I3" s="405"/>
      <c r="J3" s="405"/>
      <c r="K3" s="405"/>
      <c r="L3" s="592"/>
      <c r="M3" s="388"/>
      <c r="Z3" s="405"/>
    </row>
    <row r="4" spans="2:20" ht="13.5" customHeight="1">
      <c r="B4" s="1134" t="s">
        <v>1367</v>
      </c>
      <c r="C4" s="1135"/>
      <c r="D4" s="1135"/>
      <c r="E4" s="1136"/>
      <c r="F4" s="1269" t="s">
        <v>1070</v>
      </c>
      <c r="G4" s="1270"/>
      <c r="H4" s="1271"/>
      <c r="J4" s="1134" t="s">
        <v>1566</v>
      </c>
      <c r="K4" s="1259"/>
      <c r="L4" s="1259"/>
      <c r="M4" s="1259"/>
      <c r="N4" s="1259"/>
      <c r="O4" s="1259"/>
      <c r="P4" s="1259"/>
      <c r="Q4" s="1259"/>
      <c r="R4" s="1259"/>
      <c r="S4" s="1259"/>
      <c r="T4" s="1260"/>
    </row>
    <row r="5" spans="2:20" ht="16.5" customHeight="1" thickBot="1">
      <c r="B5" s="1137"/>
      <c r="C5" s="1138"/>
      <c r="D5" s="1138"/>
      <c r="E5" s="1139"/>
      <c r="F5" s="1272"/>
      <c r="G5" s="1273"/>
      <c r="H5" s="1274"/>
      <c r="J5" s="1261"/>
      <c r="K5" s="1262"/>
      <c r="L5" s="1262"/>
      <c r="M5" s="1262"/>
      <c r="N5" s="1262"/>
      <c r="O5" s="1262"/>
      <c r="P5" s="1262"/>
      <c r="Q5" s="1262"/>
      <c r="R5" s="1262"/>
      <c r="S5" s="1262"/>
      <c r="T5" s="1263"/>
    </row>
    <row r="6" spans="2:20" ht="18.75">
      <c r="B6" s="1267" t="s">
        <v>1058</v>
      </c>
      <c r="C6" s="1268"/>
      <c r="D6" s="472" t="s">
        <v>1056</v>
      </c>
      <c r="E6" s="539" t="s">
        <v>1057</v>
      </c>
      <c r="F6" s="580" t="s">
        <v>181</v>
      </c>
      <c r="G6" s="580" t="s">
        <v>19</v>
      </c>
      <c r="H6" s="581" t="s">
        <v>590</v>
      </c>
      <c r="J6" s="1264" t="s">
        <v>178</v>
      </c>
      <c r="K6" s="1265"/>
      <c r="L6" s="1173" t="s">
        <v>36</v>
      </c>
      <c r="M6" s="1174"/>
      <c r="N6" s="1174"/>
      <c r="O6" s="1174"/>
      <c r="P6" s="1175"/>
      <c r="Q6" s="1189" t="s">
        <v>1373</v>
      </c>
      <c r="R6" s="1190"/>
      <c r="S6" s="1173" t="s">
        <v>1374</v>
      </c>
      <c r="T6" s="1266"/>
    </row>
    <row r="7" spans="2:20" ht="16.5" customHeight="1" thickBot="1">
      <c r="B7" s="1181"/>
      <c r="C7" s="1182"/>
      <c r="D7" s="151"/>
      <c r="E7" s="144">
        <f aca="true" t="shared" si="0" ref="E7:E12">IF(B7="",,VLOOKUP(B7,$I$313:$K$347,3,FALSE))</f>
        <v>0</v>
      </c>
      <c r="F7" s="134">
        <f aca="true" t="shared" si="1" ref="F7:F12">IF(D7=0,0,VLOOKUP(B7,$I$314:$N$347,4,FALSE)*D7)</f>
        <v>0</v>
      </c>
      <c r="G7" s="583">
        <f aca="true" t="shared" si="2" ref="G7:G12">IF(B7=0,0,VLOOKUP(B7,$I$314:$N$347,5,FALSE)*D7)</f>
        <v>0</v>
      </c>
      <c r="H7" s="582">
        <f aca="true" t="shared" si="3" ref="H7:H12">IF(B7=0,0,VLOOKUP(B7,$I$314:$P$347,6,FALSE)*D7)</f>
        <v>0</v>
      </c>
      <c r="J7" s="1179">
        <f>IF(INDEX('Nutrient Risk Assessment'!B128:G307,'Nutrient Risk Assessment'!I13,1)=0,"",INDEX('Nutrient Risk Assessment'!B127:G307,'Nutrient Risk Assessment'!I13,1))</f>
        <v>0</v>
      </c>
      <c r="K7" s="1180"/>
      <c r="L7" s="1176">
        <f>IF('Nutrient Risk Assessment'!D13=0,"",'Nutrient Risk Assessment'!D13)</f>
      </c>
      <c r="M7" s="1177"/>
      <c r="N7" s="1177"/>
      <c r="O7" s="1177"/>
      <c r="P7" s="1178"/>
      <c r="Q7" s="1191">
        <f>IF('Nutrient Risk Assessment'!B16=0,"",'Nutrient Risk Assessment'!B16)</f>
      </c>
      <c r="R7" s="1191"/>
      <c r="S7" s="1191">
        <f>IF('Nutrient Risk Assessment'!B17=0,"",'Nutrient Risk Assessment'!B17)</f>
      </c>
      <c r="T7" s="1192"/>
    </row>
    <row r="8" spans="2:16" ht="16.5" customHeight="1" thickBot="1">
      <c r="B8" s="1181"/>
      <c r="C8" s="1182"/>
      <c r="D8" s="151"/>
      <c r="E8" s="144">
        <f t="shared" si="0"/>
        <v>0</v>
      </c>
      <c r="F8" s="134">
        <f t="shared" si="1"/>
        <v>0</v>
      </c>
      <c r="G8" s="583">
        <f t="shared" si="2"/>
        <v>0</v>
      </c>
      <c r="H8" s="582">
        <f t="shared" si="3"/>
        <v>0</v>
      </c>
      <c r="P8" s="127"/>
    </row>
    <row r="9" spans="2:20" ht="16.5" customHeight="1">
      <c r="B9" s="1181"/>
      <c r="C9" s="1182"/>
      <c r="D9" s="151"/>
      <c r="E9" s="144">
        <f t="shared" si="0"/>
        <v>0</v>
      </c>
      <c r="F9" s="134">
        <f t="shared" si="1"/>
        <v>0</v>
      </c>
      <c r="G9" s="583">
        <f t="shared" si="2"/>
        <v>0</v>
      </c>
      <c r="H9" s="582">
        <f t="shared" si="3"/>
        <v>0</v>
      </c>
      <c r="J9" s="1134" t="s">
        <v>157</v>
      </c>
      <c r="K9" s="1135"/>
      <c r="L9" s="1135"/>
      <c r="M9" s="1135"/>
      <c r="N9" s="1135"/>
      <c r="O9" s="1135"/>
      <c r="P9" s="1135"/>
      <c r="Q9" s="1135"/>
      <c r="R9" s="1135"/>
      <c r="S9" s="1135"/>
      <c r="T9" s="1136"/>
    </row>
    <row r="10" spans="2:20" ht="16.5" customHeight="1" thickBot="1">
      <c r="B10" s="1181"/>
      <c r="C10" s="1182"/>
      <c r="D10" s="151"/>
      <c r="E10" s="144">
        <f t="shared" si="0"/>
        <v>0</v>
      </c>
      <c r="F10" s="134">
        <f t="shared" si="1"/>
        <v>0</v>
      </c>
      <c r="G10" s="583">
        <f t="shared" si="2"/>
        <v>0</v>
      </c>
      <c r="H10" s="582">
        <f t="shared" si="3"/>
        <v>0</v>
      </c>
      <c r="J10" s="1245"/>
      <c r="K10" s="1246"/>
      <c r="L10" s="1246"/>
      <c r="M10" s="1246"/>
      <c r="N10" s="1246"/>
      <c r="O10" s="1246"/>
      <c r="P10" s="1246"/>
      <c r="Q10" s="1246"/>
      <c r="R10" s="1246"/>
      <c r="S10" s="1246"/>
      <c r="T10" s="1247"/>
    </row>
    <row r="11" spans="2:20" ht="16.5" customHeight="1">
      <c r="B11" s="1181"/>
      <c r="C11" s="1182"/>
      <c r="D11" s="151"/>
      <c r="E11" s="144">
        <f t="shared" si="0"/>
        <v>0</v>
      </c>
      <c r="F11" s="134">
        <f t="shared" si="1"/>
        <v>0</v>
      </c>
      <c r="G11" s="583">
        <f t="shared" si="2"/>
        <v>0</v>
      </c>
      <c r="H11" s="582">
        <f t="shared" si="3"/>
        <v>0</v>
      </c>
      <c r="J11" s="1187" t="s">
        <v>902</v>
      </c>
      <c r="K11" s="1188"/>
      <c r="L11" s="1188"/>
      <c r="M11" s="1188"/>
      <c r="N11" s="1188"/>
      <c r="O11" s="1188"/>
      <c r="P11" s="1183">
        <f>IF(INDEX('Nutrient Risk Assessment'!K79:K84,'Nutrient Risk Assessment'!I40,1)=0,"",INDEX('Nutrient Risk Assessment'!K79:K84,'Nutrient Risk Assessment'!I40,1))</f>
      </c>
      <c r="Q11" s="1183"/>
      <c r="R11" s="1183"/>
      <c r="S11" s="1183"/>
      <c r="T11" s="1184"/>
    </row>
    <row r="12" spans="2:20" ht="16.5" customHeight="1" thickBot="1">
      <c r="B12" s="1248"/>
      <c r="C12" s="1249"/>
      <c r="D12" s="925"/>
      <c r="E12" s="530">
        <f t="shared" si="0"/>
        <v>0</v>
      </c>
      <c r="F12" s="142">
        <f t="shared" si="1"/>
        <v>0</v>
      </c>
      <c r="G12" s="142">
        <f t="shared" si="2"/>
        <v>0</v>
      </c>
      <c r="H12" s="582">
        <f t="shared" si="3"/>
        <v>0</v>
      </c>
      <c r="J12" s="1193" t="s">
        <v>1263</v>
      </c>
      <c r="K12" s="1194"/>
      <c r="L12" s="1194"/>
      <c r="M12" s="1194"/>
      <c r="N12" s="1194"/>
      <c r="O12" s="1194"/>
      <c r="P12" s="1157">
        <f>IF(INDEX('Nutrient Risk Assessment'!K58:K70,'Nutrient Risk Assessment'!I42,1)=0,"",INDEX('Nutrient Risk Assessment'!K58:K70,'Nutrient Risk Assessment'!I42,1))</f>
      </c>
      <c r="Q12" s="1157"/>
      <c r="R12" s="1157"/>
      <c r="S12" s="1157"/>
      <c r="T12" s="1158"/>
    </row>
    <row r="13" spans="1:20" ht="16.5" customHeight="1" thickBot="1">
      <c r="A13" s="126"/>
      <c r="B13" s="3"/>
      <c r="C13" s="3"/>
      <c r="D13" s="125"/>
      <c r="E13" s="125"/>
      <c r="F13" s="125"/>
      <c r="G13" s="125"/>
      <c r="H13" s="143"/>
      <c r="J13" s="1193" t="s">
        <v>51</v>
      </c>
      <c r="K13" s="1194"/>
      <c r="L13" s="1194"/>
      <c r="M13" s="1194"/>
      <c r="N13" s="1194"/>
      <c r="O13" s="1194"/>
      <c r="P13" s="1157">
        <f>IF(INDEX('Nutrient Risk Assessment'!K72:K77,'Nutrient Risk Assessment'!I43,1)=0,"",INDEX('Nutrient Risk Assessment'!K72:K77,'Nutrient Risk Assessment'!I43,1))</f>
      </c>
      <c r="Q13" s="1157"/>
      <c r="R13" s="1157"/>
      <c r="S13" s="1157"/>
      <c r="T13" s="1158"/>
    </row>
    <row r="14" spans="1:20" ht="14.25" customHeight="1">
      <c r="A14" s="664"/>
      <c r="B14" s="1134" t="s">
        <v>1464</v>
      </c>
      <c r="C14" s="1135"/>
      <c r="D14" s="1135"/>
      <c r="E14" s="1135"/>
      <c r="F14" s="1135"/>
      <c r="G14" s="1135"/>
      <c r="H14" s="1136"/>
      <c r="J14" s="1159" t="s">
        <v>38</v>
      </c>
      <c r="K14" s="1160"/>
      <c r="L14" s="1160"/>
      <c r="M14" s="1160"/>
      <c r="N14" s="1160"/>
      <c r="O14" s="1160"/>
      <c r="P14" s="1185">
        <f>IF(INDEX('Nutrient Risk Assessment'!K6:K13,'Nutrient Risk Assessment'!I44,1)=0,"",INDEX('Nutrient Risk Assessment'!K6:K13,'Nutrient Risk Assessment'!I44,1))</f>
      </c>
      <c r="Q14" s="1185"/>
      <c r="R14" s="1185"/>
      <c r="S14" s="1185"/>
      <c r="T14" s="1186"/>
    </row>
    <row r="15" spans="1:20" ht="15.75" customHeight="1" thickBot="1">
      <c r="A15" s="899" t="s">
        <v>594</v>
      </c>
      <c r="B15" s="1137"/>
      <c r="C15" s="1138"/>
      <c r="D15" s="1138"/>
      <c r="E15" s="1138"/>
      <c r="F15" s="1138"/>
      <c r="G15" s="1138"/>
      <c r="H15" s="1139"/>
      <c r="J15" s="1159"/>
      <c r="K15" s="1160"/>
      <c r="L15" s="1160"/>
      <c r="M15" s="1160"/>
      <c r="N15" s="1160"/>
      <c r="O15" s="1160"/>
      <c r="P15" s="1185"/>
      <c r="Q15" s="1185"/>
      <c r="R15" s="1185"/>
      <c r="S15" s="1185"/>
      <c r="T15" s="1186"/>
    </row>
    <row r="16" spans="1:26" s="535" customFormat="1" ht="17.25" customHeight="1" thickBot="1">
      <c r="A16" s="663"/>
      <c r="B16" s="1242" t="s">
        <v>280</v>
      </c>
      <c r="C16" s="738" t="s">
        <v>1420</v>
      </c>
      <c r="D16" s="1155" t="s">
        <v>316</v>
      </c>
      <c r="E16" s="1170" t="s">
        <v>279</v>
      </c>
      <c r="F16" s="1171"/>
      <c r="G16" s="1171"/>
      <c r="H16" s="1172"/>
      <c r="J16" s="1159" t="s">
        <v>591</v>
      </c>
      <c r="K16" s="1160"/>
      <c r="L16" s="1160"/>
      <c r="M16" s="1160"/>
      <c r="N16" s="1160"/>
      <c r="O16" s="1160"/>
      <c r="P16" s="1157">
        <f>IF(INDEX('Nutrient Risk Assessment'!K86:K91,'Nutrient Risk Assessment'!I45,1)=0,"",INDEX('Nutrient Risk Assessment'!K86:K91,'Nutrient Risk Assessment'!I45,1))</f>
      </c>
      <c r="Q16" s="1157"/>
      <c r="R16" s="1157"/>
      <c r="S16" s="1157"/>
      <c r="T16" s="1158"/>
      <c r="Z16" s="536"/>
    </row>
    <row r="17" spans="1:26" s="535" customFormat="1" ht="17.25" customHeight="1">
      <c r="A17" s="663"/>
      <c r="B17" s="1243"/>
      <c r="C17" s="738" t="s">
        <v>175</v>
      </c>
      <c r="D17" s="1156"/>
      <c r="E17" s="670" t="s">
        <v>37</v>
      </c>
      <c r="F17" s="665"/>
      <c r="G17" s="662"/>
      <c r="H17" s="661"/>
      <c r="J17" s="1163" t="s">
        <v>158</v>
      </c>
      <c r="K17" s="1164"/>
      <c r="L17" s="1164"/>
      <c r="M17" s="1164"/>
      <c r="N17" s="1164"/>
      <c r="O17" s="1164"/>
      <c r="P17" s="1164"/>
      <c r="Q17" s="1164"/>
      <c r="R17" s="1164"/>
      <c r="S17" s="1164"/>
      <c r="T17" s="1165"/>
      <c r="Z17" s="536"/>
    </row>
    <row r="18" spans="1:26" s="535" customFormat="1" ht="17.25" customHeight="1" thickBot="1">
      <c r="A18" s="663"/>
      <c r="B18" s="1243"/>
      <c r="C18" s="742" t="s">
        <v>1391</v>
      </c>
      <c r="D18" s="739" t="s">
        <v>176</v>
      </c>
      <c r="E18" s="671" t="s">
        <v>176</v>
      </c>
      <c r="F18" s="659"/>
      <c r="G18" s="662"/>
      <c r="H18" s="660"/>
      <c r="J18" s="1166">
        <f>IF('Nutrient Risk Assessment'!I46=TRUE,"Cover or Green Manure Crop","")</f>
      </c>
      <c r="K18" s="1167"/>
      <c r="L18" s="1167"/>
      <c r="M18" s="1167">
        <f>IF('Nutrient Risk Assessment'!I47=TRUE,"Filter Strips","")</f>
      </c>
      <c r="N18" s="1167"/>
      <c r="O18" s="1168">
        <f>IF('Nutrient Risk Assessment'!I48=TRUE,"Contour Buffer Strips","")</f>
      </c>
      <c r="P18" s="1161"/>
      <c r="Q18" s="1169"/>
      <c r="R18" s="1161">
        <f>IF('Nutrient Risk Assessment'!I49=TRUE,"Established No-Till System","")</f>
      </c>
      <c r="S18" s="1161"/>
      <c r="T18" s="1162"/>
      <c r="Z18" s="536"/>
    </row>
    <row r="19" spans="1:26" s="535" customFormat="1" ht="15.75" customHeight="1" thickBot="1">
      <c r="A19" s="663"/>
      <c r="B19" s="1244"/>
      <c r="C19" s="740" t="s">
        <v>181</v>
      </c>
      <c r="D19" s="741" t="s">
        <v>189</v>
      </c>
      <c r="E19" s="672" t="s">
        <v>631</v>
      </c>
      <c r="F19" s="666" t="s">
        <v>589</v>
      </c>
      <c r="G19" s="662" t="s">
        <v>187</v>
      </c>
      <c r="H19" s="667" t="s">
        <v>186</v>
      </c>
      <c r="L19" s="537"/>
      <c r="M19" s="537"/>
      <c r="P19" s="538"/>
      <c r="Z19" s="536"/>
    </row>
    <row r="20" spans="1:26" s="535" customFormat="1" ht="15.75" customHeight="1">
      <c r="A20" s="663"/>
      <c r="B20" s="883"/>
      <c r="C20" s="762"/>
      <c r="D20" s="763"/>
      <c r="E20" s="644"/>
      <c r="F20" s="645"/>
      <c r="G20" s="645"/>
      <c r="H20" s="646"/>
      <c r="J20" s="1204" t="s">
        <v>703</v>
      </c>
      <c r="K20" s="1204"/>
      <c r="L20" s="1204"/>
      <c r="M20" s="1204"/>
      <c r="N20" s="1207" t="str">
        <f>IF(J24="","Phosphorous Index was not calculated for this field, refer to the management considerations below.",'Nutrient Risk Assessment'!E46)</f>
        <v>Phosphorous Index was not calculated for this field, refer to the management considerations below.</v>
      </c>
      <c r="O20" s="1208"/>
      <c r="P20" s="1208"/>
      <c r="Q20" s="1208"/>
      <c r="R20" s="1208"/>
      <c r="S20" s="1208"/>
      <c r="T20" s="1209"/>
      <c r="Z20" s="536"/>
    </row>
    <row r="21" spans="1:26" s="535" customFormat="1" ht="15.75" customHeight="1">
      <c r="A21" s="663"/>
      <c r="B21" s="884"/>
      <c r="C21" s="764"/>
      <c r="D21" s="765"/>
      <c r="E21" s="761"/>
      <c r="F21" s="648"/>
      <c r="G21" s="648"/>
      <c r="H21" s="649"/>
      <c r="J21" s="1205"/>
      <c r="K21" s="1205"/>
      <c r="L21" s="1205"/>
      <c r="M21" s="1205"/>
      <c r="N21" s="1210"/>
      <c r="O21" s="1211"/>
      <c r="P21" s="1211"/>
      <c r="Q21" s="1211"/>
      <c r="R21" s="1211"/>
      <c r="S21" s="1211"/>
      <c r="T21" s="1212"/>
      <c r="Z21" s="536"/>
    </row>
    <row r="22" spans="1:26" s="535" customFormat="1" ht="15.75" customHeight="1">
      <c r="A22" s="663"/>
      <c r="B22" s="884"/>
      <c r="C22" s="657"/>
      <c r="D22" s="668"/>
      <c r="E22" s="647"/>
      <c r="F22" s="648"/>
      <c r="G22" s="648"/>
      <c r="H22" s="649"/>
      <c r="J22" s="1205"/>
      <c r="K22" s="1205"/>
      <c r="L22" s="1205"/>
      <c r="M22" s="1205"/>
      <c r="N22" s="1210"/>
      <c r="O22" s="1211"/>
      <c r="P22" s="1211"/>
      <c r="Q22" s="1211"/>
      <c r="R22" s="1211"/>
      <c r="S22" s="1211"/>
      <c r="T22" s="1212"/>
      <c r="Z22" s="536"/>
    </row>
    <row r="23" spans="1:26" s="535" customFormat="1" ht="15.75" customHeight="1" thickBot="1">
      <c r="A23" s="663"/>
      <c r="B23" s="884"/>
      <c r="C23" s="657"/>
      <c r="D23" s="668"/>
      <c r="E23" s="647"/>
      <c r="F23" s="648"/>
      <c r="G23" s="648"/>
      <c r="H23" s="649"/>
      <c r="J23" s="1206"/>
      <c r="K23" s="1206"/>
      <c r="L23" s="1206"/>
      <c r="M23" s="1206"/>
      <c r="N23" s="1210"/>
      <c r="O23" s="1211"/>
      <c r="P23" s="1211"/>
      <c r="Q23" s="1211"/>
      <c r="R23" s="1211"/>
      <c r="S23" s="1211"/>
      <c r="T23" s="1212"/>
      <c r="Z23" s="536"/>
    </row>
    <row r="24" spans="1:26" s="535" customFormat="1" ht="15.75" customHeight="1">
      <c r="A24" s="663"/>
      <c r="B24" s="884"/>
      <c r="C24" s="657"/>
      <c r="D24" s="668"/>
      <c r="E24" s="647"/>
      <c r="F24" s="648"/>
      <c r="G24" s="648"/>
      <c r="H24" s="649"/>
      <c r="J24" s="1216">
        <f>IF('Nutrient Risk Assessment'!$I$40=1,"",'Nutrient Risk Assessment'!B48)</f>
      </c>
      <c r="K24" s="1217"/>
      <c r="L24" s="1217"/>
      <c r="M24" s="1218"/>
      <c r="N24" s="1210"/>
      <c r="O24" s="1211"/>
      <c r="P24" s="1211"/>
      <c r="Q24" s="1211"/>
      <c r="R24" s="1211"/>
      <c r="S24" s="1211"/>
      <c r="T24" s="1212"/>
      <c r="Z24" s="536"/>
    </row>
    <row r="25" spans="1:20" ht="18" customHeight="1" thickBot="1">
      <c r="A25" s="125"/>
      <c r="B25" s="885"/>
      <c r="C25" s="658"/>
      <c r="D25" s="669"/>
      <c r="E25" s="566"/>
      <c r="F25" s="567"/>
      <c r="G25" s="567"/>
      <c r="H25" s="568"/>
      <c r="J25" s="1219"/>
      <c r="K25" s="1220"/>
      <c r="L25" s="1220"/>
      <c r="M25" s="1221"/>
      <c r="N25" s="1213"/>
      <c r="O25" s="1214"/>
      <c r="P25" s="1214"/>
      <c r="Q25" s="1214"/>
      <c r="R25" s="1214"/>
      <c r="S25" s="1214"/>
      <c r="T25" s="1215"/>
    </row>
    <row r="26" spans="2:21" ht="6.75" customHeight="1" thickBot="1">
      <c r="B26" s="127"/>
      <c r="C26" s="652"/>
      <c r="D26" s="652"/>
      <c r="E26" s="652"/>
      <c r="F26" s="652"/>
      <c r="H26" s="651"/>
      <c r="I26" s="651"/>
      <c r="J26" s="650"/>
      <c r="K26" s="650"/>
      <c r="L26" s="650"/>
      <c r="M26" s="650"/>
      <c r="N26" s="650"/>
      <c r="O26" s="650"/>
      <c r="P26" s="650"/>
      <c r="Q26" s="650"/>
      <c r="R26" s="650"/>
      <c r="S26" s="650"/>
      <c r="T26" s="650"/>
      <c r="U26" s="125"/>
    </row>
    <row r="27" spans="2:20" ht="12.75">
      <c r="B27" s="1134" t="s">
        <v>146</v>
      </c>
      <c r="C27" s="1135"/>
      <c r="D27" s="1135"/>
      <c r="E27" s="1135"/>
      <c r="F27" s="1135"/>
      <c r="G27" s="1135"/>
      <c r="H27" s="1135"/>
      <c r="I27" s="1135"/>
      <c r="J27" s="1135"/>
      <c r="K27" s="1135"/>
      <c r="L27" s="1135"/>
      <c r="M27" s="1135"/>
      <c r="N27" s="1135"/>
      <c r="O27" s="1135"/>
      <c r="P27" s="1135"/>
      <c r="Q27" s="1135"/>
      <c r="R27" s="1135"/>
      <c r="S27" s="1135"/>
      <c r="T27" s="1136"/>
    </row>
    <row r="28" spans="2:20" ht="13.5" customHeight="1" thickBot="1">
      <c r="B28" s="1137"/>
      <c r="C28" s="1138"/>
      <c r="D28" s="1138"/>
      <c r="E28" s="1138"/>
      <c r="F28" s="1138"/>
      <c r="G28" s="1138"/>
      <c r="H28" s="1138"/>
      <c r="I28" s="1138"/>
      <c r="J28" s="1138"/>
      <c r="K28" s="1138"/>
      <c r="L28" s="1138"/>
      <c r="M28" s="1138"/>
      <c r="N28" s="1138"/>
      <c r="O28" s="1138"/>
      <c r="P28" s="1138"/>
      <c r="Q28" s="1138"/>
      <c r="R28" s="1138"/>
      <c r="S28" s="1138"/>
      <c r="T28" s="1139"/>
    </row>
    <row r="29" spans="2:26" s="905" customFormat="1" ht="18.75" thickBot="1">
      <c r="B29" s="1251" t="s">
        <v>40</v>
      </c>
      <c r="C29" s="1252"/>
      <c r="D29" s="1252"/>
      <c r="E29" s="1252"/>
      <c r="F29" s="1236" t="s">
        <v>142</v>
      </c>
      <c r="G29" s="1237"/>
      <c r="H29" s="1146" t="str">
        <f>'Management Matrix'!A23</f>
        <v>Maximum accumulation of N 180 lbs./ac</v>
      </c>
      <c r="I29" s="1147"/>
      <c r="J29" s="1147"/>
      <c r="K29" s="1147"/>
      <c r="L29" s="1148"/>
      <c r="M29" s="906"/>
      <c r="N29" s="1238" t="s">
        <v>143</v>
      </c>
      <c r="O29" s="1237"/>
      <c r="P29" s="1146" t="str">
        <f>'Management Matrix'!A24</f>
        <v>Maximum accumulation of P 150ppm</v>
      </c>
      <c r="Q29" s="1147"/>
      <c r="R29" s="1147"/>
      <c r="S29" s="1147"/>
      <c r="T29" s="1250"/>
      <c r="Z29" s="907"/>
    </row>
    <row r="30" spans="2:20" ht="20.25">
      <c r="B30" s="1239" t="s">
        <v>147</v>
      </c>
      <c r="C30" s="1240"/>
      <c r="D30" s="1240"/>
      <c r="E30" s="1240"/>
      <c r="F30" s="1240"/>
      <c r="G30" s="1240"/>
      <c r="H30" s="1240"/>
      <c r="I30" s="1240"/>
      <c r="J30" s="1240"/>
      <c r="K30" s="1240"/>
      <c r="L30" s="1240"/>
      <c r="M30" s="1240"/>
      <c r="N30" s="1240"/>
      <c r="O30" s="1240"/>
      <c r="P30" s="1240"/>
      <c r="Q30" s="1240"/>
      <c r="R30" s="1240"/>
      <c r="S30" s="1240"/>
      <c r="T30" s="630"/>
    </row>
    <row r="31" spans="2:26" s="374" customFormat="1" ht="15" customHeight="1">
      <c r="B31" s="1235"/>
      <c r="C31" s="1298" t="s">
        <v>651</v>
      </c>
      <c r="D31" s="1298"/>
      <c r="E31" s="1298"/>
      <c r="F31" s="1298"/>
      <c r="G31" s="1298"/>
      <c r="H31" s="1298"/>
      <c r="I31" s="1298"/>
      <c r="J31" s="1298"/>
      <c r="K31" s="1298"/>
      <c r="L31" s="1298"/>
      <c r="M31" s="1298"/>
      <c r="N31" s="1298"/>
      <c r="O31" s="1298"/>
      <c r="P31" s="1298"/>
      <c r="Q31" s="1298"/>
      <c r="R31" s="1298"/>
      <c r="S31" s="1298"/>
      <c r="T31" s="1299"/>
      <c r="Z31" s="541"/>
    </row>
    <row r="32" spans="2:26" s="374" customFormat="1" ht="15" customHeight="1">
      <c r="B32" s="1235"/>
      <c r="C32" s="1141"/>
      <c r="D32" s="1141"/>
      <c r="E32" s="1141"/>
      <c r="F32" s="1141"/>
      <c r="G32" s="1141"/>
      <c r="H32" s="1141"/>
      <c r="I32" s="1141"/>
      <c r="J32" s="1141"/>
      <c r="K32" s="1141"/>
      <c r="L32" s="1141"/>
      <c r="M32" s="1141"/>
      <c r="N32" s="1141"/>
      <c r="O32" s="1141"/>
      <c r="P32" s="1141"/>
      <c r="Q32" s="1141"/>
      <c r="R32" s="1141"/>
      <c r="S32" s="1141"/>
      <c r="T32" s="1142"/>
      <c r="Z32" s="541"/>
    </row>
    <row r="33" spans="2:26" s="374" customFormat="1" ht="15" customHeight="1">
      <c r="B33" s="1235"/>
      <c r="C33" s="1141" t="s">
        <v>652</v>
      </c>
      <c r="D33" s="1141"/>
      <c r="E33" s="1141"/>
      <c r="F33" s="1141"/>
      <c r="G33" s="1141"/>
      <c r="H33" s="1141"/>
      <c r="I33" s="1141"/>
      <c r="J33" s="1141"/>
      <c r="K33" s="1141"/>
      <c r="L33" s="1141"/>
      <c r="M33" s="1141"/>
      <c r="N33" s="1141"/>
      <c r="O33" s="1141"/>
      <c r="P33" s="1141"/>
      <c r="Q33" s="1141"/>
      <c r="R33" s="1141"/>
      <c r="S33" s="1141"/>
      <c r="T33" s="1142"/>
      <c r="Z33" s="541"/>
    </row>
    <row r="34" spans="2:26" s="374" customFormat="1" ht="15" customHeight="1">
      <c r="B34" s="1235"/>
      <c r="C34" s="1141"/>
      <c r="D34" s="1141"/>
      <c r="E34" s="1141"/>
      <c r="F34" s="1141"/>
      <c r="G34" s="1141"/>
      <c r="H34" s="1141"/>
      <c r="I34" s="1141"/>
      <c r="J34" s="1141"/>
      <c r="K34" s="1141"/>
      <c r="L34" s="1141"/>
      <c r="M34" s="1141"/>
      <c r="N34" s="1141"/>
      <c r="O34" s="1141"/>
      <c r="P34" s="1141"/>
      <c r="Q34" s="1141"/>
      <c r="R34" s="1141"/>
      <c r="S34" s="1141"/>
      <c r="T34" s="1142"/>
      <c r="Z34" s="541"/>
    </row>
    <row r="35" spans="2:26" s="374" customFormat="1" ht="15" customHeight="1">
      <c r="B35" s="1235"/>
      <c r="C35" s="1294" t="s">
        <v>861</v>
      </c>
      <c r="D35" s="1141"/>
      <c r="E35" s="1141"/>
      <c r="F35" s="1141"/>
      <c r="G35" s="1141"/>
      <c r="H35" s="1141"/>
      <c r="I35" s="1141"/>
      <c r="J35" s="1141"/>
      <c r="K35" s="1141"/>
      <c r="L35" s="1141"/>
      <c r="M35" s="1141"/>
      <c r="N35" s="1141"/>
      <c r="O35" s="1141"/>
      <c r="P35" s="1141"/>
      <c r="Q35" s="1141"/>
      <c r="R35" s="1141"/>
      <c r="S35" s="1141"/>
      <c r="T35" s="1142"/>
      <c r="Z35" s="541"/>
    </row>
    <row r="36" spans="2:26" s="374" customFormat="1" ht="14.25" customHeight="1">
      <c r="B36" s="1235"/>
      <c r="C36" s="1295"/>
      <c r="D36" s="1296"/>
      <c r="E36" s="1296"/>
      <c r="F36" s="1296"/>
      <c r="G36" s="1296"/>
      <c r="H36" s="1296"/>
      <c r="I36" s="1296"/>
      <c r="J36" s="1296"/>
      <c r="K36" s="1296"/>
      <c r="L36" s="1296"/>
      <c r="M36" s="1296"/>
      <c r="N36" s="1296"/>
      <c r="O36" s="1296"/>
      <c r="P36" s="1296"/>
      <c r="Q36" s="1296"/>
      <c r="R36" s="1296"/>
      <c r="S36" s="1296"/>
      <c r="T36" s="1297"/>
      <c r="Z36" s="541"/>
    </row>
    <row r="37" spans="2:26" s="374" customFormat="1" ht="19.5" customHeight="1" thickBot="1">
      <c r="B37" s="908" t="s">
        <v>148</v>
      </c>
      <c r="C37" s="540"/>
      <c r="D37" s="540"/>
      <c r="E37" s="540"/>
      <c r="F37" s="540"/>
      <c r="G37" s="540"/>
      <c r="H37" s="540"/>
      <c r="I37" s="540"/>
      <c r="J37" s="540"/>
      <c r="K37" s="540"/>
      <c r="L37" s="629"/>
      <c r="M37" s="540"/>
      <c r="N37" s="540"/>
      <c r="O37" s="540"/>
      <c r="P37" s="540"/>
      <c r="Q37" s="540"/>
      <c r="R37" s="540"/>
      <c r="S37" s="540"/>
      <c r="T37" s="542"/>
      <c r="Z37" s="541"/>
    </row>
    <row r="38" spans="2:26" s="374" customFormat="1" ht="16.5" customHeight="1">
      <c r="B38" s="1224" t="str">
        <f>IF(ISNA('Management Matrix'!A14),"",'Management Matrix'!A14)</f>
        <v>See management statements above.</v>
      </c>
      <c r="C38" s="1225"/>
      <c r="D38" s="1225"/>
      <c r="E38" s="1225"/>
      <c r="F38" s="1225"/>
      <c r="G38" s="1225"/>
      <c r="H38" s="1225"/>
      <c r="I38" s="1225"/>
      <c r="J38" s="1225"/>
      <c r="K38" s="1225"/>
      <c r="L38" s="1225"/>
      <c r="M38" s="1225"/>
      <c r="N38" s="1225"/>
      <c r="O38" s="1225"/>
      <c r="P38" s="1225"/>
      <c r="Q38" s="1225"/>
      <c r="R38" s="1225"/>
      <c r="S38" s="1225"/>
      <c r="T38" s="1226"/>
      <c r="Z38" s="541"/>
    </row>
    <row r="39" spans="2:20" ht="16.5" customHeight="1">
      <c r="B39" s="1140" t="str">
        <f>IF(ISNA('Management Matrix'!A16)," ",'Management Matrix'!A16)</f>
        <v> </v>
      </c>
      <c r="C39" s="1141"/>
      <c r="D39" s="1141"/>
      <c r="E39" s="1141"/>
      <c r="F39" s="1141"/>
      <c r="G39" s="1141"/>
      <c r="H39" s="1141"/>
      <c r="I39" s="1141"/>
      <c r="J39" s="1141"/>
      <c r="K39" s="1141"/>
      <c r="L39" s="1141"/>
      <c r="M39" s="1141"/>
      <c r="N39" s="1141"/>
      <c r="O39" s="1141"/>
      <c r="P39" s="1141"/>
      <c r="Q39" s="1141"/>
      <c r="R39" s="1141"/>
      <c r="S39" s="1141"/>
      <c r="T39" s="1142"/>
    </row>
    <row r="40" spans="2:20" ht="15.75" customHeight="1" thickBot="1">
      <c r="B40" s="1143"/>
      <c r="C40" s="1144"/>
      <c r="D40" s="1144"/>
      <c r="E40" s="1144"/>
      <c r="F40" s="1144"/>
      <c r="G40" s="1144"/>
      <c r="H40" s="1144"/>
      <c r="I40" s="1144"/>
      <c r="J40" s="1144"/>
      <c r="K40" s="1144"/>
      <c r="L40" s="1144"/>
      <c r="M40" s="1144"/>
      <c r="N40" s="1144"/>
      <c r="O40" s="1144"/>
      <c r="P40" s="1144"/>
      <c r="Q40" s="1144"/>
      <c r="R40" s="1144"/>
      <c r="S40" s="1144"/>
      <c r="T40" s="1145"/>
    </row>
    <row r="41" spans="2:20" ht="16.5" thickBot="1">
      <c r="B41" s="1151" t="s">
        <v>41</v>
      </c>
      <c r="C41" s="1152"/>
      <c r="D41" s="1152"/>
      <c r="E41" s="1152"/>
      <c r="F41" s="632"/>
      <c r="G41" s="632"/>
      <c r="H41" s="632"/>
      <c r="I41" s="632"/>
      <c r="J41" s="632"/>
      <c r="K41" s="632"/>
      <c r="L41" s="632"/>
      <c r="M41" s="632"/>
      <c r="N41" s="632"/>
      <c r="O41" s="632"/>
      <c r="P41" s="632"/>
      <c r="Q41" s="632"/>
      <c r="R41" s="632"/>
      <c r="S41" s="632"/>
      <c r="T41" s="633"/>
    </row>
    <row r="42" spans="2:20" ht="12.75">
      <c r="B42" s="1078"/>
      <c r="C42" s="1079"/>
      <c r="D42" s="1079"/>
      <c r="E42" s="1079"/>
      <c r="F42" s="1079"/>
      <c r="G42" s="1079"/>
      <c r="H42" s="1079"/>
      <c r="I42" s="1079"/>
      <c r="J42" s="1079"/>
      <c r="K42" s="1079"/>
      <c r="L42" s="1079"/>
      <c r="M42" s="1079"/>
      <c r="N42" s="1079"/>
      <c r="O42" s="1079"/>
      <c r="P42" s="1079"/>
      <c r="Q42" s="1079"/>
      <c r="R42" s="1079"/>
      <c r="S42" s="1079"/>
      <c r="T42" s="1080"/>
    </row>
    <row r="43" spans="2:20" ht="12.75">
      <c r="B43" s="1081"/>
      <c r="C43" s="1082"/>
      <c r="D43" s="1082"/>
      <c r="E43" s="1082"/>
      <c r="F43" s="1082"/>
      <c r="G43" s="1082"/>
      <c r="H43" s="1082"/>
      <c r="I43" s="1082"/>
      <c r="J43" s="1082"/>
      <c r="K43" s="1082"/>
      <c r="L43" s="1082"/>
      <c r="M43" s="1082"/>
      <c r="N43" s="1082"/>
      <c r="O43" s="1082"/>
      <c r="P43" s="1082"/>
      <c r="Q43" s="1082"/>
      <c r="R43" s="1082"/>
      <c r="S43" s="1082"/>
      <c r="T43" s="1083"/>
    </row>
    <row r="44" spans="2:20" ht="12.75">
      <c r="B44" s="1081"/>
      <c r="C44" s="1082"/>
      <c r="D44" s="1082"/>
      <c r="E44" s="1082"/>
      <c r="F44" s="1082"/>
      <c r="G44" s="1082"/>
      <c r="H44" s="1082"/>
      <c r="I44" s="1082"/>
      <c r="J44" s="1082"/>
      <c r="K44" s="1082"/>
      <c r="L44" s="1082"/>
      <c r="M44" s="1082"/>
      <c r="N44" s="1082"/>
      <c r="O44" s="1082"/>
      <c r="P44" s="1082"/>
      <c r="Q44" s="1082"/>
      <c r="R44" s="1082"/>
      <c r="S44" s="1082"/>
      <c r="T44" s="1083"/>
    </row>
    <row r="45" spans="2:20" ht="14.25" customHeight="1" thickBot="1">
      <c r="B45" s="1084"/>
      <c r="C45" s="1085"/>
      <c r="D45" s="1085"/>
      <c r="E45" s="1085"/>
      <c r="F45" s="1085"/>
      <c r="G45" s="1085"/>
      <c r="H45" s="1085"/>
      <c r="I45" s="1085"/>
      <c r="J45" s="1085"/>
      <c r="K45" s="1085"/>
      <c r="L45" s="1085"/>
      <c r="M45" s="1085"/>
      <c r="N45" s="1085"/>
      <c r="O45" s="1085"/>
      <c r="P45" s="1085"/>
      <c r="Q45" s="1085"/>
      <c r="R45" s="1085"/>
      <c r="S45" s="1085"/>
      <c r="T45" s="1086"/>
    </row>
    <row r="46" spans="2:20" ht="14.25">
      <c r="B46" s="125"/>
      <c r="G46" s="284"/>
      <c r="H46" s="191"/>
      <c r="I46" s="191"/>
      <c r="J46" s="191"/>
      <c r="K46" s="191"/>
      <c r="L46" s="191"/>
      <c r="M46" s="125"/>
      <c r="N46" s="285"/>
      <c r="O46" s="191"/>
      <c r="P46" s="191"/>
      <c r="Q46" s="191"/>
      <c r="R46" s="191"/>
      <c r="S46" s="189"/>
      <c r="T46" s="125"/>
    </row>
    <row r="47" spans="2:20" ht="14.25">
      <c r="B47" s="125"/>
      <c r="G47" s="284"/>
      <c r="H47" s="191"/>
      <c r="I47" s="191"/>
      <c r="J47" s="191"/>
      <c r="K47" s="191"/>
      <c r="L47" s="191"/>
      <c r="M47" s="125"/>
      <c r="N47" s="285"/>
      <c r="O47" s="191"/>
      <c r="P47" s="191"/>
      <c r="Q47" s="191"/>
      <c r="R47" s="191"/>
      <c r="S47" s="189"/>
      <c r="T47" s="125"/>
    </row>
    <row r="48" spans="2:20" ht="13.5" thickBot="1">
      <c r="B48" s="1"/>
      <c r="C48" s="1"/>
      <c r="D48" s="1"/>
      <c r="E48" s="1"/>
      <c r="F48" s="1"/>
      <c r="G48" s="1"/>
      <c r="I48" s="192"/>
      <c r="J48" s="192"/>
      <c r="K48" s="192"/>
      <c r="L48" s="192"/>
      <c r="M48" s="1"/>
      <c r="N48" s="1"/>
      <c r="O48" s="191"/>
      <c r="P48" s="192"/>
      <c r="Q48" s="192"/>
      <c r="R48" s="192"/>
      <c r="S48" s="1"/>
      <c r="T48" s="1"/>
    </row>
    <row r="49" spans="2:19" ht="12.75" customHeight="1">
      <c r="B49" s="346" t="s">
        <v>628</v>
      </c>
      <c r="D49" s="388"/>
      <c r="E49" s="388"/>
      <c r="F49" s="388"/>
      <c r="G49" s="388" t="s">
        <v>43</v>
      </c>
      <c r="H49" s="368"/>
      <c r="I49" s="533" t="s">
        <v>42</v>
      </c>
      <c r="J49" s="388"/>
      <c r="K49" s="388"/>
      <c r="L49" s="388"/>
      <c r="N49" s="533" t="s">
        <v>43</v>
      </c>
      <c r="P49" s="534" t="s">
        <v>309</v>
      </c>
      <c r="Q49" s="388"/>
      <c r="R49" s="388"/>
      <c r="S49" s="367" t="s">
        <v>43</v>
      </c>
    </row>
    <row r="50" spans="2:20" ht="15" customHeight="1">
      <c r="B50" s="1241" t="s">
        <v>629</v>
      </c>
      <c r="C50" s="1241"/>
      <c r="D50" s="1241"/>
      <c r="E50" s="1241"/>
      <c r="F50" s="1241"/>
      <c r="G50" s="1241"/>
      <c r="H50" s="1241"/>
      <c r="I50" s="1241"/>
      <c r="J50" s="1241"/>
      <c r="K50" s="1241"/>
      <c r="L50" s="1241"/>
      <c r="M50" s="1241"/>
      <c r="N50" s="1241"/>
      <c r="O50" s="1241"/>
      <c r="P50" s="1241"/>
      <c r="Q50" s="1241"/>
      <c r="R50" s="1241"/>
      <c r="S50" s="1241"/>
      <c r="T50" s="1241"/>
    </row>
    <row r="51" spans="1:26" s="368" customFormat="1" ht="15.75" thickBot="1">
      <c r="A51" s="388"/>
      <c r="B51" s="1141"/>
      <c r="C51" s="1141"/>
      <c r="D51" s="1141"/>
      <c r="E51" s="1141"/>
      <c r="F51" s="1141"/>
      <c r="G51" s="1141"/>
      <c r="H51" s="1141"/>
      <c r="I51" s="1141"/>
      <c r="J51" s="1141"/>
      <c r="K51" s="1141"/>
      <c r="L51" s="1141"/>
      <c r="M51" s="1141"/>
      <c r="N51" s="1141"/>
      <c r="O51" s="1141"/>
      <c r="P51" s="1141"/>
      <c r="Q51" s="1141"/>
      <c r="R51" s="1141"/>
      <c r="S51" s="1141"/>
      <c r="T51" s="1141"/>
      <c r="Z51" s="405"/>
    </row>
    <row r="52" spans="1:26" s="127" customFormat="1" ht="14.25" customHeight="1">
      <c r="A52" s="1134" t="s">
        <v>59</v>
      </c>
      <c r="B52" s="1135"/>
      <c r="C52" s="1135"/>
      <c r="D52" s="1135"/>
      <c r="E52" s="1135"/>
      <c r="F52" s="1135"/>
      <c r="G52" s="1135"/>
      <c r="H52" s="1135"/>
      <c r="I52" s="1135"/>
      <c r="J52" s="1135"/>
      <c r="K52" s="1135"/>
      <c r="L52" s="1135"/>
      <c r="M52" s="1135"/>
      <c r="N52" s="1135"/>
      <c r="O52" s="1135"/>
      <c r="P52" s="1135"/>
      <c r="Q52" s="1135"/>
      <c r="R52" s="1135"/>
      <c r="S52" s="1135"/>
      <c r="T52" s="1136"/>
      <c r="Z52" s="290"/>
    </row>
    <row r="53" spans="1:26" s="127" customFormat="1" ht="14.25" customHeight="1" thickBot="1">
      <c r="A53" s="1137"/>
      <c r="B53" s="1138"/>
      <c r="C53" s="1138"/>
      <c r="D53" s="1138"/>
      <c r="E53" s="1138"/>
      <c r="F53" s="1138"/>
      <c r="G53" s="1138"/>
      <c r="H53" s="1138"/>
      <c r="I53" s="1138"/>
      <c r="J53" s="1138"/>
      <c r="K53" s="1138"/>
      <c r="L53" s="1138"/>
      <c r="M53" s="1138"/>
      <c r="N53" s="1138"/>
      <c r="O53" s="1138"/>
      <c r="P53" s="1138"/>
      <c r="Q53" s="1138"/>
      <c r="R53" s="1138"/>
      <c r="S53" s="1138"/>
      <c r="T53" s="1139"/>
      <c r="Z53" s="290"/>
    </row>
    <row r="54" spans="1:26" s="127" customFormat="1" ht="31.5" customHeight="1">
      <c r="A54" s="1229" t="s">
        <v>865</v>
      </c>
      <c r="B54" s="1229"/>
      <c r="C54" s="1229"/>
      <c r="D54" s="1229"/>
      <c r="E54" s="1229"/>
      <c r="F54" s="1229"/>
      <c r="G54" s="1229"/>
      <c r="H54" s="1229"/>
      <c r="I54" s="1229"/>
      <c r="J54" s="1229"/>
      <c r="K54" s="1229"/>
      <c r="L54" s="1229"/>
      <c r="M54" s="1229"/>
      <c r="N54" s="1229"/>
      <c r="O54" s="1229"/>
      <c r="P54" s="1229"/>
      <c r="Q54" s="1229"/>
      <c r="R54" s="1229"/>
      <c r="S54" s="1229"/>
      <c r="T54" s="1229"/>
      <c r="Z54" s="290"/>
    </row>
    <row r="55" spans="1:26" s="127" customFormat="1" ht="27" customHeight="1" thickBot="1">
      <c r="A55" s="1229"/>
      <c r="B55" s="1229"/>
      <c r="C55" s="1229"/>
      <c r="D55" s="1229"/>
      <c r="E55" s="1229"/>
      <c r="F55" s="1229"/>
      <c r="G55" s="1229"/>
      <c r="H55" s="1229"/>
      <c r="I55" s="1229"/>
      <c r="J55" s="1229"/>
      <c r="K55" s="1229"/>
      <c r="L55" s="1229"/>
      <c r="M55" s="1229"/>
      <c r="N55" s="1229"/>
      <c r="O55" s="1229"/>
      <c r="P55" s="1229"/>
      <c r="Q55" s="1229"/>
      <c r="R55" s="1229"/>
      <c r="S55" s="1229"/>
      <c r="T55" s="1229"/>
      <c r="Z55" s="290"/>
    </row>
    <row r="56" spans="5:17" s="125" customFormat="1" ht="14.25" customHeight="1" thickBot="1">
      <c r="E56" s="1153" t="s">
        <v>144</v>
      </c>
      <c r="F56" s="1149" t="s">
        <v>52</v>
      </c>
      <c r="G56" s="1149"/>
      <c r="H56" s="1132" t="s">
        <v>381</v>
      </c>
      <c r="I56" s="1132" t="s">
        <v>53</v>
      </c>
      <c r="J56" s="1132" t="s">
        <v>1463</v>
      </c>
      <c r="K56" s="1232" t="s">
        <v>159</v>
      </c>
      <c r="L56" s="1233"/>
      <c r="M56" s="1233"/>
      <c r="N56" s="1233"/>
      <c r="O56" s="1233"/>
      <c r="P56" s="1233"/>
      <c r="Q56" s="1234"/>
    </row>
    <row r="57" spans="5:72" s="5" customFormat="1" ht="15.75" customHeight="1" thickBot="1">
      <c r="E57" s="1154"/>
      <c r="F57" s="1150"/>
      <c r="G57" s="1150"/>
      <c r="H57" s="1133"/>
      <c r="I57" s="1133"/>
      <c r="J57" s="1133"/>
      <c r="K57" s="1232"/>
      <c r="L57" s="1233"/>
      <c r="M57" s="1233"/>
      <c r="N57" s="1233"/>
      <c r="O57" s="1233"/>
      <c r="P57" s="1233"/>
      <c r="Q57" s="1234"/>
      <c r="AN57"/>
      <c r="BH57"/>
      <c r="BI57"/>
      <c r="BJ57"/>
      <c r="BK57"/>
      <c r="BL57"/>
      <c r="BM57"/>
      <c r="BN57"/>
      <c r="BO57"/>
      <c r="BP57"/>
      <c r="BQ57"/>
      <c r="BR57"/>
      <c r="BS57"/>
      <c r="BT57"/>
    </row>
    <row r="58" spans="1:17" ht="15" customHeight="1" thickBot="1">
      <c r="A58" s="125"/>
      <c r="B58" s="421"/>
      <c r="E58" s="788"/>
      <c r="F58" s="1029"/>
      <c r="G58" s="1029"/>
      <c r="H58" s="789"/>
      <c r="I58" s="789"/>
      <c r="J58" s="1289"/>
      <c r="K58" s="1102"/>
      <c r="L58" s="1103"/>
      <c r="M58" s="1103"/>
      <c r="N58" s="1103"/>
      <c r="O58" s="1103"/>
      <c r="P58" s="1103"/>
      <c r="Q58" s="1104"/>
    </row>
    <row r="59" spans="5:17" s="125" customFormat="1" ht="16.5" thickBot="1">
      <c r="E59" s="653"/>
      <c r="F59" s="1030"/>
      <c r="G59" s="1030"/>
      <c r="H59" s="655"/>
      <c r="I59" s="655"/>
      <c r="J59" s="1290"/>
      <c r="K59" s="1102"/>
      <c r="L59" s="1103"/>
      <c r="M59" s="1103"/>
      <c r="N59" s="1103"/>
      <c r="O59" s="1103"/>
      <c r="P59" s="1103"/>
      <c r="Q59" s="1104"/>
    </row>
    <row r="60" spans="1:17" ht="16.5" thickBot="1">
      <c r="A60" s="902" t="s">
        <v>594</v>
      </c>
      <c r="B60" s="125"/>
      <c r="C60" s="125"/>
      <c r="D60" s="125"/>
      <c r="E60" s="786"/>
      <c r="F60" s="1030"/>
      <c r="G60" s="1030"/>
      <c r="H60" s="787"/>
      <c r="I60" s="787"/>
      <c r="J60" s="1290"/>
      <c r="K60" s="1102"/>
      <c r="L60" s="1103"/>
      <c r="M60" s="1103"/>
      <c r="N60" s="1103"/>
      <c r="O60" s="1103"/>
      <c r="P60" s="1103"/>
      <c r="Q60" s="1104"/>
    </row>
    <row r="61" spans="1:20" ht="16.5" thickBot="1">
      <c r="A61" s="1"/>
      <c r="B61" s="1"/>
      <c r="C61" s="1"/>
      <c r="D61" s="1"/>
      <c r="E61" s="654"/>
      <c r="F61" s="1031"/>
      <c r="G61" s="1031"/>
      <c r="H61" s="656"/>
      <c r="I61" s="656"/>
      <c r="J61" s="1291"/>
      <c r="K61" s="1102"/>
      <c r="L61" s="1103"/>
      <c r="M61" s="1103"/>
      <c r="N61" s="1103"/>
      <c r="O61" s="1103"/>
      <c r="P61" s="1103"/>
      <c r="Q61" s="1104"/>
      <c r="R61" s="805"/>
      <c r="S61" s="1"/>
      <c r="T61" s="1"/>
    </row>
    <row r="62" spans="1:40" ht="23.25">
      <c r="A62" s="984" t="s">
        <v>64</v>
      </c>
      <c r="B62" s="984"/>
      <c r="C62" s="984"/>
      <c r="D62" s="984"/>
      <c r="E62" s="984"/>
      <c r="F62" s="984"/>
      <c r="G62" s="984"/>
      <c r="H62" s="984"/>
      <c r="I62" s="872" t="s">
        <v>880</v>
      </c>
      <c r="O62" s="390"/>
      <c r="AN62" s="123"/>
    </row>
    <row r="63" spans="1:40" ht="15.75" customHeight="1">
      <c r="A63" s="125"/>
      <c r="B63" s="1023" t="s">
        <v>882</v>
      </c>
      <c r="C63" s="1023"/>
      <c r="D63" s="1023"/>
      <c r="E63" s="1023"/>
      <c r="F63" s="1023"/>
      <c r="G63" s="1023"/>
      <c r="H63" s="1023"/>
      <c r="I63" s="1023"/>
      <c r="J63" s="1023"/>
      <c r="K63" s="1023"/>
      <c r="L63" s="1023"/>
      <c r="M63" s="1023"/>
      <c r="N63" s="1023"/>
      <c r="O63" s="1023"/>
      <c r="P63" s="1023"/>
      <c r="Q63" s="1023"/>
      <c r="R63" s="1023"/>
      <c r="S63" s="1023"/>
      <c r="T63" s="1023"/>
      <c r="AN63" s="135"/>
    </row>
    <row r="64" spans="1:40" ht="15" customHeight="1" thickBot="1">
      <c r="A64" s="125"/>
      <c r="B64" s="1024"/>
      <c r="C64" s="1024"/>
      <c r="D64" s="1024"/>
      <c r="E64" s="1024"/>
      <c r="F64" s="1024"/>
      <c r="G64" s="1024"/>
      <c r="H64" s="1024"/>
      <c r="I64" s="1024"/>
      <c r="J64" s="1023"/>
      <c r="K64" s="1023"/>
      <c r="L64" s="1023"/>
      <c r="M64" s="1023"/>
      <c r="N64" s="1023"/>
      <c r="O64" s="1023"/>
      <c r="P64" s="1023"/>
      <c r="Q64" s="1023"/>
      <c r="R64" s="1023"/>
      <c r="S64" s="1023"/>
      <c r="T64" s="1023"/>
      <c r="AN64" s="135"/>
    </row>
    <row r="65" spans="1:40" ht="15" customHeight="1" thickBot="1">
      <c r="A65" s="902" t="s">
        <v>594</v>
      </c>
      <c r="B65" s="1021" t="s">
        <v>235</v>
      </c>
      <c r="C65" s="1022"/>
      <c r="D65" s="1009" t="s">
        <v>156</v>
      </c>
      <c r="E65" s="1010"/>
      <c r="F65" s="1010"/>
      <c r="G65" s="1010"/>
      <c r="H65" s="1010"/>
      <c r="I65" s="1011"/>
      <c r="J65" s="873"/>
      <c r="K65" s="873"/>
      <c r="L65" s="873"/>
      <c r="M65" s="873"/>
      <c r="N65" s="873"/>
      <c r="O65" s="873"/>
      <c r="P65" s="873"/>
      <c r="Q65" s="873"/>
      <c r="R65" s="856"/>
      <c r="S65" s="856"/>
      <c r="T65" s="856"/>
      <c r="AN65" s="135"/>
    </row>
    <row r="66" spans="1:68" ht="19.5">
      <c r="A66" s="125"/>
      <c r="B66" s="1025"/>
      <c r="C66" s="1026"/>
      <c r="D66" s="1017"/>
      <c r="E66" s="1018"/>
      <c r="F66" s="1018"/>
      <c r="G66" s="1018"/>
      <c r="H66" s="1018"/>
      <c r="I66" s="1019"/>
      <c r="J66" s="874"/>
      <c r="K66" s="390"/>
      <c r="L66" s="390"/>
      <c r="M66" s="390"/>
      <c r="N66" s="346"/>
      <c r="O66" s="346"/>
      <c r="P66" s="346"/>
      <c r="Q66" s="875"/>
      <c r="R66" s="407" t="s">
        <v>181</v>
      </c>
      <c r="S66" s="801" t="s">
        <v>170</v>
      </c>
      <c r="T66" s="876" t="s">
        <v>1396</v>
      </c>
      <c r="AN66" s="125"/>
      <c r="BJ66" s="5"/>
      <c r="BK66" s="5"/>
      <c r="BL66" s="5"/>
      <c r="BM66" s="5"/>
      <c r="BN66" s="5"/>
      <c r="BO66" s="5"/>
      <c r="BP66" s="5"/>
    </row>
    <row r="67" spans="1:68" ht="16.5" thickBot="1">
      <c r="A67" s="125"/>
      <c r="B67" s="1027"/>
      <c r="C67" s="1028"/>
      <c r="D67" s="996"/>
      <c r="E67" s="1020"/>
      <c r="F67" s="1020"/>
      <c r="G67" s="1020"/>
      <c r="H67" s="1020"/>
      <c r="I67" s="1015"/>
      <c r="K67" s="798"/>
      <c r="Q67" s="770" t="s">
        <v>65</v>
      </c>
      <c r="R67" s="391"/>
      <c r="S67" s="392"/>
      <c r="T67" s="393"/>
      <c r="AN67" s="125"/>
      <c r="BJ67" s="5"/>
      <c r="BK67" s="5"/>
      <c r="BL67" s="5"/>
      <c r="BM67" s="5"/>
      <c r="BN67" s="5"/>
      <c r="BO67" s="5"/>
      <c r="BP67" s="5"/>
    </row>
    <row r="68" spans="1:71" s="368" customFormat="1" ht="9" customHeight="1" thickBot="1">
      <c r="A68" s="346"/>
      <c r="K68" s="515"/>
      <c r="M68" s="771"/>
      <c r="N68" s="771"/>
      <c r="O68" s="771"/>
      <c r="P68" s="771"/>
      <c r="Q68" s="772"/>
      <c r="R68" s="394"/>
      <c r="S68" s="395"/>
      <c r="T68" s="396"/>
      <c r="AN68" s="346"/>
      <c r="BQ68" s="389"/>
      <c r="BS68" s="389"/>
    </row>
    <row r="69" spans="1:71" ht="18.75" thickBot="1">
      <c r="A69" s="125"/>
      <c r="B69" s="1012" t="s">
        <v>878</v>
      </c>
      <c r="C69" s="1013"/>
      <c r="D69" s="1013"/>
      <c r="E69" s="1013"/>
      <c r="F69" s="1013"/>
      <c r="G69" s="1013"/>
      <c r="H69" s="1013"/>
      <c r="I69" s="1014"/>
      <c r="K69" s="515"/>
      <c r="L69" s="772"/>
      <c r="M69" s="772"/>
      <c r="N69" s="773"/>
      <c r="O69" s="389"/>
      <c r="P69" s="389"/>
      <c r="Q69" s="398" t="s">
        <v>63</v>
      </c>
      <c r="R69" s="752">
        <f>IF(ISERR(AgSolids!D88)*1,0,AgSolids!D88)</f>
        <v>0</v>
      </c>
      <c r="S69" s="754">
        <f>IF(ISERR(AgSolids!D89)*1,0,AgSolids!D89)</f>
        <v>0</v>
      </c>
      <c r="T69" s="753">
        <f>IF(ISERR(AgSolids!D90)*1,0,AgSolids!D90)</f>
        <v>0</v>
      </c>
      <c r="AN69" s="125"/>
      <c r="BQ69" s="5"/>
      <c r="BS69" s="5"/>
    </row>
    <row r="70" spans="1:71" ht="15.75" thickBot="1">
      <c r="A70" s="125"/>
      <c r="B70" s="998" t="s">
        <v>874</v>
      </c>
      <c r="C70" s="993"/>
      <c r="D70" s="992" t="s">
        <v>875</v>
      </c>
      <c r="E70" s="993"/>
      <c r="F70" s="992" t="s">
        <v>876</v>
      </c>
      <c r="G70" s="993"/>
      <c r="H70" s="1279" t="s">
        <v>877</v>
      </c>
      <c r="I70" s="1280"/>
      <c r="J70" s="368"/>
      <c r="K70" s="405"/>
      <c r="L70" s="772"/>
      <c r="M70" s="772"/>
      <c r="N70" s="773"/>
      <c r="O70" s="389"/>
      <c r="P70" s="389"/>
      <c r="AN70" s="125"/>
      <c r="BQ70" s="5"/>
      <c r="BS70" s="5"/>
    </row>
    <row r="71" spans="1:70" ht="15" customHeight="1" thickBot="1">
      <c r="A71" s="125"/>
      <c r="B71" s="1385"/>
      <c r="C71" s="995"/>
      <c r="D71" s="994"/>
      <c r="E71" s="995"/>
      <c r="F71" s="994"/>
      <c r="G71" s="995"/>
      <c r="H71" s="1281"/>
      <c r="I71" s="1282"/>
      <c r="K71" s="295"/>
      <c r="L71" s="1012" t="s">
        <v>879</v>
      </c>
      <c r="M71" s="1013"/>
      <c r="N71" s="1013"/>
      <c r="O71" s="1013"/>
      <c r="P71" s="1013"/>
      <c r="Q71" s="1013"/>
      <c r="R71" s="1013"/>
      <c r="S71" s="1013"/>
      <c r="T71" s="1014"/>
      <c r="AN71" s="125"/>
      <c r="BI71" s="5"/>
      <c r="BR71" s="5"/>
    </row>
    <row r="72" spans="1:70" ht="15.75" thickBot="1">
      <c r="A72" s="125"/>
      <c r="B72" s="1386"/>
      <c r="C72" s="997"/>
      <c r="D72" s="996"/>
      <c r="E72" s="997"/>
      <c r="F72" s="996"/>
      <c r="G72" s="997"/>
      <c r="H72" s="996"/>
      <c r="I72" s="1015"/>
      <c r="K72" s="295"/>
      <c r="L72" s="1016" t="s">
        <v>1317</v>
      </c>
      <c r="M72" s="1016"/>
      <c r="N72" s="774"/>
      <c r="O72" s="1016" t="s">
        <v>866</v>
      </c>
      <c r="P72" s="1016"/>
      <c r="Q72" s="774"/>
      <c r="R72" s="1016" t="s">
        <v>867</v>
      </c>
      <c r="S72" s="1016"/>
      <c r="T72" s="1016"/>
      <c r="AN72" s="125"/>
      <c r="BI72" s="5"/>
      <c r="BR72" s="5"/>
    </row>
    <row r="73" spans="1:70" s="286" customFormat="1" ht="8.25" customHeight="1" thickBot="1">
      <c r="A73" s="268"/>
      <c r="B73" s="515"/>
      <c r="C73" s="515"/>
      <c r="D73" s="515"/>
      <c r="E73" s="515"/>
      <c r="F73" s="515"/>
      <c r="G73" s="515"/>
      <c r="H73" s="515"/>
      <c r="I73" s="515"/>
      <c r="K73" s="295"/>
      <c r="L73" s="1387">
        <f>IF(ISERR(AgSolids!A93*1),0,(AgSolids!A93))</f>
        <v>0</v>
      </c>
      <c r="M73" s="1388"/>
      <c r="N73" s="803"/>
      <c r="O73" s="1391">
        <f>IF(ISERR(AgSolids!F93*1),0,(AgSolids!F93))</f>
        <v>0</v>
      </c>
      <c r="P73" s="1392"/>
      <c r="Q73" s="803"/>
      <c r="R73" s="1032">
        <f>IF(ISERR(AgSolids!H93*1),0,(AgSolids!H93))</f>
        <v>0</v>
      </c>
      <c r="S73" s="1033"/>
      <c r="T73" s="1034"/>
      <c r="AN73" s="268"/>
      <c r="BI73" s="295"/>
      <c r="BR73" s="295"/>
    </row>
    <row r="74" spans="1:70" ht="21" customHeight="1" thickBot="1">
      <c r="A74" s="125"/>
      <c r="C74" s="986" t="s">
        <v>61</v>
      </c>
      <c r="D74" s="987"/>
      <c r="E74" s="987"/>
      <c r="F74" s="987"/>
      <c r="G74" s="987"/>
      <c r="H74" s="988"/>
      <c r="K74" s="295"/>
      <c r="L74" s="1389"/>
      <c r="M74" s="1390"/>
      <c r="N74" s="804"/>
      <c r="O74" s="1393"/>
      <c r="P74" s="1394"/>
      <c r="Q74" s="804"/>
      <c r="R74" s="1035"/>
      <c r="S74" s="1036"/>
      <c r="T74" s="1037"/>
      <c r="AN74" s="125"/>
      <c r="BI74" s="5"/>
      <c r="BR74" s="5"/>
    </row>
    <row r="75" spans="1:70" ht="21" customHeight="1">
      <c r="A75" s="125"/>
      <c r="C75" s="998" t="s">
        <v>173</v>
      </c>
      <c r="D75" s="999"/>
      <c r="E75" s="993"/>
      <c r="F75" s="1003" t="s">
        <v>1085</v>
      </c>
      <c r="G75" s="1005"/>
      <c r="H75" s="1006"/>
      <c r="K75" s="5"/>
      <c r="AN75" s="125"/>
      <c r="BI75" s="5"/>
      <c r="BR75" s="5"/>
    </row>
    <row r="76" spans="1:70" ht="10.5" customHeight="1" thickBot="1">
      <c r="A76" s="125"/>
      <c r="B76" s="341"/>
      <c r="C76" s="1000"/>
      <c r="D76" s="1001"/>
      <c r="E76" s="1002"/>
      <c r="F76" s="1004"/>
      <c r="G76" s="1007"/>
      <c r="H76" s="1008"/>
      <c r="T76" s="5"/>
      <c r="AN76" s="125"/>
      <c r="BI76" s="5"/>
      <c r="BR76" s="5"/>
    </row>
    <row r="77" spans="1:40" ht="16.5" thickBot="1">
      <c r="A77" s="125"/>
      <c r="B77" s="390"/>
      <c r="C77" s="407" t="s">
        <v>181</v>
      </c>
      <c r="D77" s="1101">
        <f>IF($D$66="",0,IF($R$67&gt;0,($L$79*$R$69)+O73,IF($B$66&lt;1,(+AgSolids!B88+O73),($L$79*$R$69)+O73)))</f>
        <v>0</v>
      </c>
      <c r="E77" s="1101"/>
      <c r="F77" s="554">
        <v>0.12</v>
      </c>
      <c r="G77" s="1303">
        <f>SUM($D$77*$F$77)</f>
        <v>0</v>
      </c>
      <c r="H77" s="1304"/>
      <c r="L77" s="1039" t="s">
        <v>60</v>
      </c>
      <c r="M77" s="1039"/>
      <c r="N77" s="1039"/>
      <c r="O77" s="1039"/>
      <c r="P77" s="1039"/>
      <c r="Q77" s="1039"/>
      <c r="R77" s="1039"/>
      <c r="S77" s="1039"/>
      <c r="T77" s="1039"/>
      <c r="AN77" s="125"/>
    </row>
    <row r="78" spans="1:40" ht="20.25" thickBot="1">
      <c r="A78" s="125"/>
      <c r="B78" s="390"/>
      <c r="C78" s="408" t="s">
        <v>170</v>
      </c>
      <c r="D78" s="1228">
        <f>IF($D$66="",0,IF($S$67&gt;0,$L$79*$S$69,IF($B$66&lt;1,+AgSolids!B89,$L$79*$S$69)))</f>
        <v>0</v>
      </c>
      <c r="E78" s="1228"/>
      <c r="F78" s="555">
        <v>0.2</v>
      </c>
      <c r="G78" s="1395">
        <f>SUM($D$78*$F$78)</f>
        <v>0</v>
      </c>
      <c r="H78" s="1396"/>
      <c r="L78" s="1384" t="s">
        <v>235</v>
      </c>
      <c r="M78" s="1384"/>
      <c r="N78" s="1038"/>
      <c r="O78" s="1040" t="s">
        <v>336</v>
      </c>
      <c r="P78" s="1040"/>
      <c r="Q78" s="1038"/>
      <c r="R78" s="1040" t="s">
        <v>539</v>
      </c>
      <c r="S78" s="1040"/>
      <c r="T78" s="1040"/>
      <c r="AN78" s="125"/>
    </row>
    <row r="79" spans="1:40" ht="19.5" thickBot="1">
      <c r="A79" s="125"/>
      <c r="B79" s="390"/>
      <c r="C79" s="562" t="s">
        <v>590</v>
      </c>
      <c r="D79" s="1227">
        <f>IF($D$66="",0,IF($T$67&gt;0,$L$79*$T$69,IF($B$66&lt;1,+AgSolids!B90,$L$79*$T$69)))</f>
        <v>0</v>
      </c>
      <c r="E79" s="1228"/>
      <c r="F79" s="555">
        <v>0.02</v>
      </c>
      <c r="G79" s="1398">
        <f>SUM($D$79*$F$79)</f>
        <v>0</v>
      </c>
      <c r="H79" s="1399"/>
      <c r="L79" s="1041">
        <f>IF($D$66="",0,IF($B$66&lt;1,+AgSolids!A63,+$B$66))</f>
        <v>0</v>
      </c>
      <c r="M79" s="1041"/>
      <c r="N79" s="1038"/>
      <c r="O79" s="1041">
        <f>IF($D$66="",0,IF(B66&lt;1,+AgSolids!A60,(((B66*2000)/60)/27)))</f>
        <v>0</v>
      </c>
      <c r="P79" s="1041"/>
      <c r="Q79" s="1038"/>
      <c r="R79" s="1041">
        <f>IF($D$66="",0,IF($B$66&lt;1,+AgSolids!A61,(O79*27)*0.8036))</f>
        <v>0</v>
      </c>
      <c r="S79" s="1041"/>
      <c r="T79" s="1041"/>
      <c r="AN79" s="125"/>
    </row>
    <row r="80" spans="1:40" ht="17.25" thickBot="1" thickTop="1">
      <c r="A80" s="1"/>
      <c r="B80" s="800"/>
      <c r="C80" s="1300" t="s">
        <v>172</v>
      </c>
      <c r="D80" s="1301"/>
      <c r="E80" s="1301"/>
      <c r="F80" s="1302"/>
      <c r="G80" s="1230">
        <f>SUM($G$77:$G$79)</f>
        <v>0</v>
      </c>
      <c r="H80" s="1231"/>
      <c r="I80" s="397"/>
      <c r="J80" s="1"/>
      <c r="K80" s="397"/>
      <c r="L80" s="1041"/>
      <c r="M80" s="1041"/>
      <c r="N80" s="1038"/>
      <c r="O80" s="1041"/>
      <c r="P80" s="1041"/>
      <c r="Q80" s="1038"/>
      <c r="R80" s="1041"/>
      <c r="S80" s="1041"/>
      <c r="T80" s="1041"/>
      <c r="AN80" s="125"/>
    </row>
    <row r="81" spans="1:40" ht="23.25">
      <c r="A81" s="985" t="s">
        <v>141</v>
      </c>
      <c r="B81" s="985"/>
      <c r="C81" s="985"/>
      <c r="D81" s="985"/>
      <c r="E81" s="985"/>
      <c r="F81" s="985"/>
      <c r="G81" s="985"/>
      <c r="H81" s="985"/>
      <c r="I81" s="878" t="s">
        <v>1397</v>
      </c>
      <c r="J81" s="143"/>
      <c r="K81" s="879"/>
      <c r="L81" s="880"/>
      <c r="M81" s="881"/>
      <c r="N81" s="879"/>
      <c r="O81" s="879"/>
      <c r="P81" s="882"/>
      <c r="Q81" s="879"/>
      <c r="R81" s="879"/>
      <c r="S81" s="879"/>
      <c r="T81" s="880"/>
      <c r="AN81" s="125"/>
    </row>
    <row r="82" spans="1:40" s="368" customFormat="1" ht="19.5" customHeight="1">
      <c r="A82" s="346"/>
      <c r="B82" s="1229" t="s">
        <v>1395</v>
      </c>
      <c r="C82" s="1229"/>
      <c r="D82" s="1229"/>
      <c r="E82" s="1229"/>
      <c r="F82" s="1229"/>
      <c r="G82" s="1229"/>
      <c r="H82" s="1229"/>
      <c r="I82" s="1229"/>
      <c r="J82" s="1229"/>
      <c r="K82" s="1229"/>
      <c r="L82" s="1229"/>
      <c r="M82" s="1229"/>
      <c r="N82" s="1229"/>
      <c r="O82" s="1229"/>
      <c r="P82" s="1229"/>
      <c r="Q82" s="1229"/>
      <c r="R82" s="1229"/>
      <c r="S82" s="1229"/>
      <c r="T82" s="1229"/>
      <c r="AN82" s="346"/>
    </row>
    <row r="83" spans="1:40" s="368" customFormat="1" ht="15.75" thickBot="1">
      <c r="A83" s="346"/>
      <c r="B83" s="1229"/>
      <c r="C83" s="1229"/>
      <c r="D83" s="1229"/>
      <c r="E83" s="1229"/>
      <c r="F83" s="1229"/>
      <c r="G83" s="1229"/>
      <c r="H83" s="1229"/>
      <c r="I83" s="1229"/>
      <c r="J83" s="1229"/>
      <c r="K83" s="1229"/>
      <c r="L83" s="1229"/>
      <c r="M83" s="1229"/>
      <c r="N83" s="1229"/>
      <c r="O83" s="1229"/>
      <c r="P83" s="1229"/>
      <c r="Q83" s="1229"/>
      <c r="R83" s="1229"/>
      <c r="S83" s="1229"/>
      <c r="T83" s="1229"/>
      <c r="Z83" s="405"/>
      <c r="AN83" s="418"/>
    </row>
    <row r="84" spans="1:40" s="368" customFormat="1" ht="16.5" thickBot="1">
      <c r="A84" s="346"/>
      <c r="C84" s="1097" t="s">
        <v>884</v>
      </c>
      <c r="D84" s="1098"/>
      <c r="E84" s="1098"/>
      <c r="F84" s="1098"/>
      <c r="G84" s="1098"/>
      <c r="H84" s="1279" t="s">
        <v>1287</v>
      </c>
      <c r="I84" s="1280"/>
      <c r="J84" s="417"/>
      <c r="K84" s="1012" t="s">
        <v>873</v>
      </c>
      <c r="L84" s="1013"/>
      <c r="M84" s="1013"/>
      <c r="N84" s="1013"/>
      <c r="O84" s="1013"/>
      <c r="P84" s="1013"/>
      <c r="Q84" s="1013"/>
      <c r="R84" s="1013"/>
      <c r="S84" s="1013"/>
      <c r="T84" s="1014"/>
      <c r="Z84" s="405"/>
      <c r="AN84" s="418"/>
    </row>
    <row r="85" spans="1:40" s="368" customFormat="1" ht="19.5" customHeight="1">
      <c r="A85" s="902" t="s">
        <v>594</v>
      </c>
      <c r="C85" s="1099"/>
      <c r="D85" s="1100"/>
      <c r="E85" s="1100"/>
      <c r="F85" s="1100"/>
      <c r="G85" s="1100"/>
      <c r="H85" s="1281"/>
      <c r="I85" s="1282"/>
      <c r="J85" s="346"/>
      <c r="K85" s="1120" t="s">
        <v>317</v>
      </c>
      <c r="L85" s="1121"/>
      <c r="M85" s="1278" t="s">
        <v>871</v>
      </c>
      <c r="N85" s="1278"/>
      <c r="O85" s="794"/>
      <c r="P85" s="796"/>
      <c r="Q85" s="1306" t="s">
        <v>338</v>
      </c>
      <c r="R85" s="1308" t="s">
        <v>870</v>
      </c>
      <c r="S85" s="1309"/>
      <c r="T85" s="1222"/>
      <c r="Z85" s="405"/>
      <c r="AN85" s="418"/>
    </row>
    <row r="86" spans="1:40" s="368" customFormat="1" ht="18" customHeight="1" thickBot="1">
      <c r="A86" s="346"/>
      <c r="C86" s="1107"/>
      <c r="D86" s="1030"/>
      <c r="E86" s="1030"/>
      <c r="F86" s="1030"/>
      <c r="G86" s="1030"/>
      <c r="H86" s="1030"/>
      <c r="I86" s="1118"/>
      <c r="J86" s="346"/>
      <c r="K86" s="1122"/>
      <c r="L86" s="1123"/>
      <c r="M86" s="1292" t="s">
        <v>872</v>
      </c>
      <c r="N86" s="1293"/>
      <c r="O86" s="795"/>
      <c r="P86" s="797"/>
      <c r="Q86" s="1307"/>
      <c r="R86" s="1310"/>
      <c r="S86" s="1311"/>
      <c r="T86" s="1223"/>
      <c r="Z86" s="405"/>
      <c r="AN86" s="418"/>
    </row>
    <row r="87" spans="1:40" s="368" customFormat="1" ht="12" customHeight="1" thickBot="1">
      <c r="A87" s="346"/>
      <c r="B87" s="390"/>
      <c r="C87" s="1108"/>
      <c r="D87" s="1031"/>
      <c r="E87" s="1031"/>
      <c r="F87" s="1031"/>
      <c r="G87" s="1031"/>
      <c r="H87" s="1031"/>
      <c r="I87" s="1119"/>
      <c r="J87" s="346"/>
      <c r="K87" s="346"/>
      <c r="O87" s="346"/>
      <c r="Z87" s="405"/>
      <c r="AN87" s="418"/>
    </row>
    <row r="88" spans="1:11" ht="7.5" customHeight="1" thickBot="1">
      <c r="A88" s="290"/>
      <c r="J88" s="861"/>
      <c r="K88" s="414"/>
    </row>
    <row r="89" spans="1:20" ht="20.25" thickBot="1">
      <c r="A89" s="290"/>
      <c r="B89" s="1283" t="s">
        <v>1392</v>
      </c>
      <c r="C89" s="1284"/>
      <c r="D89" s="989" t="s">
        <v>1393</v>
      </c>
      <c r="E89" s="990"/>
      <c r="F89" s="990"/>
      <c r="G89" s="990"/>
      <c r="H89" s="990"/>
      <c r="I89" s="991"/>
      <c r="J89" s="516"/>
      <c r="K89" s="414"/>
      <c r="M89" s="519"/>
      <c r="N89" s="414"/>
      <c r="O89" s="414"/>
      <c r="P89" s="414"/>
      <c r="Q89" s="346"/>
      <c r="R89" s="531" t="s">
        <v>181</v>
      </c>
      <c r="S89" s="420" t="s">
        <v>170</v>
      </c>
      <c r="T89" s="877" t="s">
        <v>1396</v>
      </c>
    </row>
    <row r="90" spans="1:20" ht="16.5" customHeight="1" thickBot="1">
      <c r="A90" s="290"/>
      <c r="B90" s="1285"/>
      <c r="C90" s="1286"/>
      <c r="D90" s="866" t="s">
        <v>227</v>
      </c>
      <c r="E90" s="867" t="s">
        <v>1114</v>
      </c>
      <c r="F90" s="867" t="s">
        <v>240</v>
      </c>
      <c r="G90" s="867" t="s">
        <v>1115</v>
      </c>
      <c r="H90" s="867" t="s">
        <v>276</v>
      </c>
      <c r="I90" s="868" t="s">
        <v>295</v>
      </c>
      <c r="J90" s="415"/>
      <c r="K90" s="414"/>
      <c r="Q90" s="419" t="s">
        <v>281</v>
      </c>
      <c r="R90" s="391"/>
      <c r="S90" s="392"/>
      <c r="T90" s="393"/>
    </row>
    <row r="91" spans="1:20" ht="18.75" customHeight="1">
      <c r="A91" s="290"/>
      <c r="B91" s="1287" t="s">
        <v>1116</v>
      </c>
      <c r="C91" s="1288"/>
      <c r="D91" s="869">
        <f>IF($C$86="",0,IF($E$58&gt;1,+AgLiquids!C11,0))</f>
        <v>0</v>
      </c>
      <c r="E91" s="870">
        <f>IF($C$86="",0,IF($E$58&gt;1,+AgLiquids!D11,0))</f>
        <v>0</v>
      </c>
      <c r="F91" s="870">
        <f>IF($C$86="",0,IF($E$58&gt;1,+AgLiquids!E11,0))</f>
        <v>0</v>
      </c>
      <c r="G91" s="870">
        <f>IF($C$86="",0,IF($E$58&gt;1,+AgLiquids!F11,0))</f>
        <v>0</v>
      </c>
      <c r="H91" s="870">
        <f>IF($C$86="",0,IF($E$58&gt;1,+AgLiquids!G11,0))</f>
        <v>0</v>
      </c>
      <c r="I91" s="871">
        <f>IF($C$86="",0,IF($E$58&gt;1,+AgLiquids!H11,0))</f>
        <v>0</v>
      </c>
      <c r="J91" s="414"/>
      <c r="K91" s="414"/>
      <c r="Q91" s="346"/>
      <c r="R91" s="394"/>
      <c r="S91" s="395"/>
      <c r="T91" s="396"/>
    </row>
    <row r="92" spans="1:20" ht="18" customHeight="1" thickBot="1">
      <c r="A92" s="290"/>
      <c r="B92" s="1130" t="s">
        <v>1117</v>
      </c>
      <c r="C92" s="1131"/>
      <c r="D92" s="862">
        <f>IF($C$86="",0,IF($E$58&gt;1,+AgLiquids!C12,0))</f>
        <v>0</v>
      </c>
      <c r="E92" s="863">
        <f>IF($C$86="",0,IF($E$58&gt;1,+AgLiquids!D12,0))</f>
        <v>0</v>
      </c>
      <c r="F92" s="863">
        <f>IF($C$86="",0,IF($E$58&gt;1,+AgLiquids!E12,0))</f>
        <v>0</v>
      </c>
      <c r="G92" s="863">
        <f>IF($C$86="",0,IF($E$58&gt;1,+AgLiquids!F12,0))</f>
        <v>0</v>
      </c>
      <c r="H92" s="863">
        <f>IF($C$86="",0,IF($E$58&gt;1,+AgLiquids!G12,0))</f>
        <v>0</v>
      </c>
      <c r="I92" s="864">
        <f>IF($C$86="",0,IF($E$58&gt;1,+AgLiquids!H12,0))</f>
        <v>0</v>
      </c>
      <c r="J92" s="414"/>
      <c r="Q92" s="419" t="s">
        <v>928</v>
      </c>
      <c r="R92" s="752">
        <f>IF(C86="",0,IF(ISERR(AgLiquids!F81)*1,0,AgLiquids!F81))</f>
        <v>0</v>
      </c>
      <c r="S92" s="754">
        <f>IF(C86="",0,IF(ISERR(AgLiquids!F82)*1,0,AgLiquids!F82))</f>
        <v>0</v>
      </c>
      <c r="T92" s="753">
        <f>IF(C86="",0,IF(ISERR(AgLiquids!F83)*1,0,AgLiquids!F83))</f>
        <v>0</v>
      </c>
    </row>
    <row r="93" spans="1:10" ht="15.75" thickBot="1">
      <c r="A93" s="290"/>
      <c r="G93" s="865" t="s">
        <v>1394</v>
      </c>
      <c r="I93" s="415"/>
      <c r="J93" s="414"/>
    </row>
    <row r="94" spans="1:40" ht="18" customHeight="1" thickBot="1">
      <c r="A94" s="290"/>
      <c r="C94" s="1052" t="s">
        <v>140</v>
      </c>
      <c r="D94" s="1053"/>
      <c r="E94" s="1053"/>
      <c r="F94" s="1053"/>
      <c r="G94" s="1053"/>
      <c r="H94" s="1054"/>
      <c r="I94" s="414"/>
      <c r="J94" s="286"/>
      <c r="M94" s="1052" t="s">
        <v>62</v>
      </c>
      <c r="N94" s="1053"/>
      <c r="O94" s="1053"/>
      <c r="P94" s="1053"/>
      <c r="Q94" s="1053"/>
      <c r="R94" s="1053"/>
      <c r="S94" s="1053"/>
      <c r="T94" s="1054"/>
      <c r="AN94" s="125"/>
    </row>
    <row r="95" spans="1:40" ht="21" thickBot="1">
      <c r="A95" s="290"/>
      <c r="B95" s="286"/>
      <c r="C95" s="1124" t="s">
        <v>173</v>
      </c>
      <c r="D95" s="1125"/>
      <c r="E95" s="1126"/>
      <c r="F95" s="1116" t="s">
        <v>1085</v>
      </c>
      <c r="G95" s="1093"/>
      <c r="H95" s="1094"/>
      <c r="I95" s="414"/>
      <c r="J95" s="286"/>
      <c r="K95" s="414"/>
      <c r="L95" s="860"/>
      <c r="M95" s="1048" t="s">
        <v>1315</v>
      </c>
      <c r="N95" s="1048"/>
      <c r="O95" s="1049"/>
      <c r="P95" s="1050" t="s">
        <v>1317</v>
      </c>
      <c r="Q95" s="1050"/>
      <c r="R95" s="1049"/>
      <c r="S95" s="1048" t="s">
        <v>1316</v>
      </c>
      <c r="T95" s="1048"/>
      <c r="AN95" s="125"/>
    </row>
    <row r="96" spans="1:40" ht="21" thickBot="1">
      <c r="A96" s="290"/>
      <c r="B96" s="517"/>
      <c r="C96" s="1127"/>
      <c r="D96" s="1128"/>
      <c r="E96" s="1129"/>
      <c r="F96" s="1117"/>
      <c r="G96" s="1095"/>
      <c r="H96" s="1096"/>
      <c r="I96" s="414"/>
      <c r="J96" s="286"/>
      <c r="K96" s="414"/>
      <c r="L96" s="860"/>
      <c r="M96" s="1105">
        <f>IF($C$86="",0,IF($E$58&gt;1,+AgLiquids!L84,0))</f>
        <v>0</v>
      </c>
      <c r="N96" s="1105"/>
      <c r="O96" s="1049"/>
      <c r="P96" s="1051">
        <f>IF($C$86="",0,IF($E$58&gt;1,+AgLiquids!L87,0))</f>
        <v>0</v>
      </c>
      <c r="Q96" s="1051"/>
      <c r="R96" s="1049"/>
      <c r="S96" s="1305">
        <f>IF($C$86="",0,IF($E$58&gt;1,+AgLiquids!L86,0))</f>
        <v>0</v>
      </c>
      <c r="T96" s="1305"/>
      <c r="AN96" s="125"/>
    </row>
    <row r="97" spans="1:40" ht="16.5" thickBot="1">
      <c r="A97" s="290"/>
      <c r="B97" s="517"/>
      <c r="C97" s="520" t="s">
        <v>181</v>
      </c>
      <c r="D97" s="1106">
        <f>IF($C$86="",0,IF($R$90&gt;0,($P$96/1000)*$R$92,AgLiquids!A81))</f>
        <v>0</v>
      </c>
      <c r="E97" s="1106"/>
      <c r="F97" s="552">
        <v>0.24</v>
      </c>
      <c r="G97" s="1046">
        <f>SUM($D$97*$F$97)</f>
        <v>0</v>
      </c>
      <c r="H97" s="1047"/>
      <c r="I97" s="414"/>
      <c r="J97" s="286"/>
      <c r="K97" s="414"/>
      <c r="L97" s="414"/>
      <c r="M97" s="1105"/>
      <c r="N97" s="1105"/>
      <c r="O97" s="1049"/>
      <c r="P97" s="1051"/>
      <c r="Q97" s="1051"/>
      <c r="R97" s="1049"/>
      <c r="S97" s="1305"/>
      <c r="T97" s="1305"/>
      <c r="AN97" s="125"/>
    </row>
    <row r="98" spans="2:12" ht="19.5">
      <c r="B98" s="517"/>
      <c r="C98" s="521" t="s">
        <v>170</v>
      </c>
      <c r="D98" s="1312">
        <f>IF($C$86="",0,IF($S$90&gt;0,$S$92*($P$96/1000),AgLiquids!A82))</f>
        <v>0</v>
      </c>
      <c r="E98" s="1312"/>
      <c r="F98" s="553">
        <v>0.25</v>
      </c>
      <c r="G98" s="1042">
        <f>SUM($D$98*$F$98)</f>
        <v>0</v>
      </c>
      <c r="H98" s="1043"/>
      <c r="L98" s="414"/>
    </row>
    <row r="99" spans="2:12" s="857" customFormat="1" ht="17.25" customHeight="1" thickBot="1">
      <c r="B99" s="518"/>
      <c r="C99" s="562" t="s">
        <v>590</v>
      </c>
      <c r="D99" s="1397">
        <f>IF($C$86="",0,IF($T$90&gt;0,$T$92*($P$96/1000),AgLiquids!A83))</f>
        <v>0</v>
      </c>
      <c r="E99" s="1312"/>
      <c r="F99" s="553">
        <v>0.1</v>
      </c>
      <c r="G99" s="1044">
        <f>SUM($D$99*$F$99)</f>
        <v>0</v>
      </c>
      <c r="H99" s="1045"/>
      <c r="I99" s="858"/>
      <c r="J99" s="858"/>
      <c r="K99" s="858"/>
      <c r="L99" s="414"/>
    </row>
    <row r="100" spans="2:12" s="508" customFormat="1" ht="17.25" customHeight="1" thickBot="1" thickTop="1">
      <c r="B100" s="518"/>
      <c r="C100" s="1067" t="s">
        <v>172</v>
      </c>
      <c r="D100" s="1068"/>
      <c r="E100" s="1068"/>
      <c r="F100" s="1069"/>
      <c r="G100" s="1091">
        <f>SUM($G$97:$G$99)</f>
        <v>0</v>
      </c>
      <c r="H100" s="1092"/>
      <c r="I100" s="859"/>
      <c r="J100" s="859"/>
      <c r="K100" s="859"/>
      <c r="L100" s="414"/>
    </row>
    <row r="101" spans="2:20" s="295" customFormat="1" ht="16.5" customHeight="1">
      <c r="B101" s="1322" t="s">
        <v>630</v>
      </c>
      <c r="C101" s="1322"/>
      <c r="D101" s="1322"/>
      <c r="E101" s="1322"/>
      <c r="F101" s="1322"/>
      <c r="G101" s="1322"/>
      <c r="H101" s="1322"/>
      <c r="I101" s="1322"/>
      <c r="J101" s="1322"/>
      <c r="K101" s="1322"/>
      <c r="L101" s="1322"/>
      <c r="M101" s="1322"/>
      <c r="N101" s="1322"/>
      <c r="O101" s="1322"/>
      <c r="P101" s="1322"/>
      <c r="Q101" s="1322"/>
      <c r="R101" s="1322"/>
      <c r="S101" s="1322"/>
      <c r="T101" s="1322"/>
    </row>
    <row r="102" spans="2:20" s="286" customFormat="1" ht="17.25" customHeight="1" thickBot="1">
      <c r="B102" s="1323"/>
      <c r="C102" s="1323"/>
      <c r="D102" s="1323"/>
      <c r="E102" s="1323"/>
      <c r="F102" s="1323"/>
      <c r="G102" s="1323"/>
      <c r="H102" s="1323"/>
      <c r="I102" s="1323"/>
      <c r="J102" s="1323"/>
      <c r="K102" s="1323"/>
      <c r="L102" s="1323"/>
      <c r="M102" s="1323"/>
      <c r="N102" s="1323"/>
      <c r="O102" s="1323"/>
      <c r="P102" s="1323"/>
      <c r="Q102" s="1323"/>
      <c r="R102" s="1323"/>
      <c r="S102" s="1323"/>
      <c r="T102" s="1323"/>
    </row>
    <row r="103" spans="1:20" s="286" customFormat="1" ht="12.75">
      <c r="A103" s="900" t="s">
        <v>594</v>
      </c>
      <c r="B103" s="1340" t="s">
        <v>154</v>
      </c>
      <c r="C103" s="1341"/>
      <c r="D103" s="1341"/>
      <c r="E103" s="1341"/>
      <c r="F103" s="1341"/>
      <c r="G103" s="1341"/>
      <c r="H103" s="1341"/>
      <c r="I103" s="1341"/>
      <c r="J103" s="1341"/>
      <c r="K103" s="1341"/>
      <c r="L103" s="1341"/>
      <c r="M103" s="1341"/>
      <c r="N103" s="1341"/>
      <c r="O103" s="1341"/>
      <c r="P103" s="1341"/>
      <c r="Q103" s="1341"/>
      <c r="R103" s="1341"/>
      <c r="S103" s="1341"/>
      <c r="T103" s="1342"/>
    </row>
    <row r="104" spans="2:20" s="286" customFormat="1" ht="13.5" thickBot="1">
      <c r="B104" s="1343"/>
      <c r="C104" s="1344"/>
      <c r="D104" s="1344"/>
      <c r="E104" s="1344"/>
      <c r="F104" s="1344"/>
      <c r="G104" s="1344"/>
      <c r="H104" s="1344"/>
      <c r="I104" s="1344"/>
      <c r="J104" s="1344"/>
      <c r="K104" s="1344"/>
      <c r="L104" s="1344"/>
      <c r="M104" s="1344"/>
      <c r="N104" s="1344"/>
      <c r="O104" s="1344"/>
      <c r="P104" s="1344"/>
      <c r="Q104" s="1344"/>
      <c r="R104" s="1344"/>
      <c r="S104" s="1344"/>
      <c r="T104" s="1345"/>
    </row>
    <row r="105" spans="2:13" s="290" customFormat="1" ht="15.75">
      <c r="B105" s="593" t="s">
        <v>1387</v>
      </c>
      <c r="C105" s="594"/>
      <c r="M105" s="594"/>
    </row>
    <row r="106" spans="11:16" s="286" customFormat="1" ht="13.5" thickBot="1">
      <c r="K106" s="268"/>
      <c r="O106" s="508"/>
      <c r="P106" s="508"/>
    </row>
    <row r="107" spans="2:20" s="286" customFormat="1" ht="16.5" thickBot="1">
      <c r="B107" s="595"/>
      <c r="C107" s="596"/>
      <c r="D107" s="596"/>
      <c r="E107" s="596"/>
      <c r="F107" s="596"/>
      <c r="G107" s="597" t="s">
        <v>287</v>
      </c>
      <c r="H107" s="1070">
        <f>IF($B$7=0,"",$B$7)</f>
      </c>
      <c r="I107" s="1071"/>
      <c r="J107" s="1072"/>
      <c r="K107" s="287"/>
      <c r="L107" s="598"/>
      <c r="M107" s="596"/>
      <c r="N107" s="596"/>
      <c r="O107" s="599"/>
      <c r="P107" s="599"/>
      <c r="Q107" s="597" t="s">
        <v>287</v>
      </c>
      <c r="R107" s="1070">
        <f>IF($B$8=0,"",$B$8)</f>
      </c>
      <c r="S107" s="1071"/>
      <c r="T107" s="1072"/>
    </row>
    <row r="108" spans="2:20" s="286" customFormat="1" ht="18.75">
      <c r="B108" s="269"/>
      <c r="C108" s="268"/>
      <c r="D108" s="268"/>
      <c r="E108" s="268"/>
      <c r="F108" s="268"/>
      <c r="G108" s="268"/>
      <c r="H108" s="699" t="s">
        <v>181</v>
      </c>
      <c r="I108" s="600" t="s">
        <v>19</v>
      </c>
      <c r="J108" s="601" t="s">
        <v>590</v>
      </c>
      <c r="K108" s="288"/>
      <c r="L108" s="602"/>
      <c r="M108" s="288"/>
      <c r="N108" s="268"/>
      <c r="O108" s="288"/>
      <c r="P108" s="288"/>
      <c r="Q108" s="288"/>
      <c r="R108" s="744" t="s">
        <v>181</v>
      </c>
      <c r="S108" s="600" t="s">
        <v>19</v>
      </c>
      <c r="T108" s="601" t="s">
        <v>590</v>
      </c>
    </row>
    <row r="109" spans="2:20" s="286" customFormat="1" ht="11.25" customHeight="1">
      <c r="B109" s="269"/>
      <c r="C109" s="268"/>
      <c r="D109" s="268"/>
      <c r="E109" s="268"/>
      <c r="F109" s="268"/>
      <c r="G109" s="603" t="s">
        <v>31</v>
      </c>
      <c r="H109" s="700">
        <f>F7</f>
        <v>0</v>
      </c>
      <c r="I109" s="604">
        <f>G7</f>
        <v>0</v>
      </c>
      <c r="J109" s="605">
        <f>H7</f>
        <v>0</v>
      </c>
      <c r="K109" s="289"/>
      <c r="L109" s="606"/>
      <c r="M109" s="293"/>
      <c r="N109" s="268"/>
      <c r="O109" s="268"/>
      <c r="P109" s="268"/>
      <c r="Q109" s="603" t="s">
        <v>31</v>
      </c>
      <c r="R109" s="700">
        <f>F8</f>
        <v>0</v>
      </c>
      <c r="S109" s="604">
        <f>G8</f>
        <v>0</v>
      </c>
      <c r="T109" s="607">
        <f>H8</f>
        <v>0</v>
      </c>
    </row>
    <row r="110" spans="2:25" s="286" customFormat="1" ht="16.5" thickBot="1">
      <c r="B110" s="695" t="s">
        <v>389</v>
      </c>
      <c r="C110" s="766">
        <f>IF(B20="","",B20)</f>
      </c>
      <c r="D110" s="608"/>
      <c r="E110" s="608"/>
      <c r="F110" s="608"/>
      <c r="G110" s="695" t="s">
        <v>445</v>
      </c>
      <c r="H110" s="701">
        <f>IF($H$107="",0,$C$20)</f>
        <v>0</v>
      </c>
      <c r="I110" s="609">
        <f>IF($H$107="",0,IF($D$20=0,0,SUM($I$109-$V$110)))</f>
        <v>0</v>
      </c>
      <c r="J110" s="610">
        <f>IF($H$107="",0,IF($E$20=0,0,SUM($J$109-$W$110)))</f>
        <v>0</v>
      </c>
      <c r="K110" s="290"/>
      <c r="L110" s="695" t="s">
        <v>389</v>
      </c>
      <c r="M110" s="766">
        <f>IF(B21="","",B21)</f>
      </c>
      <c r="N110" s="611"/>
      <c r="P110" s="611"/>
      <c r="Q110" s="695" t="s">
        <v>445</v>
      </c>
      <c r="R110" s="701">
        <f>IF($R$107="",0,$C$21)</f>
        <v>0</v>
      </c>
      <c r="S110" s="612">
        <f>IF($R$107="",0,IF($D$21=0,0,SUM($S$109-$X$110)))</f>
        <v>0</v>
      </c>
      <c r="T110" s="613">
        <f>IF($R$107="",0,IF($E$21=0,0,SUM($T$109-$Y$110)))</f>
        <v>0</v>
      </c>
      <c r="V110" s="293">
        <f>IF($D$20=0,0,(VLOOKUP($B$7,$I$314:$P$347,5)-(VLOOKUP($B$7,$I$314:$P$347,7))*$D$20)*$D$7)</f>
        <v>0</v>
      </c>
      <c r="W110" s="293">
        <f>IF($E$20=0,0,(VLOOKUP($B$7,$I$314:$P$347,6)-(VLOOKUP($B$7,$I$314:$P$347,8))*$E$20)*$D$7)</f>
        <v>0</v>
      </c>
      <c r="X110" s="293">
        <f>IF($D$21=0,0,(VLOOKUP($B$8,$I$314:$P$347,5)-(VLOOKUP($B$8,$I$314:$P$347,7))*$D$21)*$D$8)</f>
        <v>0</v>
      </c>
      <c r="Y110" s="293">
        <f>IF($E$21=0,0,(VLOOKUP($B$8,$I$314:$P$347,6)-(VLOOKUP($B$8,$I$314:$P$347,8))*$E$21)*$D$8)</f>
        <v>0</v>
      </c>
    </row>
    <row r="111" spans="1:20" s="286" customFormat="1" ht="15.75">
      <c r="A111" s="900" t="s">
        <v>594</v>
      </c>
      <c r="B111" s="450" t="s">
        <v>293</v>
      </c>
      <c r="C111" s="268"/>
      <c r="D111" s="300"/>
      <c r="E111" s="300"/>
      <c r="F111" s="300"/>
      <c r="G111" s="614"/>
      <c r="H111" s="702"/>
      <c r="I111" s="616"/>
      <c r="J111" s="617"/>
      <c r="K111" s="290"/>
      <c r="L111" s="450" t="s">
        <v>293</v>
      </c>
      <c r="M111" s="618"/>
      <c r="N111" s="619"/>
      <c r="O111" s="619"/>
      <c r="P111" s="619"/>
      <c r="Q111" s="619"/>
      <c r="R111" s="745"/>
      <c r="S111" s="615"/>
      <c r="T111" s="620"/>
    </row>
    <row r="112" spans="2:20" s="286" customFormat="1" ht="12.75">
      <c r="B112" s="1348" t="s">
        <v>1304</v>
      </c>
      <c r="C112" s="1349"/>
      <c r="D112" s="1346"/>
      <c r="E112" s="622" t="s">
        <v>538</v>
      </c>
      <c r="F112" s="622" t="s">
        <v>226</v>
      </c>
      <c r="G112" s="621"/>
      <c r="H112" s="703"/>
      <c r="I112" s="623"/>
      <c r="J112" s="494"/>
      <c r="K112" s="290"/>
      <c r="L112" s="1110" t="s">
        <v>1304</v>
      </c>
      <c r="M112" s="1111"/>
      <c r="N112" s="1114"/>
      <c r="O112" s="625" t="s">
        <v>538</v>
      </c>
      <c r="P112" s="625" t="s">
        <v>226</v>
      </c>
      <c r="Q112" s="624"/>
      <c r="R112" s="723"/>
      <c r="S112" s="486"/>
      <c r="T112" s="471"/>
    </row>
    <row r="113" spans="2:26" ht="15" thickBot="1">
      <c r="B113" s="1350"/>
      <c r="C113" s="1351"/>
      <c r="D113" s="1347"/>
      <c r="E113" s="807"/>
      <c r="F113" s="687">
        <f>IF($D$112=0,"",IF($C$359=2,VLOOKUP($D$112,$A$337:$E$340,4,FALSE),VLOOKUP($D$112,$A$337:$E$340,3)))</f>
      </c>
      <c r="G113" s="696">
        <f>IF($D$112=0,"",VLOOKUP($D$112,$A$336:$E$338,5))</f>
      </c>
      <c r="H113" s="704">
        <f>IF(D112=0,"",SUM($E$113*$F$113))</f>
      </c>
      <c r="I113" s="469"/>
      <c r="J113" s="477"/>
      <c r="K113" s="290"/>
      <c r="L113" s="1112"/>
      <c r="M113" s="1113"/>
      <c r="N113" s="1115"/>
      <c r="O113" s="807"/>
      <c r="P113" s="687">
        <f>IF($N$112=0,"",IF($C$360=2,VLOOKUP($N$112,$A$337:$E$340,4,FALSE),VLOOKUP($N$112,$A$337:$E$340,3)))</f>
      </c>
      <c r="Q113" s="696">
        <f>IF($N$112=0,"",VLOOKUP($N$112,$A$336:$E$338,5))</f>
      </c>
      <c r="R113" s="767">
        <f>IF(N112=0,"",SUM($O$113*$P$113))</f>
      </c>
      <c r="S113" s="486"/>
      <c r="T113" s="471"/>
      <c r="Z113"/>
    </row>
    <row r="114" spans="2:26" ht="12.75">
      <c r="B114" s="1352" t="s">
        <v>1411</v>
      </c>
      <c r="C114" s="1353"/>
      <c r="D114" s="1330"/>
      <c r="E114" s="1356"/>
      <c r="F114" s="1357"/>
      <c r="G114" s="618"/>
      <c r="H114" s="705"/>
      <c r="I114" s="469"/>
      <c r="J114" s="477"/>
      <c r="K114" s="290"/>
      <c r="L114" s="1313" t="s">
        <v>1412</v>
      </c>
      <c r="M114" s="1314"/>
      <c r="N114" s="1317"/>
      <c r="O114" s="1317"/>
      <c r="P114" s="1317"/>
      <c r="Q114" s="268"/>
      <c r="R114" s="703"/>
      <c r="S114" s="486"/>
      <c r="T114" s="471"/>
      <c r="Z114"/>
    </row>
    <row r="115" spans="2:26" ht="15.75" customHeight="1" thickBot="1">
      <c r="B115" s="1354"/>
      <c r="C115" s="1355"/>
      <c r="D115" s="1358"/>
      <c r="E115" s="1359"/>
      <c r="F115" s="1360"/>
      <c r="G115" s="697">
        <f>IF($D$114=0,"",VLOOKUP($D$114,$A$320:$E$334,5))</f>
      </c>
      <c r="H115" s="706">
        <f>IF($D$114=0,"",IF($C$359=2,VLOOKUP($D$114,$A$320:$E$334,4,FALSE),VLOOKUP($D$114,$A$320:$D$334,3)))</f>
      </c>
      <c r="I115" s="469"/>
      <c r="J115" s="477"/>
      <c r="K115" s="290"/>
      <c r="L115" s="1315"/>
      <c r="M115" s="1316"/>
      <c r="N115" s="1318"/>
      <c r="O115" s="1318"/>
      <c r="P115" s="1318"/>
      <c r="Q115" s="696">
        <f>IF($N$114=0,"",VLOOKUP($N$114,$A$320:$E$334,5))</f>
      </c>
      <c r="R115" s="706">
        <f>IF($N$114=0,"",IF($C$360=2,VLOOKUP($N$114,$A$320:$E$334,4,FALSE),VLOOKUP($N$114,$A$320:$E$334,3)))</f>
      </c>
      <c r="S115" s="486"/>
      <c r="T115" s="471"/>
      <c r="Z115"/>
    </row>
    <row r="116" spans="1:26" ht="15.75">
      <c r="A116" s="900" t="s">
        <v>594</v>
      </c>
      <c r="B116" s="466" t="s">
        <v>294</v>
      </c>
      <c r="C116" s="268"/>
      <c r="D116" s="267"/>
      <c r="E116" s="267"/>
      <c r="F116" s="266"/>
      <c r="G116" s="266"/>
      <c r="H116" s="705"/>
      <c r="I116" s="469"/>
      <c r="J116" s="477"/>
      <c r="K116" s="290"/>
      <c r="L116" s="466" t="s">
        <v>294</v>
      </c>
      <c r="M116" s="268"/>
      <c r="N116" s="267"/>
      <c r="O116" s="267"/>
      <c r="P116" s="266"/>
      <c r="Q116" s="266"/>
      <c r="R116" s="703"/>
      <c r="S116" s="486"/>
      <c r="T116" s="471"/>
      <c r="Z116"/>
    </row>
    <row r="117" spans="2:26" ht="15" thickBot="1">
      <c r="B117" s="690"/>
      <c r="C117" s="931"/>
      <c r="D117" s="932"/>
      <c r="E117" s="932"/>
      <c r="F117" s="933"/>
      <c r="G117" s="696">
        <f>IF($C$117=0,"",VLOOKUP($C$117,$A$343:$E$353,5))</f>
      </c>
      <c r="H117" s="706">
        <f>IF($C$117=0,"",IF($C$359=2,VLOOKUP($C$117,$A$343:$E$353,4,FALSE),VLOOKUP($C$117,$A$343:$D$353,3))*0.5)</f>
      </c>
      <c r="I117" s="469"/>
      <c r="J117" s="477"/>
      <c r="K117" s="290"/>
      <c r="L117" s="768"/>
      <c r="M117" s="1319"/>
      <c r="N117" s="1320"/>
      <c r="O117" s="1320"/>
      <c r="P117" s="1321"/>
      <c r="Q117" s="696">
        <f>IF($M$117=0,"",VLOOKUP($M$117,$A$343:$E$353,5))</f>
      </c>
      <c r="R117" s="706">
        <f>IF($M$117=0,"",IF($C$360=2,VLOOKUP($M$117,$A$343:$E$353,4,FALSE),VLOOKUP($M$117,$A$343:$D$353,3))*0.5)</f>
      </c>
      <c r="S117" s="486"/>
      <c r="T117" s="471"/>
      <c r="Z117"/>
    </row>
    <row r="118" spans="2:20" s="286" customFormat="1" ht="6" customHeight="1">
      <c r="B118" s="688"/>
      <c r="C118" s="689"/>
      <c r="D118" s="689"/>
      <c r="E118" s="689"/>
      <c r="F118" s="689"/>
      <c r="G118" s="689"/>
      <c r="H118" s="707"/>
      <c r="I118" s="469"/>
      <c r="J118" s="477"/>
      <c r="K118" s="290"/>
      <c r="L118" s="688"/>
      <c r="M118" s="689"/>
      <c r="N118" s="689"/>
      <c r="O118" s="689"/>
      <c r="P118" s="689"/>
      <c r="Q118" s="689"/>
      <c r="R118" s="454"/>
      <c r="S118" s="486"/>
      <c r="T118" s="471"/>
    </row>
    <row r="119" spans="1:26" ht="15.75">
      <c r="A119" s="900" t="s">
        <v>594</v>
      </c>
      <c r="B119" s="467" t="s">
        <v>286</v>
      </c>
      <c r="C119" s="266"/>
      <c r="D119" s="266"/>
      <c r="E119" s="266"/>
      <c r="F119" s="266"/>
      <c r="G119" s="267"/>
      <c r="H119" s="708"/>
      <c r="I119" s="470"/>
      <c r="J119" s="478"/>
      <c r="K119" s="290"/>
      <c r="L119" s="467" t="s">
        <v>286</v>
      </c>
      <c r="M119" s="266"/>
      <c r="N119" s="266"/>
      <c r="O119" s="266"/>
      <c r="P119" s="266"/>
      <c r="Q119" s="267"/>
      <c r="R119" s="703"/>
      <c r="S119" s="273"/>
      <c r="T119" s="446"/>
      <c r="Z119"/>
    </row>
    <row r="120" spans="2:26" ht="13.5" customHeight="1">
      <c r="B120" s="269"/>
      <c r="C120" s="268"/>
      <c r="D120" s="934"/>
      <c r="E120" s="934"/>
      <c r="F120" s="934"/>
      <c r="G120" s="981"/>
      <c r="H120" s="709"/>
      <c r="I120" s="679"/>
      <c r="J120" s="680"/>
      <c r="K120" s="290"/>
      <c r="L120" s="269"/>
      <c r="M120" s="268"/>
      <c r="N120" s="981"/>
      <c r="O120" s="1109"/>
      <c r="P120" s="1109"/>
      <c r="Q120" s="1109"/>
      <c r="R120" s="746"/>
      <c r="S120" s="683"/>
      <c r="T120" s="684"/>
      <c r="Z120"/>
    </row>
    <row r="121" spans="2:26" ht="15" thickBot="1">
      <c r="B121" s="269"/>
      <c r="C121" s="268"/>
      <c r="D121" s="934"/>
      <c r="E121" s="934"/>
      <c r="F121" s="934"/>
      <c r="G121" s="981"/>
      <c r="H121" s="710"/>
      <c r="I121" s="681"/>
      <c r="J121" s="682"/>
      <c r="K121" s="290"/>
      <c r="L121" s="269"/>
      <c r="M121" s="268"/>
      <c r="N121" s="981"/>
      <c r="O121" s="1109"/>
      <c r="P121" s="1109"/>
      <c r="Q121" s="1109"/>
      <c r="R121" s="747"/>
      <c r="S121" s="685"/>
      <c r="T121" s="686"/>
      <c r="Z121"/>
    </row>
    <row r="122" spans="2:26" ht="13.5" thickTop="1">
      <c r="B122" s="271"/>
      <c r="C122" s="272"/>
      <c r="D122" s="159"/>
      <c r="E122" s="184"/>
      <c r="F122" s="184"/>
      <c r="G122" s="458" t="s">
        <v>1386</v>
      </c>
      <c r="H122" s="711">
        <f>SUM($H$110:$H$121)</f>
        <v>0</v>
      </c>
      <c r="I122" s="460">
        <f>SUM($I$110:$I$121)</f>
        <v>0</v>
      </c>
      <c r="J122" s="691">
        <f>SUM($J$110:$J$121)</f>
        <v>0</v>
      </c>
      <c r="K122" s="692"/>
      <c r="L122" s="271"/>
      <c r="M122" s="272"/>
      <c r="N122" s="459"/>
      <c r="O122" s="184"/>
      <c r="P122" s="184"/>
      <c r="Q122" s="458" t="s">
        <v>869</v>
      </c>
      <c r="R122" s="755">
        <f>SUM($R$110:$R$121)</f>
        <v>0</v>
      </c>
      <c r="S122" s="461">
        <f>SUM($S$110:$S$121)</f>
        <v>0</v>
      </c>
      <c r="T122" s="462">
        <f>SUM($T$110:$T$121)</f>
        <v>0</v>
      </c>
      <c r="Z122"/>
    </row>
    <row r="123" spans="2:26" ht="15.75" hidden="1">
      <c r="B123" s="146"/>
      <c r="C123" s="427"/>
      <c r="D123" s="427"/>
      <c r="E123" s="125"/>
      <c r="F123" s="125"/>
      <c r="G123" s="125"/>
      <c r="H123" s="712">
        <f>SUM(H109-H122)</f>
        <v>0</v>
      </c>
      <c r="I123" s="434">
        <f>SUM(I109-I122)</f>
        <v>0</v>
      </c>
      <c r="J123" s="448"/>
      <c r="K123" s="289"/>
      <c r="L123" s="269"/>
      <c r="M123" s="268"/>
      <c r="N123" s="125"/>
      <c r="O123" s="125"/>
      <c r="P123" s="125"/>
      <c r="Q123" s="125"/>
      <c r="R123" s="719">
        <f>SUM(R109-R122)</f>
        <v>0</v>
      </c>
      <c r="S123" s="487">
        <f>SUM(S109-S122)</f>
        <v>0</v>
      </c>
      <c r="T123" s="377"/>
      <c r="Z123"/>
    </row>
    <row r="124" spans="2:26" ht="6" customHeight="1">
      <c r="B124" s="464"/>
      <c r="C124" s="465"/>
      <c r="D124" s="465"/>
      <c r="E124" s="424"/>
      <c r="F124" s="424"/>
      <c r="G124" s="424"/>
      <c r="H124" s="713"/>
      <c r="I124" s="453"/>
      <c r="J124" s="480"/>
      <c r="K124" s="289"/>
      <c r="L124" s="463"/>
      <c r="M124" s="443"/>
      <c r="N124" s="424"/>
      <c r="O124" s="424"/>
      <c r="P124" s="424"/>
      <c r="Q124" s="424"/>
      <c r="R124" s="713"/>
      <c r="S124" s="487"/>
      <c r="T124" s="377"/>
      <c r="Z124"/>
    </row>
    <row r="125" spans="1:26" ht="15.75">
      <c r="A125" s="900" t="s">
        <v>594</v>
      </c>
      <c r="B125" s="428" t="s">
        <v>290</v>
      </c>
      <c r="C125" s="429"/>
      <c r="D125" s="429"/>
      <c r="E125" s="125"/>
      <c r="F125" s="125"/>
      <c r="G125" s="125"/>
      <c r="H125" s="714"/>
      <c r="I125" s="437"/>
      <c r="J125" s="479"/>
      <c r="K125" s="289"/>
      <c r="L125" s="428" t="s">
        <v>290</v>
      </c>
      <c r="M125" s="376"/>
      <c r="N125" s="125"/>
      <c r="O125" s="125"/>
      <c r="P125" s="125"/>
      <c r="Q125" s="125"/>
      <c r="R125" s="714"/>
      <c r="S125" s="488"/>
      <c r="T125" s="378"/>
      <c r="Z125"/>
    </row>
    <row r="126" spans="2:26" ht="14.25">
      <c r="B126" s="146"/>
      <c r="C126" s="694" t="s">
        <v>292</v>
      </c>
      <c r="D126" s="125"/>
      <c r="E126" s="540"/>
      <c r="F126" s="540"/>
      <c r="G126" s="125"/>
      <c r="H126" s="715"/>
      <c r="I126" s="438"/>
      <c r="J126" s="480"/>
      <c r="K126" s="289"/>
      <c r="L126" s="269"/>
      <c r="M126" s="694" t="s">
        <v>292</v>
      </c>
      <c r="N126" s="125"/>
      <c r="O126" s="540"/>
      <c r="P126" s="540"/>
      <c r="Q126" s="125"/>
      <c r="R126" s="715"/>
      <c r="S126" s="489"/>
      <c r="T126" s="377"/>
      <c r="Z126"/>
    </row>
    <row r="127" spans="2:26" ht="14.25">
      <c r="B127" s="146"/>
      <c r="C127" s="125"/>
      <c r="D127" s="125"/>
      <c r="E127" s="603" t="s">
        <v>288</v>
      </c>
      <c r="F127" s="784">
        <f>IF($R$69=0,"",SUM($H$123/$R$69))</f>
      </c>
      <c r="G127" s="159" t="s">
        <v>1060</v>
      </c>
      <c r="H127" s="715"/>
      <c r="I127" s="438"/>
      <c r="J127" s="480"/>
      <c r="K127" s="289"/>
      <c r="L127" s="146"/>
      <c r="M127" s="125"/>
      <c r="N127" s="125"/>
      <c r="O127" s="603" t="s">
        <v>288</v>
      </c>
      <c r="P127" s="784">
        <f>IF($R$69=0,"",SUM($R$123/$R$69))</f>
      </c>
      <c r="Q127" s="159" t="s">
        <v>1060</v>
      </c>
      <c r="R127" s="715"/>
      <c r="S127" s="489"/>
      <c r="T127" s="377"/>
      <c r="Z127"/>
    </row>
    <row r="128" spans="2:26" ht="14.25">
      <c r="B128" s="270"/>
      <c r="C128" s="184"/>
      <c r="D128" s="265"/>
      <c r="E128" s="785" t="s">
        <v>289</v>
      </c>
      <c r="F128" s="784">
        <f>IF($S$69=0,"",SUM($I$123/$S$69))</f>
      </c>
      <c r="G128" s="159" t="s">
        <v>1060</v>
      </c>
      <c r="H128" s="716"/>
      <c r="I128" s="436"/>
      <c r="J128" s="476"/>
      <c r="K128" s="290"/>
      <c r="L128" s="270"/>
      <c r="M128" s="184"/>
      <c r="N128" s="265"/>
      <c r="O128" s="785" t="s">
        <v>289</v>
      </c>
      <c r="P128" s="784">
        <f>IF($S$69=0,"",SUM($S$123/$S$69))</f>
      </c>
      <c r="Q128" s="159" t="s">
        <v>1060</v>
      </c>
      <c r="R128" s="716"/>
      <c r="S128" s="475"/>
      <c r="T128" s="449"/>
      <c r="Z128"/>
    </row>
    <row r="129" spans="2:26" ht="15.75" customHeight="1">
      <c r="B129" s="270"/>
      <c r="C129" s="184"/>
      <c r="D129" s="184"/>
      <c r="E129" s="783" t="s">
        <v>174</v>
      </c>
      <c r="F129" s="543"/>
      <c r="G129" s="512" t="s">
        <v>1060</v>
      </c>
      <c r="H129" s="717">
        <f>SUM($R$69*$F$129)</f>
        <v>0</v>
      </c>
      <c r="I129" s="451">
        <f>SUM($F$129*$S$69)</f>
        <v>0</v>
      </c>
      <c r="J129" s="452">
        <f>SUM($F$129*$T$69)</f>
        <v>0</v>
      </c>
      <c r="K129" s="291"/>
      <c r="L129" s="270"/>
      <c r="M129" s="184"/>
      <c r="N129" s="184"/>
      <c r="O129" s="783" t="s">
        <v>174</v>
      </c>
      <c r="P129" s="439"/>
      <c r="Q129" s="512" t="s">
        <v>1060</v>
      </c>
      <c r="R129" s="748">
        <f>SUM($R$69*$P$129)</f>
        <v>0</v>
      </c>
      <c r="S129" s="137">
        <f>SUM($S$69*$P$129)</f>
        <v>0</v>
      </c>
      <c r="T129" s="484">
        <f>SUM($T$69*$P$129)</f>
        <v>0</v>
      </c>
      <c r="Z129"/>
    </row>
    <row r="130" spans="2:20" s="286" customFormat="1" ht="6" customHeight="1">
      <c r="B130" s="441"/>
      <c r="C130" s="442"/>
      <c r="D130" s="442"/>
      <c r="E130" s="442"/>
      <c r="F130" s="522"/>
      <c r="G130" s="443"/>
      <c r="H130" s="718"/>
      <c r="I130" s="523"/>
      <c r="J130" s="524"/>
      <c r="K130" s="291"/>
      <c r="L130" s="441"/>
      <c r="M130" s="442"/>
      <c r="N130" s="442"/>
      <c r="O130" s="442"/>
      <c r="P130" s="522"/>
      <c r="Q130" s="443"/>
      <c r="R130" s="749"/>
      <c r="S130" s="525"/>
      <c r="T130" s="526"/>
    </row>
    <row r="131" spans="1:26" ht="15.75" customHeight="1">
      <c r="A131" s="900" t="s">
        <v>594</v>
      </c>
      <c r="B131" s="450" t="s">
        <v>291</v>
      </c>
      <c r="C131" s="300"/>
      <c r="D131" s="300"/>
      <c r="E131" s="300"/>
      <c r="F131" s="266"/>
      <c r="G131" s="125"/>
      <c r="H131" s="719"/>
      <c r="I131" s="453"/>
      <c r="J131" s="481"/>
      <c r="K131" s="291"/>
      <c r="L131" s="450" t="s">
        <v>291</v>
      </c>
      <c r="M131" s="300"/>
      <c r="N131" s="300"/>
      <c r="O131" s="300"/>
      <c r="P131" s="266"/>
      <c r="Q131" s="125"/>
      <c r="R131" s="719"/>
      <c r="S131" s="487"/>
      <c r="T131" s="431"/>
      <c r="Z131"/>
    </row>
    <row r="132" spans="2:26" ht="12.75">
      <c r="B132" s="269"/>
      <c r="C132" s="694" t="s">
        <v>292</v>
      </c>
      <c r="D132" s="268"/>
      <c r="E132" s="268"/>
      <c r="F132" s="268"/>
      <c r="G132" s="125"/>
      <c r="H132" s="720"/>
      <c r="I132" s="435"/>
      <c r="J132" s="481"/>
      <c r="K132" s="291"/>
      <c r="L132" s="269"/>
      <c r="M132" s="694" t="s">
        <v>292</v>
      </c>
      <c r="N132" s="268"/>
      <c r="O132" s="268"/>
      <c r="P132" s="268"/>
      <c r="Q132" s="125"/>
      <c r="R132" s="720"/>
      <c r="S132" s="490"/>
      <c r="T132" s="431"/>
      <c r="Z132"/>
    </row>
    <row r="133" spans="2:26" ht="12.75">
      <c r="B133" s="269"/>
      <c r="C133" s="268"/>
      <c r="D133" s="268"/>
      <c r="E133" s="379" t="s">
        <v>288</v>
      </c>
      <c r="F133" s="505">
        <f>IF($R$92=0,"",SUM($H$123/AgLiquids!F81))</f>
      </c>
      <c r="G133" s="296" t="s">
        <v>1432</v>
      </c>
      <c r="H133" s="720"/>
      <c r="I133" s="435"/>
      <c r="J133" s="481"/>
      <c r="K133" s="291"/>
      <c r="L133" s="269"/>
      <c r="M133" s="268"/>
      <c r="N133" s="268"/>
      <c r="O133" s="379" t="s">
        <v>288</v>
      </c>
      <c r="P133" s="505">
        <f>IF($R$92=0,"",SUM($R$123/AgLiquids!F81))</f>
      </c>
      <c r="Q133" s="296" t="s">
        <v>1432</v>
      </c>
      <c r="R133" s="720"/>
      <c r="S133" s="490"/>
      <c r="T133" s="431"/>
      <c r="Z133"/>
    </row>
    <row r="134" spans="2:26" ht="12.75">
      <c r="B134" s="271"/>
      <c r="C134" s="272"/>
      <c r="D134" s="432"/>
      <c r="E134" s="380" t="s">
        <v>289</v>
      </c>
      <c r="F134" s="505">
        <f>IF($S$92=0,"",SUM($I$123/AgLiquids!F82))</f>
      </c>
      <c r="G134" s="296" t="s">
        <v>1432</v>
      </c>
      <c r="H134" s="716"/>
      <c r="I134" s="436"/>
      <c r="J134" s="476"/>
      <c r="K134" s="268"/>
      <c r="L134" s="271"/>
      <c r="M134" s="272"/>
      <c r="N134" s="432"/>
      <c r="O134" s="380" t="s">
        <v>289</v>
      </c>
      <c r="P134" s="505">
        <f>IF($R$92=0,"",SUM($S$123/AgLiquids!F82))</f>
      </c>
      <c r="Q134" s="296" t="s">
        <v>1432</v>
      </c>
      <c r="R134" s="716"/>
      <c r="S134" s="475"/>
      <c r="T134" s="449"/>
      <c r="Z134"/>
    </row>
    <row r="135" spans="2:26" ht="15.75" customHeight="1">
      <c r="B135" s="185"/>
      <c r="C135" s="186"/>
      <c r="D135" s="783" t="s">
        <v>174</v>
      </c>
      <c r="E135" s="543"/>
      <c r="F135" s="440" t="s">
        <v>1602</v>
      </c>
      <c r="G135" s="125"/>
      <c r="H135" s="721">
        <f>IF($R$92=0,0,SUM($E$135*AgLiquids!F81))</f>
        <v>0</v>
      </c>
      <c r="I135" s="425">
        <f>IF($S$92=0,0,SUM($E$135*AgLiquids!F82))</f>
        <v>0</v>
      </c>
      <c r="J135" s="426">
        <f>IF($S$92=0,0,SUM($E$135*AgLiquids!F83))</f>
        <v>0</v>
      </c>
      <c r="K135" s="430"/>
      <c r="L135" s="1361" t="s">
        <v>174</v>
      </c>
      <c r="M135" s="1362"/>
      <c r="N135" s="1363"/>
      <c r="O135" s="543"/>
      <c r="P135" s="440" t="s">
        <v>1602</v>
      </c>
      <c r="Q135" s="743"/>
      <c r="R135" s="750">
        <f>IF($R$92=0,0,SUM($O$135*AgLiquids!F81))</f>
        <v>0</v>
      </c>
      <c r="S135" s="425">
        <f>IF($S$92=0,0,SUM($O$135*AgLiquids!F82))</f>
        <v>0</v>
      </c>
      <c r="T135" s="485">
        <f>IF($T$92=0,0,SUM($O$135*AgLiquids!F83))</f>
        <v>0</v>
      </c>
      <c r="Z135"/>
    </row>
    <row r="136" spans="2:26" ht="6" customHeight="1">
      <c r="B136" s="441"/>
      <c r="C136" s="442"/>
      <c r="D136" s="442"/>
      <c r="E136" s="443"/>
      <c r="F136" s="443"/>
      <c r="G136" s="443"/>
      <c r="H136" s="722"/>
      <c r="I136" s="482"/>
      <c r="J136" s="483"/>
      <c r="K136" s="292"/>
      <c r="L136" s="454"/>
      <c r="M136" s="455"/>
      <c r="N136" s="455"/>
      <c r="O136" s="456"/>
      <c r="P136" s="457"/>
      <c r="Q136" s="443"/>
      <c r="R136" s="751"/>
      <c r="S136" s="491"/>
      <c r="T136" s="445"/>
      <c r="Z136"/>
    </row>
    <row r="137" spans="1:26" ht="15.75">
      <c r="A137" s="900" t="s">
        <v>594</v>
      </c>
      <c r="B137" s="1324" t="s">
        <v>1082</v>
      </c>
      <c r="C137" s="1325"/>
      <c r="D137" s="1325"/>
      <c r="E137" s="1325"/>
      <c r="F137" s="1325"/>
      <c r="G137" s="1325"/>
      <c r="H137" s="723"/>
      <c r="I137" s="447"/>
      <c r="J137" s="274"/>
      <c r="K137" s="268"/>
      <c r="L137" s="1324" t="s">
        <v>1082</v>
      </c>
      <c r="M137" s="1325"/>
      <c r="N137" s="1325"/>
      <c r="O137" s="1325"/>
      <c r="P137" s="1325"/>
      <c r="Q137" s="1325"/>
      <c r="R137" s="688"/>
      <c r="S137" s="492"/>
      <c r="T137" s="445"/>
      <c r="Z137"/>
    </row>
    <row r="138" spans="2:26" ht="12.75">
      <c r="B138" s="1064"/>
      <c r="C138" s="1065"/>
      <c r="D138" s="1065"/>
      <c r="E138" s="1066"/>
      <c r="F138" s="257"/>
      <c r="G138" s="698">
        <f>IF(B138="","",VLOOKUP(B138,$T$313:$V$322,3,FALSE))</f>
      </c>
      <c r="H138" s="748">
        <f>IF(B138="",,SUM(F$138*VLOOKUP(B$138,$T$313:$Z$322,4))/100)</f>
        <v>0</v>
      </c>
      <c r="I138" s="137">
        <f>IF($B$138="",,SUM($F$138*VLOOKUP($B$138,$T$313:$Z$322,5))/100)</f>
        <v>0</v>
      </c>
      <c r="J138" s="169">
        <f>IF($B$138="",,SUM($F$138*VLOOKUP($B$138,$T$313:$Z$322,6))/100)</f>
        <v>0</v>
      </c>
      <c r="K138" s="291"/>
      <c r="L138" s="1064"/>
      <c r="M138" s="1065"/>
      <c r="N138" s="1065"/>
      <c r="O138" s="1066"/>
      <c r="P138" s="151"/>
      <c r="Q138" s="698">
        <f>IF(L138="","",VLOOKUP(L138,$T$313:$V$322,3,FALSE))</f>
      </c>
      <c r="R138" s="748">
        <f>IF($L$138="",,SUM($P$138*VLOOKUP($L$138,$T$313:$Z$322,4))/100)</f>
        <v>0</v>
      </c>
      <c r="S138" s="137">
        <f>IF($L$138="",,SUM($P$138*VLOOKUP($L$138,$T$313:$Z$322,5))/100)</f>
        <v>0</v>
      </c>
      <c r="T138" s="169">
        <f>IF($L$138="",,SUM($P$138*VLOOKUP($L$138,$T$313:$Z$322,6))/100)</f>
        <v>0</v>
      </c>
      <c r="Z138"/>
    </row>
    <row r="139" spans="2:26" ht="12.75">
      <c r="B139" s="935"/>
      <c r="C139" s="936"/>
      <c r="D139" s="936"/>
      <c r="E139" s="930"/>
      <c r="F139" s="257"/>
      <c r="G139" s="698">
        <f>IF(B139="","",VLOOKUP(B139,$T$313:$V$322,3,FALSE))</f>
      </c>
      <c r="H139" s="748">
        <f>IF($B$139="",,SUM($F$139*VLOOKUP($B$139,$T$313:$Z$322,4))/100)</f>
        <v>0</v>
      </c>
      <c r="I139" s="137">
        <f>IF($B$139="",,SUM($F$139*VLOOKUP($B$139,$T$313:$Z$322,5))/100)</f>
        <v>0</v>
      </c>
      <c r="J139" s="169">
        <f>IF($B$139="",,SUM($F$139*VLOOKUP($B$139,$T$313:$Z$322,6))/100)</f>
        <v>0</v>
      </c>
      <c r="K139" s="291"/>
      <c r="L139" s="1064"/>
      <c r="M139" s="1065"/>
      <c r="N139" s="1065"/>
      <c r="O139" s="1066"/>
      <c r="P139" s="257"/>
      <c r="Q139" s="698">
        <f>IF(L139="","",VLOOKUP(L139,$T$313:$V$322,3,FALSE))</f>
      </c>
      <c r="R139" s="748">
        <f>IF($L$139="",,SUM($P$139*VLOOKUP($L$139,$T$313:$Z$322,4))/100)</f>
        <v>0</v>
      </c>
      <c r="S139" s="137">
        <f>IF($L$139="",,SUM($P$139*VLOOKUP($L$139,$T$313:$Z$322,5))/100)</f>
        <v>0</v>
      </c>
      <c r="T139" s="169">
        <f>IF($L$139="",,SUM($P$139*VLOOKUP($L$139,$T$313:$Z$322,6))/100)</f>
        <v>0</v>
      </c>
      <c r="Z139"/>
    </row>
    <row r="140" spans="2:26" ht="12.75">
      <c r="B140" s="935"/>
      <c r="C140" s="936"/>
      <c r="D140" s="936"/>
      <c r="E140" s="930"/>
      <c r="F140" s="257"/>
      <c r="G140" s="698">
        <f>IF(B140="","",VLOOKUP(B140,$T$313:$V$322,3,FALSE))</f>
      </c>
      <c r="H140" s="748">
        <f>IF($B$140="",,SUM($F$140*VLOOKUP($B$140,$T$313:$Z$322,4))/100)</f>
        <v>0</v>
      </c>
      <c r="I140" s="137">
        <f>IF($B$140="",,SUM($F$140*VLOOKUP($B$140,$T$313:$Z$322,5))/100)</f>
        <v>0</v>
      </c>
      <c r="J140" s="169">
        <f>IF($B$140="",,SUM($F$140*VLOOKUP($B$140,$T$313:$Z$322,6))/100)</f>
        <v>0</v>
      </c>
      <c r="K140" s="291"/>
      <c r="L140" s="1064"/>
      <c r="M140" s="1065"/>
      <c r="N140" s="1065"/>
      <c r="O140" s="1066"/>
      <c r="P140" s="257"/>
      <c r="Q140" s="698">
        <f>IF(L140="","",VLOOKUP(L140,$T$313:$V$322,3,FALSE))</f>
      </c>
      <c r="R140" s="748">
        <f>IF($L$140="",,SUM($P$140*VLOOKUP($L$140,$T$313:$Z$322,4))/100)</f>
        <v>0</v>
      </c>
      <c r="S140" s="137">
        <f>IF($L$140="",,SUM($P$140*VLOOKUP($L140,$T$313:$Z$322,5))/100)</f>
        <v>0</v>
      </c>
      <c r="T140" s="169">
        <f>IF($L$140="",,SUM($P$140*VLOOKUP($L$140,$T$313:$Z$322,6))/100)</f>
        <v>0</v>
      </c>
      <c r="Z140"/>
    </row>
    <row r="141" spans="2:26" ht="12.75">
      <c r="B141" s="1075"/>
      <c r="C141" s="1076"/>
      <c r="D141" s="1076"/>
      <c r="E141" s="1077"/>
      <c r="F141" s="678"/>
      <c r="G141" s="698"/>
      <c r="H141" s="914"/>
      <c r="I141" s="915"/>
      <c r="J141" s="917"/>
      <c r="K141" s="291"/>
      <c r="L141" s="1075"/>
      <c r="M141" s="1076"/>
      <c r="N141" s="1076"/>
      <c r="O141" s="1077"/>
      <c r="P141" s="678"/>
      <c r="Q141" s="698" t="s">
        <v>1063</v>
      </c>
      <c r="R141" s="914"/>
      <c r="S141" s="915"/>
      <c r="T141" s="915"/>
      <c r="Z141"/>
    </row>
    <row r="142" spans="2:26" ht="13.5" thickBot="1">
      <c r="B142" s="1075"/>
      <c r="C142" s="1076"/>
      <c r="D142" s="1076"/>
      <c r="E142" s="1077"/>
      <c r="F142" s="678"/>
      <c r="G142" s="698"/>
      <c r="H142" s="912"/>
      <c r="I142" s="913"/>
      <c r="J142" s="916"/>
      <c r="K142" s="291"/>
      <c r="L142" s="1075"/>
      <c r="M142" s="1076"/>
      <c r="N142" s="1076"/>
      <c r="O142" s="1077"/>
      <c r="P142" s="678"/>
      <c r="Q142" s="698" t="s">
        <v>1063</v>
      </c>
      <c r="R142" s="912"/>
      <c r="S142" s="913"/>
      <c r="T142" s="913"/>
      <c r="Z142"/>
    </row>
    <row r="143" spans="1:26" ht="13.5" thickTop="1">
      <c r="A143" s="900" t="s">
        <v>594</v>
      </c>
      <c r="B143" s="146"/>
      <c r="C143" s="125"/>
      <c r="D143" s="125"/>
      <c r="E143" s="279"/>
      <c r="F143" s="279"/>
      <c r="G143" s="279" t="s">
        <v>1385</v>
      </c>
      <c r="H143" s="725">
        <f>SUM($H$129:$H$142)</f>
        <v>0</v>
      </c>
      <c r="I143" s="134">
        <f>SUM($I$129:$I$142)</f>
        <v>0</v>
      </c>
      <c r="J143" s="170">
        <f>SUM($J$129:$J$142)</f>
        <v>0</v>
      </c>
      <c r="K143" s="293"/>
      <c r="L143" s="146"/>
      <c r="M143" s="6"/>
      <c r="N143" s="6"/>
      <c r="O143" s="279"/>
      <c r="P143" s="279"/>
      <c r="Q143" s="279" t="s">
        <v>1385</v>
      </c>
      <c r="R143" s="725">
        <f>SUM($R$129:$R$142)</f>
        <v>0</v>
      </c>
      <c r="S143" s="134">
        <f>SUM($S$129:$S$142)</f>
        <v>0</v>
      </c>
      <c r="T143" s="170">
        <f>SUM($T$129:$T$142)</f>
        <v>0</v>
      </c>
      <c r="Z143"/>
    </row>
    <row r="144" spans="2:26" ht="13.5" thickBot="1">
      <c r="B144" s="146"/>
      <c r="C144" s="125"/>
      <c r="D144" s="125"/>
      <c r="E144" s="191"/>
      <c r="F144" s="191"/>
      <c r="G144" s="191" t="s">
        <v>1384</v>
      </c>
      <c r="H144" s="726">
        <f>SUM($H$122+$H$143)</f>
        <v>0</v>
      </c>
      <c r="I144" s="140">
        <f>SUM($I$122+$I$143)</f>
        <v>0</v>
      </c>
      <c r="J144" s="171">
        <f>SUM($J$122+$J$143)</f>
        <v>0</v>
      </c>
      <c r="K144" s="294"/>
      <c r="L144" s="146"/>
      <c r="M144" s="6"/>
      <c r="N144" s="6"/>
      <c r="O144" s="6"/>
      <c r="P144" s="191"/>
      <c r="Q144" s="191" t="s">
        <v>1384</v>
      </c>
      <c r="R144" s="726">
        <f>SUM($R$122+$R$143)</f>
        <v>0</v>
      </c>
      <c r="S144" s="140">
        <f>SUM($S$122+$S$143)</f>
        <v>0</v>
      </c>
      <c r="T144" s="171">
        <f>SUM($T$122+$T$143)</f>
        <v>0</v>
      </c>
      <c r="Z144"/>
    </row>
    <row r="145" spans="2:26" ht="13.5" customHeight="1" thickBot="1" thickTop="1">
      <c r="B145" s="146"/>
      <c r="C145" s="756"/>
      <c r="D145" s="756"/>
      <c r="E145" s="353"/>
      <c r="F145" s="353"/>
      <c r="G145" s="918" t="s">
        <v>859</v>
      </c>
      <c r="H145" s="727">
        <f>SUM($H$144-$H$109)</f>
        <v>0</v>
      </c>
      <c r="I145" s="728">
        <f>SUM($I$144-$I$109)</f>
        <v>0</v>
      </c>
      <c r="J145" s="729">
        <f>SUM($J$144-$J$109)</f>
        <v>0</v>
      </c>
      <c r="K145" s="294"/>
      <c r="L145" s="146"/>
      <c r="M145" s="6"/>
      <c r="N145" s="317"/>
      <c r="O145" s="317"/>
      <c r="P145" s="317"/>
      <c r="Q145" s="782" t="s">
        <v>859</v>
      </c>
      <c r="R145" s="758">
        <f>SUM($R$144-$R$109)</f>
        <v>0</v>
      </c>
      <c r="S145" s="188">
        <f>SUM($S$144-$S$109)</f>
        <v>0</v>
      </c>
      <c r="T145" s="759">
        <f>SUM($T$144-$T$109)</f>
        <v>0</v>
      </c>
      <c r="Z145"/>
    </row>
    <row r="146" spans="2:26" ht="13.5" thickBot="1">
      <c r="B146" s="919"/>
      <c r="C146" s="920"/>
      <c r="D146" s="920"/>
      <c r="E146" s="921"/>
      <c r="F146" s="922"/>
      <c r="G146" s="923" t="s">
        <v>860</v>
      </c>
      <c r="H146" s="757">
        <f>IF($H$109=0,"",IF($H$145=0,"OK",IF($H$144&lt;$H$109,$D$310,IF($H$144&gt;$H$109,$D$309))))</f>
      </c>
      <c r="I146" s="757">
        <f>IF($I$109=0,"",IF($I$145=0,"OK",IF($I$144&lt;$I$109,$D$310,IF($I$144&gt;$I$109,$D$309))))</f>
      </c>
      <c r="J146" s="757">
        <f>IF($J$109=0,"",IF($J$145=0,"OK",IF($J$144&lt;$J$109,$D$310,IF($J$144&gt;$J$109,$D$309))))</f>
      </c>
      <c r="K146" s="288"/>
      <c r="L146" s="805"/>
      <c r="M146" s="922"/>
      <c r="N146" s="924"/>
      <c r="O146" s="924"/>
      <c r="P146" s="924"/>
      <c r="Q146" s="923" t="s">
        <v>860</v>
      </c>
      <c r="R146" s="760">
        <f>IF($R$109=0,"",IF($R$145=0,"OK",IF($R$144&lt;$R$109,$D$310,IF($R$144&gt;($R$109),$D$309))))</f>
      </c>
      <c r="S146" s="760">
        <f>IF($S$109=0,"",IF($S$145=0,"OK",IF($S$144&lt;$S$109,$D$310,IF($S$144&gt;($S$109),$D$309))))</f>
      </c>
      <c r="T146" s="760">
        <f>IF($T$109=0,"",IF($T$145=0,"OK",IF($T$144&lt;$T$109,$D$310,IF($T$144&gt;($T$109),$D$309))))</f>
      </c>
      <c r="Z146"/>
    </row>
    <row r="147" spans="2:26" ht="15.75">
      <c r="B147" s="941" t="s">
        <v>1437</v>
      </c>
      <c r="C147" s="942"/>
      <c r="D147" s="942"/>
      <c r="E147" s="942"/>
      <c r="F147" s="943"/>
      <c r="G147" s="386"/>
      <c r="H147" s="626" t="e">
        <f>VLOOKUP($B$7,$I$314:$Q$347,9)</f>
        <v>#N/A</v>
      </c>
      <c r="I147" s="3"/>
      <c r="J147" s="175"/>
      <c r="K147" s="288"/>
      <c r="L147" s="941" t="s">
        <v>1437</v>
      </c>
      <c r="M147" s="942"/>
      <c r="N147" s="942"/>
      <c r="O147" s="942"/>
      <c r="P147" s="943"/>
      <c r="Q147" s="386"/>
      <c r="R147" s="626" t="e">
        <f>VLOOKUP($B$7,$I$314:$Q$347,9)</f>
        <v>#N/A</v>
      </c>
      <c r="S147" s="3"/>
      <c r="T147" s="175"/>
      <c r="Z147"/>
    </row>
    <row r="148" spans="1:26" ht="15.75" customHeight="1">
      <c r="A148" s="900" t="s">
        <v>594</v>
      </c>
      <c r="B148" s="777"/>
      <c r="C148" s="663"/>
      <c r="D148" s="778"/>
      <c r="E148" s="779"/>
      <c r="F148" s="779"/>
      <c r="G148" s="535"/>
      <c r="H148" s="780" t="s">
        <v>1388</v>
      </c>
      <c r="I148" s="775">
        <f>IF($B$7=0,"",IF($F$127=0,"",IF($R$69&gt;0,$L$79/$F$127,IF($R$92&gt;0,$P$96/($F$133*1000),"0"))))</f>
      </c>
      <c r="J148" s="730" t="s">
        <v>239</v>
      </c>
      <c r="K148" s="288"/>
      <c r="L148" s="777"/>
      <c r="M148" s="663"/>
      <c r="N148" s="778"/>
      <c r="O148" s="779"/>
      <c r="P148" s="779"/>
      <c r="Q148" s="781"/>
      <c r="R148" s="781" t="s">
        <v>1388</v>
      </c>
      <c r="S148" s="775">
        <f>IF($B$8=0,"",IF($P127=0,"",IF($R$69&gt;0,$L$79/$P$127,IF($R$92&gt;0,$P$96/($P$133*1000),"0"))))</f>
      </c>
      <c r="T148" s="926" t="s">
        <v>239</v>
      </c>
      <c r="Z148"/>
    </row>
    <row r="149" spans="2:26" ht="15.75" customHeight="1">
      <c r="B149" s="777"/>
      <c r="C149" s="663"/>
      <c r="D149" s="778"/>
      <c r="E149" s="779"/>
      <c r="F149" s="779"/>
      <c r="G149" s="535"/>
      <c r="H149" s="780" t="s">
        <v>1389</v>
      </c>
      <c r="I149" s="775">
        <f>IF($B$7=0,"",IF($S$69&gt;0,$L$79/$F$128,IF($S$92&gt;0,$P$96/($F$134*1000),"0")))</f>
      </c>
      <c r="J149" s="730" t="s">
        <v>239</v>
      </c>
      <c r="K149" s="288"/>
      <c r="L149" s="777"/>
      <c r="M149" s="663"/>
      <c r="N149" s="778"/>
      <c r="O149" s="779"/>
      <c r="P149" s="779"/>
      <c r="Q149" s="781"/>
      <c r="R149" s="781" t="s">
        <v>1389</v>
      </c>
      <c r="S149" s="775">
        <f>IF($B$8=0,"",IF($S$69&gt;0,$L$79/$P$128,IF($S$92&gt;0,$P$96/($P$134*1000),"0")))</f>
      </c>
      <c r="T149" s="926" t="s">
        <v>239</v>
      </c>
      <c r="Z149"/>
    </row>
    <row r="150" spans="2:20" s="132" customFormat="1" ht="15.75" customHeight="1" thickBot="1">
      <c r="B150" s="944" t="s">
        <v>1438</v>
      </c>
      <c r="C150" s="937"/>
      <c r="D150" s="937"/>
      <c r="E150" s="937"/>
      <c r="F150" s="769">
        <f>IF(F129&gt;0,"Solid",IF(E135&gt;0,"Liquid",""))</f>
      </c>
      <c r="G150" s="1073" t="s">
        <v>1390</v>
      </c>
      <c r="H150" s="1074"/>
      <c r="I150" s="776">
        <f>IF($E$58=0,,IF($F$129&gt;0,$L$79/$F$129,IF($E$135&gt;0,$P$96/($E$135*1000),"")))</f>
        <v>0</v>
      </c>
      <c r="J150" s="731" t="s">
        <v>239</v>
      </c>
      <c r="K150" s="506"/>
      <c r="L150" s="944" t="s">
        <v>1438</v>
      </c>
      <c r="M150" s="937"/>
      <c r="N150" s="937"/>
      <c r="O150" s="937"/>
      <c r="P150" s="769">
        <f>IF(P129&gt;0,"Solid",IF(O135&gt;0,"Liquid",""))</f>
      </c>
      <c r="Q150" s="1073" t="s">
        <v>1390</v>
      </c>
      <c r="R150" s="1074"/>
      <c r="S150" s="776">
        <f>IF($E$58=0,,IF($P$129&gt;0,$L$79/$P$129,IF($O$135&gt;0,$P$96/($O$135*1000),"")))</f>
        <v>0</v>
      </c>
      <c r="T150" s="731" t="s">
        <v>239</v>
      </c>
    </row>
    <row r="151" spans="2:26" ht="13.5" thickBot="1">
      <c r="B151" s="146"/>
      <c r="C151" s="125"/>
      <c r="D151" s="280"/>
      <c r="E151" s="386"/>
      <c r="F151" s="386"/>
      <c r="G151" s="503"/>
      <c r="H151" s="502"/>
      <c r="I151" s="3"/>
      <c r="J151" s="175"/>
      <c r="K151" s="288"/>
      <c r="L151" s="146"/>
      <c r="M151" s="125"/>
      <c r="N151" s="125"/>
      <c r="O151" s="370"/>
      <c r="P151" s="370"/>
      <c r="T151" s="145"/>
      <c r="Z151"/>
    </row>
    <row r="152" spans="2:26" ht="12.75">
      <c r="B152" s="1055">
        <f>IF($H$145=0,"",IF($H$145&gt;$E$385,$B$395,$B$397))</f>
      </c>
      <c r="C152" s="1056"/>
      <c r="D152" s="1056"/>
      <c r="E152" s="1056"/>
      <c r="F152" s="1056"/>
      <c r="G152" s="1056"/>
      <c r="H152" s="1056"/>
      <c r="I152" s="1056"/>
      <c r="J152" s="1057"/>
      <c r="K152" s="268"/>
      <c r="L152" s="1055">
        <f>IF($R$145=0,"",IF($R$145&gt;$E$385,$B$395,$B$397))</f>
      </c>
      <c r="M152" s="1056"/>
      <c r="N152" s="1056"/>
      <c r="O152" s="1056"/>
      <c r="P152" s="1056"/>
      <c r="Q152" s="1056"/>
      <c r="R152" s="1056"/>
      <c r="S152" s="1056"/>
      <c r="T152" s="1057"/>
      <c r="Z152"/>
    </row>
    <row r="153" spans="2:26" ht="12.75">
      <c r="B153" s="1058"/>
      <c r="C153" s="1059"/>
      <c r="D153" s="1059"/>
      <c r="E153" s="1059"/>
      <c r="F153" s="1059"/>
      <c r="G153" s="1059"/>
      <c r="H153" s="1059"/>
      <c r="I153" s="1059"/>
      <c r="J153" s="1060"/>
      <c r="K153" s="268"/>
      <c r="L153" s="1058"/>
      <c r="M153" s="1059"/>
      <c r="N153" s="1059"/>
      <c r="O153" s="1059"/>
      <c r="P153" s="1059"/>
      <c r="Q153" s="1059"/>
      <c r="R153" s="1059"/>
      <c r="S153" s="1059"/>
      <c r="T153" s="1060"/>
      <c r="Z153"/>
    </row>
    <row r="154" spans="2:26" ht="12.75">
      <c r="B154" s="1061">
        <f>IF($I$145=0,"",IF($I$145&gt;$E$386,$B$396,$B$398))</f>
      </c>
      <c r="C154" s="1062"/>
      <c r="D154" s="1062"/>
      <c r="E154" s="1062"/>
      <c r="F154" s="1062"/>
      <c r="G154" s="1062"/>
      <c r="H154" s="1062"/>
      <c r="I154" s="1062"/>
      <c r="J154" s="1063"/>
      <c r="K154" s="268"/>
      <c r="L154" s="1061">
        <f>IF($S$145=0,"",IF($S$145&gt;$E$386,$B$396,$B$398))</f>
      </c>
      <c r="M154" s="1062"/>
      <c r="N154" s="1062"/>
      <c r="O154" s="1062"/>
      <c r="P154" s="1062"/>
      <c r="Q154" s="1062"/>
      <c r="R154" s="1062"/>
      <c r="S154" s="1062"/>
      <c r="T154" s="1063"/>
      <c r="Z154"/>
    </row>
    <row r="155" spans="2:26" ht="12.75">
      <c r="B155" s="1058"/>
      <c r="C155" s="1059"/>
      <c r="D155" s="1059"/>
      <c r="E155" s="1059"/>
      <c r="F155" s="1059"/>
      <c r="G155" s="1059"/>
      <c r="H155" s="1059"/>
      <c r="I155" s="1059"/>
      <c r="J155" s="1060"/>
      <c r="K155" s="268"/>
      <c r="L155" s="1058"/>
      <c r="M155" s="1059"/>
      <c r="N155" s="1059"/>
      <c r="O155" s="1059"/>
      <c r="P155" s="1059"/>
      <c r="Q155" s="1059"/>
      <c r="R155" s="1059"/>
      <c r="S155" s="1059"/>
      <c r="T155" s="1060"/>
      <c r="Z155"/>
    </row>
    <row r="156" spans="2:26" ht="16.5" thickBot="1">
      <c r="B156" s="693" t="s">
        <v>312</v>
      </c>
      <c r="C156" s="125"/>
      <c r="D156" s="125"/>
      <c r="E156" s="125"/>
      <c r="F156" s="125"/>
      <c r="G156" s="125"/>
      <c r="H156" s="125"/>
      <c r="I156" s="125"/>
      <c r="J156" s="145"/>
      <c r="K156" s="268"/>
      <c r="L156" s="466" t="s">
        <v>312</v>
      </c>
      <c r="M156" s="125"/>
      <c r="N156" s="125"/>
      <c r="O156" s="125"/>
      <c r="P156" s="125"/>
      <c r="Q156" s="125"/>
      <c r="R156" s="125"/>
      <c r="S156" s="125"/>
      <c r="T156" s="145"/>
      <c r="Z156"/>
    </row>
    <row r="157" spans="2:26" ht="12.75">
      <c r="B157" s="1195"/>
      <c r="C157" s="1196"/>
      <c r="D157" s="1196"/>
      <c r="E157" s="1196"/>
      <c r="F157" s="1196"/>
      <c r="G157" s="1196"/>
      <c r="H157" s="1196"/>
      <c r="I157" s="1196"/>
      <c r="J157" s="1197"/>
      <c r="K157" s="286"/>
      <c r="L157" s="1078"/>
      <c r="M157" s="1079"/>
      <c r="N157" s="1079"/>
      <c r="O157" s="1079"/>
      <c r="P157" s="1079"/>
      <c r="Q157" s="1079"/>
      <c r="R157" s="1079"/>
      <c r="S157" s="1079"/>
      <c r="T157" s="1080"/>
      <c r="Z157"/>
    </row>
    <row r="158" spans="2:26" ht="12.75">
      <c r="B158" s="1198"/>
      <c r="C158" s="1199"/>
      <c r="D158" s="1199"/>
      <c r="E158" s="1199"/>
      <c r="F158" s="1199"/>
      <c r="G158" s="1199"/>
      <c r="H158" s="1199"/>
      <c r="I158" s="1199"/>
      <c r="J158" s="1200"/>
      <c r="K158" s="286"/>
      <c r="L158" s="1081"/>
      <c r="M158" s="1082"/>
      <c r="N158" s="1082"/>
      <c r="O158" s="1082"/>
      <c r="P158" s="1082"/>
      <c r="Q158" s="1082"/>
      <c r="R158" s="1082"/>
      <c r="S158" s="1082"/>
      <c r="T158" s="1083"/>
      <c r="Z158"/>
    </row>
    <row r="159" spans="2:26" ht="13.5" thickBot="1">
      <c r="B159" s="1201"/>
      <c r="C159" s="1202"/>
      <c r="D159" s="1202"/>
      <c r="E159" s="1202"/>
      <c r="F159" s="1202"/>
      <c r="G159" s="1202"/>
      <c r="H159" s="1202"/>
      <c r="I159" s="1202"/>
      <c r="J159" s="1203"/>
      <c r="K159" s="286"/>
      <c r="L159" s="1084"/>
      <c r="M159" s="1085"/>
      <c r="N159" s="1085"/>
      <c r="O159" s="1085"/>
      <c r="P159" s="1085"/>
      <c r="Q159" s="1085"/>
      <c r="R159" s="1085"/>
      <c r="S159" s="1085"/>
      <c r="T159" s="1086"/>
      <c r="Z159"/>
    </row>
    <row r="160" spans="2:20" s="126" customFormat="1" ht="12.75">
      <c r="B160" s="573"/>
      <c r="C160" s="573"/>
      <c r="D160" s="573"/>
      <c r="E160" s="573"/>
      <c r="F160" s="573"/>
      <c r="G160" s="573"/>
      <c r="H160" s="573"/>
      <c r="I160" s="573"/>
      <c r="J160" s="573"/>
      <c r="K160" s="508"/>
      <c r="L160" s="573"/>
      <c r="M160" s="573"/>
      <c r="N160" s="573"/>
      <c r="O160" s="573"/>
      <c r="P160" s="573"/>
      <c r="Q160" s="573"/>
      <c r="R160" s="573"/>
      <c r="S160" s="573"/>
      <c r="T160" s="573"/>
    </row>
    <row r="161" spans="11:26" ht="12.75">
      <c r="K161" s="286"/>
      <c r="L161"/>
      <c r="M161"/>
      <c r="Z161"/>
    </row>
    <row r="162" spans="2:26" ht="13.5" thickBot="1">
      <c r="B162" s="1"/>
      <c r="C162" s="1"/>
      <c r="D162" s="1"/>
      <c r="E162" s="1"/>
      <c r="F162" s="1"/>
      <c r="K162" s="286"/>
      <c r="L162" s="1"/>
      <c r="M162" s="1"/>
      <c r="N162" s="1"/>
      <c r="O162" s="1"/>
      <c r="P162" s="1"/>
      <c r="Z162"/>
    </row>
    <row r="163" spans="3:26" ht="13.5" thickBot="1">
      <c r="C163" s="189" t="s">
        <v>1088</v>
      </c>
      <c r="F163" s="189" t="s">
        <v>247</v>
      </c>
      <c r="K163" s="286"/>
      <c r="L163"/>
      <c r="M163" s="189" t="s">
        <v>1088</v>
      </c>
      <c r="P163" s="189" t="s">
        <v>247</v>
      </c>
      <c r="Z163"/>
    </row>
    <row r="164" spans="2:26" ht="12.75">
      <c r="B164" s="1134" t="s">
        <v>154</v>
      </c>
      <c r="C164" s="1135"/>
      <c r="D164" s="1135"/>
      <c r="E164" s="1135"/>
      <c r="F164" s="1135"/>
      <c r="G164" s="1135"/>
      <c r="H164" s="1135"/>
      <c r="I164" s="1135"/>
      <c r="J164" s="1135"/>
      <c r="K164" s="1135"/>
      <c r="L164" s="1135"/>
      <c r="M164" s="1135"/>
      <c r="N164" s="1135"/>
      <c r="O164" s="1135"/>
      <c r="P164" s="1135"/>
      <c r="Q164" s="1135"/>
      <c r="R164" s="1135"/>
      <c r="S164" s="1135"/>
      <c r="T164" s="1136"/>
      <c r="Z164"/>
    </row>
    <row r="165" spans="2:26" ht="13.5" thickBot="1">
      <c r="B165" s="1137"/>
      <c r="C165" s="1138"/>
      <c r="D165" s="1138"/>
      <c r="E165" s="1138"/>
      <c r="F165" s="1138"/>
      <c r="G165" s="1138"/>
      <c r="H165" s="1138"/>
      <c r="I165" s="1138"/>
      <c r="J165" s="1138"/>
      <c r="K165" s="1138"/>
      <c r="L165" s="1138"/>
      <c r="M165" s="1138"/>
      <c r="N165" s="1138"/>
      <c r="O165" s="1138"/>
      <c r="P165" s="1138"/>
      <c r="Q165" s="1138"/>
      <c r="R165" s="1138"/>
      <c r="S165" s="1138"/>
      <c r="T165" s="1139"/>
      <c r="Z165"/>
    </row>
    <row r="166" spans="2:27" ht="15.75">
      <c r="B166" s="593" t="s">
        <v>1387</v>
      </c>
      <c r="L166"/>
      <c r="N166" s="126"/>
      <c r="Z166"/>
      <c r="AA166" s="286"/>
    </row>
    <row r="167" spans="12:27" ht="13.5" thickBot="1">
      <c r="L167"/>
      <c r="M167"/>
      <c r="Z167"/>
      <c r="AA167" s="286"/>
    </row>
    <row r="168" spans="2:27" ht="16.5" thickBot="1">
      <c r="B168" s="173"/>
      <c r="C168" s="174"/>
      <c r="D168" s="174"/>
      <c r="E168" s="174"/>
      <c r="F168" s="174"/>
      <c r="G168" s="565" t="s">
        <v>492</v>
      </c>
      <c r="H168" s="1012">
        <f>IF($B$9=0,"",$B$9)</f>
      </c>
      <c r="I168" s="1013"/>
      <c r="J168" s="1014"/>
      <c r="K168" s="158"/>
      <c r="L168" s="173"/>
      <c r="M168" s="174"/>
      <c r="N168" s="174"/>
      <c r="O168" s="174"/>
      <c r="P168" s="174"/>
      <c r="Q168" s="565" t="s">
        <v>492</v>
      </c>
      <c r="R168" s="1012">
        <f>IF($B$10=0,"",$B$10)</f>
      </c>
      <c r="S168" s="1013"/>
      <c r="T168" s="1014"/>
      <c r="Z168"/>
      <c r="AA168" s="286"/>
    </row>
    <row r="169" spans="2:27" ht="18.75">
      <c r="B169" s="146"/>
      <c r="C169" s="125"/>
      <c r="D169" s="125"/>
      <c r="E169" s="125"/>
      <c r="F169" s="125"/>
      <c r="G169" s="125"/>
      <c r="H169" s="813" t="s">
        <v>181</v>
      </c>
      <c r="I169" s="493" t="s">
        <v>19</v>
      </c>
      <c r="J169" s="563" t="s">
        <v>590</v>
      </c>
      <c r="K169" s="3"/>
      <c r="L169" s="146"/>
      <c r="M169" s="125"/>
      <c r="N169" s="125"/>
      <c r="O169" s="125"/>
      <c r="P169" s="125"/>
      <c r="Q169" s="355"/>
      <c r="R169" s="909" t="s">
        <v>181</v>
      </c>
      <c r="S169" s="493" t="s">
        <v>19</v>
      </c>
      <c r="T169" s="563" t="s">
        <v>590</v>
      </c>
      <c r="Z169"/>
      <c r="AA169" s="286"/>
    </row>
    <row r="170" spans="2:27" ht="14.25" hidden="1">
      <c r="B170" s="146"/>
      <c r="C170" s="125"/>
      <c r="E170" s="125"/>
      <c r="F170" s="125"/>
      <c r="G170" s="284" t="s">
        <v>31</v>
      </c>
      <c r="H170" s="814">
        <f>F9</f>
        <v>0</v>
      </c>
      <c r="I170" s="138">
        <f>G9</f>
        <v>0</v>
      </c>
      <c r="J170" s="584">
        <f>H9</f>
        <v>0</v>
      </c>
      <c r="K170" s="135"/>
      <c r="L170" s="146"/>
      <c r="M170" s="125"/>
      <c r="N170" s="125"/>
      <c r="O170" s="125"/>
      <c r="P170" s="125"/>
      <c r="Q170" s="284" t="s">
        <v>31</v>
      </c>
      <c r="R170" s="138">
        <f>F10</f>
        <v>0</v>
      </c>
      <c r="S170" s="138">
        <f>G10</f>
        <v>0</v>
      </c>
      <c r="T170" s="584">
        <f>H10</f>
        <v>0</v>
      </c>
      <c r="Z170"/>
      <c r="AA170" s="286"/>
    </row>
    <row r="171" spans="2:27" ht="16.5" thickBot="1">
      <c r="B171" s="793" t="s">
        <v>389</v>
      </c>
      <c r="C171" s="792">
        <f>IF(B22="","",B22)</f>
      </c>
      <c r="D171" s="585"/>
      <c r="E171" s="585"/>
      <c r="F171" s="585"/>
      <c r="G171" s="695" t="s">
        <v>445</v>
      </c>
      <c r="H171" s="815">
        <f>IF($H$168="",0,$C$22)</f>
        <v>0</v>
      </c>
      <c r="I171" s="587">
        <f>IF($H$168="",0,IF($D$22=0,0,SUM($I$170-$V$171)))</f>
        <v>0</v>
      </c>
      <c r="J171" s="586">
        <f>IF($H$168="",0,IF($E$22=0,0,SUM($J$170-$W$171)))</f>
        <v>0</v>
      </c>
      <c r="K171" s="125"/>
      <c r="L171" s="793" t="s">
        <v>389</v>
      </c>
      <c r="M171" s="792">
        <f>IF(B23="","",B23)</f>
      </c>
      <c r="N171" s="576"/>
      <c r="O171" s="576"/>
      <c r="P171" s="576"/>
      <c r="Q171" s="910" t="s">
        <v>445</v>
      </c>
      <c r="R171" s="589">
        <f>IF($R$168="",0,$C$23)</f>
        <v>0</v>
      </c>
      <c r="S171" s="587">
        <f>IF($R$168="",0,IF($D$23=0,0,SUM($S$170-$X$171)))</f>
        <v>0</v>
      </c>
      <c r="T171" s="586">
        <f>IF($R$168="",0,IF($E$23=0,0,SUM($T$170-$Y$171)))</f>
        <v>0</v>
      </c>
      <c r="V171" s="135">
        <f>IF($D$22=0,0,(VLOOKUP($B$9,$I$314:$P$347,5)-(VLOOKUP($B$9,$I$314:$P$347,7))*$D$22)*$D$9)</f>
        <v>0</v>
      </c>
      <c r="W171" s="135">
        <f>IF($E$22=0,0,(VLOOKUP($B$9,$I$314:$P$347,6)-(VLOOKUP($B$9,$I$314:$P$347,8))*$E$22)*$D$9)</f>
        <v>0</v>
      </c>
      <c r="X171" s="135">
        <f>IF($D$23=0,0,(VLOOKUP($B$10,$I$314:$P$347,5)-(VLOOKUP($B$10,$I$314:$P$347,7))*$D$23)*$D$10)</f>
        <v>0</v>
      </c>
      <c r="Y171" s="135">
        <f>IF($E$23=0,0,(VLOOKUP($B$10,$I$314:$P$347,6)-(VLOOKUP($B$10,$I$314:$P$347,8))*$E$23)*$D$10)</f>
        <v>0</v>
      </c>
      <c r="Z171"/>
      <c r="AA171" s="286"/>
    </row>
    <row r="172" spans="2:27" ht="15.75">
      <c r="B172" s="466" t="s">
        <v>293</v>
      </c>
      <c r="C172" s="143"/>
      <c r="D172" s="468"/>
      <c r="E172" s="468"/>
      <c r="F172" s="468"/>
      <c r="G172" s="468"/>
      <c r="H172" s="816"/>
      <c r="I172" s="488"/>
      <c r="J172" s="479"/>
      <c r="K172" s="125"/>
      <c r="L172" s="466" t="s">
        <v>293</v>
      </c>
      <c r="M172" s="143"/>
      <c r="N172" s="468"/>
      <c r="O172" s="468"/>
      <c r="P172" s="468"/>
      <c r="Q172" s="468"/>
      <c r="R172" s="825"/>
      <c r="S172" s="488"/>
      <c r="T172" s="479"/>
      <c r="Z172"/>
      <c r="AA172" s="286"/>
    </row>
    <row r="173" spans="2:27" ht="12.75">
      <c r="B173" s="1364" t="s">
        <v>1304</v>
      </c>
      <c r="C173" s="1365"/>
      <c r="D173" s="1346"/>
      <c r="E173" s="275" t="s">
        <v>538</v>
      </c>
      <c r="F173" s="275" t="s">
        <v>226</v>
      </c>
      <c r="G173" s="276"/>
      <c r="H173" s="817"/>
      <c r="I173" s="488"/>
      <c r="J173" s="479"/>
      <c r="K173" s="125"/>
      <c r="L173" s="1367" t="s">
        <v>1304</v>
      </c>
      <c r="M173" s="1368"/>
      <c r="N173" s="1369"/>
      <c r="O173" s="275" t="s">
        <v>538</v>
      </c>
      <c r="P173" s="275" t="s">
        <v>226</v>
      </c>
      <c r="Q173" s="276"/>
      <c r="R173" s="817"/>
      <c r="S173" s="488"/>
      <c r="T173" s="479"/>
      <c r="Z173"/>
      <c r="AA173" s="286"/>
    </row>
    <row r="174" spans="2:27" ht="15" thickBot="1">
      <c r="B174" s="1366"/>
      <c r="C174" s="1293"/>
      <c r="D174" s="1347"/>
      <c r="E174" s="806"/>
      <c r="F174" s="687">
        <f>IF($D$173=0,"",IF($C$361=2,VLOOKUP($D$173,$A$337:$E$340,4,FALSE),VLOOKUP($D$173,$A$337:$E$340,3)))</f>
      </c>
      <c r="G174" s="696">
        <f>IF($D$173=0,"",VLOOKUP($D$173,$A$336:$E$338,5))</f>
      </c>
      <c r="H174" s="767">
        <f>IF(D173=0,"",SUM(E174*F174))</f>
      </c>
      <c r="I174" s="486"/>
      <c r="J174" s="494"/>
      <c r="K174" s="125"/>
      <c r="L174" s="1338"/>
      <c r="M174" s="1339"/>
      <c r="N174" s="1318"/>
      <c r="O174" s="806"/>
      <c r="P174" s="687">
        <f>IF($N$173=0,"",IF($C$362=2,VLOOKUP($N$173,$A$337:$E$340,4,FALSE),VLOOKUP($N$173,$A$337:$E$340,3)))</f>
      </c>
      <c r="Q174" s="696">
        <f>IF($N$173=0,"",VLOOKUP($N$173,$A$336:$E$338,5))</f>
      </c>
      <c r="R174" s="767">
        <f>IF(N173=0,"",SUM($O$174*$P$174))</f>
      </c>
      <c r="S174" s="486"/>
      <c r="T174" s="494"/>
      <c r="Z174"/>
      <c r="AA174" s="286"/>
    </row>
    <row r="175" spans="2:27" ht="12.75">
      <c r="B175" s="1326" t="s">
        <v>1411</v>
      </c>
      <c r="C175" s="1327"/>
      <c r="D175" s="1330"/>
      <c r="E175" s="1331"/>
      <c r="F175" s="1332"/>
      <c r="G175" s="812"/>
      <c r="H175" s="818"/>
      <c r="I175" s="486"/>
      <c r="J175" s="494"/>
      <c r="K175" s="125"/>
      <c r="L175" s="1336" t="s">
        <v>1411</v>
      </c>
      <c r="M175" s="1337"/>
      <c r="N175" s="1330"/>
      <c r="O175" s="1331"/>
      <c r="P175" s="1332"/>
      <c r="Q175" s="268"/>
      <c r="R175" s="703"/>
      <c r="S175" s="486"/>
      <c r="T175" s="494"/>
      <c r="Z175"/>
      <c r="AA175" s="286"/>
    </row>
    <row r="176" spans="2:27" ht="17.25" customHeight="1" thickBot="1">
      <c r="B176" s="1328"/>
      <c r="C176" s="1329"/>
      <c r="D176" s="1333"/>
      <c r="E176" s="1334"/>
      <c r="F176" s="1335"/>
      <c r="G176" s="696">
        <f>IF($D$175=0,"",VLOOKUP($D$175,$A$320:$E$334,5))</f>
      </c>
      <c r="H176" s="819">
        <f>IF($D$175=0,"",IF($C$361=2,VLOOKUP($D$175,$A$320:$E$334,4,FALSE),VLOOKUP($D$175,$A$320:$E$334,3)))</f>
      </c>
      <c r="I176" s="486"/>
      <c r="J176" s="494"/>
      <c r="K176" s="125"/>
      <c r="L176" s="1338"/>
      <c r="M176" s="1339"/>
      <c r="N176" s="1333"/>
      <c r="O176" s="1334"/>
      <c r="P176" s="1335"/>
      <c r="Q176" s="697">
        <f>IF($N$175=0,"",VLOOKUP($N$175,$A$320:$E$334,5))</f>
      </c>
      <c r="R176" s="819">
        <f>IF($N$175=0,"",IF($C$362=2,VLOOKUP($N$175,$A$320:$E$334,4,FALSE),VLOOKUP($N$175,$A$320:$E$334,3)))</f>
      </c>
      <c r="S176" s="486"/>
      <c r="T176" s="494"/>
      <c r="Z176"/>
      <c r="AA176" s="286"/>
    </row>
    <row r="177" spans="2:27" ht="15.75">
      <c r="B177" s="466" t="s">
        <v>294</v>
      </c>
      <c r="C177" s="268"/>
      <c r="D177" s="267"/>
      <c r="E177" s="267"/>
      <c r="F177" s="266"/>
      <c r="G177" s="266"/>
      <c r="H177" s="703"/>
      <c r="I177" s="486"/>
      <c r="J177" s="494"/>
      <c r="K177" s="125"/>
      <c r="L177" s="466" t="s">
        <v>294</v>
      </c>
      <c r="M177" s="268"/>
      <c r="N177" s="267"/>
      <c r="O177" s="267"/>
      <c r="P177" s="266"/>
      <c r="Q177" s="266"/>
      <c r="R177" s="703"/>
      <c r="S177" s="486"/>
      <c r="T177" s="494"/>
      <c r="Z177"/>
      <c r="AA177" s="286"/>
    </row>
    <row r="178" spans="2:27" ht="15" thickBot="1">
      <c r="B178" s="809"/>
      <c r="C178" s="932"/>
      <c r="D178" s="932"/>
      <c r="E178" s="932"/>
      <c r="F178" s="933"/>
      <c r="G178" s="696">
        <f>IF($C$178=0,"",VLOOKUP($C$178,$A$343:$E$353,5))</f>
      </c>
      <c r="H178" s="819">
        <f>IF($C$178=0,"",IF($C$361=2,VLOOKUP($C$178,$A$343:$E$353,4,FALSE),VLOOKUP($C$178,$A$343:$D$353,3))*0.5)</f>
      </c>
      <c r="I178" s="486"/>
      <c r="J178" s="494"/>
      <c r="K178" s="136"/>
      <c r="L178" s="808"/>
      <c r="M178" s="931"/>
      <c r="N178" s="932"/>
      <c r="O178" s="932"/>
      <c r="P178" s="933"/>
      <c r="Q178" s="696">
        <f>IF(M178=0,"",VLOOKUP(M178,A343:E353,5))</f>
      </c>
      <c r="R178" s="819">
        <f>IF($M$178=0,"",IF($C$362=2,VLOOKUP($M$178,$A$343:$E$353,4,FALSE),VLOOKUP($M$178,$A$343:$D$353,3))*0.5)</f>
      </c>
      <c r="S178" s="486"/>
      <c r="T178" s="494"/>
      <c r="Z178"/>
      <c r="AA178" s="286"/>
    </row>
    <row r="179" spans="2:20" s="286" customFormat="1" ht="6" customHeight="1">
      <c r="B179" s="688"/>
      <c r="C179" s="689"/>
      <c r="D179" s="689"/>
      <c r="E179" s="689"/>
      <c r="F179" s="689"/>
      <c r="G179" s="689"/>
      <c r="H179" s="820"/>
      <c r="I179" s="486"/>
      <c r="J179" s="494"/>
      <c r="K179" s="292"/>
      <c r="L179" s="688"/>
      <c r="M179" s="689"/>
      <c r="N179" s="689"/>
      <c r="O179" s="689"/>
      <c r="P179" s="689"/>
      <c r="Q179" s="689"/>
      <c r="R179" s="820"/>
      <c r="S179" s="486"/>
      <c r="T179" s="494"/>
    </row>
    <row r="180" spans="2:27" ht="15.75">
      <c r="B180" s="467" t="s">
        <v>286</v>
      </c>
      <c r="C180" s="266"/>
      <c r="D180" s="266"/>
      <c r="E180" s="266"/>
      <c r="F180" s="266"/>
      <c r="G180" s="267"/>
      <c r="H180" s="703"/>
      <c r="I180" s="273"/>
      <c r="J180" s="274"/>
      <c r="K180" s="136"/>
      <c r="L180" s="467" t="s">
        <v>286</v>
      </c>
      <c r="M180" s="266"/>
      <c r="N180" s="266"/>
      <c r="O180" s="266"/>
      <c r="P180" s="266"/>
      <c r="Q180" s="267"/>
      <c r="R180" s="703"/>
      <c r="S180" s="273"/>
      <c r="T180" s="274"/>
      <c r="Z180"/>
      <c r="AA180" s="286"/>
    </row>
    <row r="181" spans="2:27" ht="14.25">
      <c r="B181" s="269"/>
      <c r="C181" s="268"/>
      <c r="D181" s="934"/>
      <c r="E181" s="934"/>
      <c r="F181" s="934"/>
      <c r="G181" s="981"/>
      <c r="H181" s="821"/>
      <c r="I181" s="683"/>
      <c r="J181" s="810"/>
      <c r="K181" s="136"/>
      <c r="L181" s="269"/>
      <c r="M181" s="268"/>
      <c r="N181" s="934"/>
      <c r="O181" s="934"/>
      <c r="P181" s="934"/>
      <c r="Q181" s="981"/>
      <c r="R181" s="821"/>
      <c r="S181" s="683"/>
      <c r="T181" s="810"/>
      <c r="Z181"/>
      <c r="AA181" s="286"/>
    </row>
    <row r="182" spans="2:27" ht="15" thickBot="1">
      <c r="B182" s="269"/>
      <c r="C182" s="268"/>
      <c r="D182" s="934"/>
      <c r="E182" s="934"/>
      <c r="F182" s="934"/>
      <c r="G182" s="981"/>
      <c r="H182" s="822"/>
      <c r="I182" s="685"/>
      <c r="J182" s="811"/>
      <c r="K182" s="136"/>
      <c r="L182" s="269"/>
      <c r="M182" s="268"/>
      <c r="N182" s="934"/>
      <c r="O182" s="934"/>
      <c r="P182" s="934"/>
      <c r="Q182" s="981"/>
      <c r="R182" s="822"/>
      <c r="S182" s="685"/>
      <c r="T182" s="811"/>
      <c r="Z182"/>
      <c r="AA182" s="286"/>
    </row>
    <row r="183" spans="2:27" ht="13.5" thickTop="1">
      <c r="B183" s="271"/>
      <c r="C183" s="272"/>
      <c r="D183" s="184"/>
      <c r="E183" s="184"/>
      <c r="F183" s="184"/>
      <c r="G183" s="458" t="s">
        <v>441</v>
      </c>
      <c r="H183" s="755">
        <f>SUM($H$171:$H$182)</f>
        <v>0</v>
      </c>
      <c r="I183" s="461">
        <f>SUM($I$171:$I$182)</f>
        <v>0</v>
      </c>
      <c r="J183" s="462">
        <f>SUM($J$171:$J$182)</f>
        <v>0</v>
      </c>
      <c r="K183" s="136"/>
      <c r="L183" s="271"/>
      <c r="M183" s="272"/>
      <c r="N183" s="184"/>
      <c r="O183" s="184"/>
      <c r="P183" s="184"/>
      <c r="Q183" s="458" t="s">
        <v>441</v>
      </c>
      <c r="R183" s="755">
        <f>SUM($R$171:$R$182)</f>
        <v>0</v>
      </c>
      <c r="S183" s="461">
        <f>SUM($S$171:$S$182)</f>
        <v>0</v>
      </c>
      <c r="T183" s="462">
        <f>SUM($T$171:$T$182)</f>
        <v>0</v>
      </c>
      <c r="Z183"/>
      <c r="AA183" s="286"/>
    </row>
    <row r="184" spans="2:27" ht="12.75" hidden="1">
      <c r="B184" s="269"/>
      <c r="C184" s="268"/>
      <c r="D184" s="125"/>
      <c r="E184" s="125"/>
      <c r="F184" s="125"/>
      <c r="G184" s="125"/>
      <c r="H184" s="713">
        <f>SUM(H170-H183)</f>
        <v>0</v>
      </c>
      <c r="I184" s="487">
        <f>SUM(I170-I183)</f>
        <v>0</v>
      </c>
      <c r="J184" s="480"/>
      <c r="K184" s="136"/>
      <c r="L184" s="269"/>
      <c r="M184" s="268"/>
      <c r="N184" s="125"/>
      <c r="O184" s="125"/>
      <c r="P184" s="125"/>
      <c r="Q184" s="125"/>
      <c r="R184" s="719">
        <f>SUM(R170-R183)</f>
        <v>0</v>
      </c>
      <c r="S184" s="381">
        <f>SUM(S170-S183)</f>
        <v>0</v>
      </c>
      <c r="T184" s="377"/>
      <c r="Z184"/>
      <c r="AA184" s="286"/>
    </row>
    <row r="185" spans="2:27" ht="5.25" customHeight="1">
      <c r="B185" s="463"/>
      <c r="C185" s="443"/>
      <c r="D185" s="424"/>
      <c r="E185" s="424"/>
      <c r="F185" s="424"/>
      <c r="G185" s="424"/>
      <c r="H185" s="713"/>
      <c r="I185" s="487"/>
      <c r="J185" s="480"/>
      <c r="K185" s="136"/>
      <c r="L185" s="463"/>
      <c r="M185" s="443"/>
      <c r="N185" s="424"/>
      <c r="O185" s="424"/>
      <c r="P185" s="424"/>
      <c r="Q185" s="424"/>
      <c r="R185" s="719"/>
      <c r="S185" s="487"/>
      <c r="T185" s="377"/>
      <c r="Z185"/>
      <c r="AA185" s="286"/>
    </row>
    <row r="186" spans="2:27" ht="15.75" customHeight="1">
      <c r="B186" s="428" t="s">
        <v>28</v>
      </c>
      <c r="C186" s="376"/>
      <c r="D186" s="125"/>
      <c r="E186" s="125"/>
      <c r="F186" s="125"/>
      <c r="G186" s="125"/>
      <c r="H186" s="816"/>
      <c r="I186" s="488"/>
      <c r="J186" s="479"/>
      <c r="K186" s="289"/>
      <c r="L186" s="428" t="s">
        <v>28</v>
      </c>
      <c r="M186" s="376"/>
      <c r="N186" s="125"/>
      <c r="O186" s="125"/>
      <c r="P186" s="125"/>
      <c r="Q186" s="125"/>
      <c r="R186" s="714"/>
      <c r="S186" s="488"/>
      <c r="T186" s="378"/>
      <c r="Z186"/>
      <c r="AA186" s="286"/>
    </row>
    <row r="187" spans="2:27" ht="14.25">
      <c r="B187" s="269"/>
      <c r="C187" s="694" t="s">
        <v>292</v>
      </c>
      <c r="D187" s="125"/>
      <c r="E187" s="540"/>
      <c r="F187" s="125"/>
      <c r="G187" s="125"/>
      <c r="H187" s="823"/>
      <c r="I187" s="489"/>
      <c r="J187" s="480"/>
      <c r="K187" s="289"/>
      <c r="L187" s="269"/>
      <c r="M187" s="694" t="s">
        <v>292</v>
      </c>
      <c r="N187" s="125"/>
      <c r="O187" s="540"/>
      <c r="P187" s="125"/>
      <c r="Q187" s="125"/>
      <c r="R187" s="715"/>
      <c r="S187" s="489"/>
      <c r="T187" s="377"/>
      <c r="Z187"/>
      <c r="AA187" s="286"/>
    </row>
    <row r="188" spans="2:27" ht="14.25">
      <c r="B188" s="146"/>
      <c r="C188" s="125"/>
      <c r="D188" s="125"/>
      <c r="E188" s="603" t="s">
        <v>288</v>
      </c>
      <c r="F188" s="504">
        <f>IF($R$69=0,"",SUM($H$184/$R$69))</f>
      </c>
      <c r="G188" s="159" t="s">
        <v>1060</v>
      </c>
      <c r="H188" s="823"/>
      <c r="I188" s="489"/>
      <c r="J188" s="480"/>
      <c r="K188" s="289"/>
      <c r="L188" s="146"/>
      <c r="M188" s="125"/>
      <c r="N188" s="125"/>
      <c r="O188" s="603" t="s">
        <v>288</v>
      </c>
      <c r="P188" s="504">
        <f>IF($R$69=0,"",SUM($R$184/$R$69))</f>
      </c>
      <c r="Q188" s="159" t="s">
        <v>1060</v>
      </c>
      <c r="R188" s="715"/>
      <c r="S188" s="489"/>
      <c r="T188" s="377"/>
      <c r="Z188"/>
      <c r="AA188" s="286"/>
    </row>
    <row r="189" spans="2:27" ht="14.25">
      <c r="B189" s="270"/>
      <c r="C189" s="184"/>
      <c r="D189" s="265"/>
      <c r="E189" s="785" t="s">
        <v>289</v>
      </c>
      <c r="F189" s="504">
        <f>IF($S$69=0,"",SUM($I$184/$S$69))</f>
      </c>
      <c r="G189" s="159" t="s">
        <v>1060</v>
      </c>
      <c r="H189" s="817"/>
      <c r="I189" s="488"/>
      <c r="J189" s="479"/>
      <c r="K189" s="290"/>
      <c r="L189" s="270"/>
      <c r="M189" s="184"/>
      <c r="N189" s="265"/>
      <c r="O189" s="785" t="s">
        <v>289</v>
      </c>
      <c r="P189" s="504">
        <f>IF($S$69=0,"",SUM($S$184/$S$69))</f>
      </c>
      <c r="Q189" s="159" t="s">
        <v>1060</v>
      </c>
      <c r="R189" s="714"/>
      <c r="S189" s="475"/>
      <c r="T189" s="378"/>
      <c r="Z189"/>
      <c r="AA189" s="286"/>
    </row>
    <row r="190" spans="2:27" ht="18" customHeight="1">
      <c r="B190" s="270"/>
      <c r="C190" s="184"/>
      <c r="D190" s="184"/>
      <c r="E190" s="369" t="s">
        <v>174</v>
      </c>
      <c r="F190" s="543"/>
      <c r="G190" s="512" t="s">
        <v>1060</v>
      </c>
      <c r="H190" s="748">
        <f>SUM($R$69*$F$190)</f>
        <v>0</v>
      </c>
      <c r="I190" s="137">
        <f>SUM($F$190*$S$69)</f>
        <v>0</v>
      </c>
      <c r="J190" s="169">
        <f>SUM($F$190*$T$69)</f>
        <v>0</v>
      </c>
      <c r="K190" s="291"/>
      <c r="L190" s="270"/>
      <c r="M190" s="184"/>
      <c r="N190" s="184"/>
      <c r="O190" s="369" t="s">
        <v>174</v>
      </c>
      <c r="P190" s="543"/>
      <c r="Q190" s="512" t="s">
        <v>1060</v>
      </c>
      <c r="R190" s="748">
        <f>SUM($R$69*$P$190)</f>
        <v>0</v>
      </c>
      <c r="S190" s="137">
        <f>SUM($S$69*$P$190)</f>
        <v>0</v>
      </c>
      <c r="T190" s="169">
        <f>SUM($T$69*$P$190)</f>
        <v>0</v>
      </c>
      <c r="Z190"/>
      <c r="AA190" s="286"/>
    </row>
    <row r="191" spans="2:20" s="286" customFormat="1" ht="6" customHeight="1">
      <c r="B191" s="441"/>
      <c r="C191" s="442"/>
      <c r="D191" s="442"/>
      <c r="E191" s="442"/>
      <c r="F191" s="495"/>
      <c r="G191" s="495"/>
      <c r="H191" s="824"/>
      <c r="I191" s="491"/>
      <c r="J191" s="496"/>
      <c r="K191" s="289"/>
      <c r="L191" s="441"/>
      <c r="M191" s="442"/>
      <c r="N191" s="442"/>
      <c r="O191" s="442"/>
      <c r="P191" s="495"/>
      <c r="Q191" s="495"/>
      <c r="R191" s="824"/>
      <c r="S191" s="499"/>
      <c r="T191" s="483"/>
    </row>
    <row r="192" spans="2:27" ht="15.75" customHeight="1">
      <c r="B192" s="450" t="s">
        <v>29</v>
      </c>
      <c r="C192" s="6"/>
      <c r="D192" s="6"/>
      <c r="E192" s="6"/>
      <c r="F192" s="6"/>
      <c r="G192" s="6"/>
      <c r="H192" s="816"/>
      <c r="I192" s="488"/>
      <c r="J192" s="479"/>
      <c r="K192" s="139"/>
      <c r="L192" s="500" t="s">
        <v>29</v>
      </c>
      <c r="M192" s="501"/>
      <c r="N192" s="501"/>
      <c r="O192" s="501"/>
      <c r="P192" s="501"/>
      <c r="Q192" s="501"/>
      <c r="R192" s="816"/>
      <c r="S192" s="488"/>
      <c r="T192" s="479"/>
      <c r="Z192"/>
      <c r="AA192" s="286"/>
    </row>
    <row r="193" spans="2:27" ht="14.25">
      <c r="B193" s="269"/>
      <c r="C193" s="694" t="s">
        <v>292</v>
      </c>
      <c r="D193" s="125"/>
      <c r="E193" s="540"/>
      <c r="F193" s="268"/>
      <c r="G193" s="125"/>
      <c r="H193" s="816"/>
      <c r="I193" s="488"/>
      <c r="J193" s="479"/>
      <c r="K193" s="139"/>
      <c r="L193" s="269"/>
      <c r="M193" s="694" t="s">
        <v>292</v>
      </c>
      <c r="N193" s="125"/>
      <c r="O193" s="540"/>
      <c r="P193" s="268"/>
      <c r="Q193" s="125"/>
      <c r="R193" s="816"/>
      <c r="S193" s="488"/>
      <c r="T193" s="479"/>
      <c r="Z193"/>
      <c r="AA193" s="286"/>
    </row>
    <row r="194" spans="2:27" ht="14.25">
      <c r="B194" s="269"/>
      <c r="C194" s="125"/>
      <c r="D194" s="125"/>
      <c r="E194" s="603" t="s">
        <v>288</v>
      </c>
      <c r="F194" s="505">
        <f>IF($R$92=0,"",SUM($H$184/AgLiquids!F81))</f>
      </c>
      <c r="G194" s="296" t="s">
        <v>1432</v>
      </c>
      <c r="H194" s="816"/>
      <c r="I194" s="488"/>
      <c r="J194" s="479"/>
      <c r="K194" s="139"/>
      <c r="L194" s="269"/>
      <c r="M194" s="125"/>
      <c r="N194" s="125"/>
      <c r="O194" s="603" t="s">
        <v>288</v>
      </c>
      <c r="P194" s="505">
        <f>IF($R$92=0,"",SUM($R$184/AgLiquids!F81))</f>
      </c>
      <c r="Q194" s="296" t="s">
        <v>1432</v>
      </c>
      <c r="R194" s="816"/>
      <c r="S194" s="488"/>
      <c r="T194" s="479"/>
      <c r="Z194"/>
      <c r="AA194" s="286"/>
    </row>
    <row r="195" spans="2:27" ht="14.25">
      <c r="B195" s="271"/>
      <c r="C195" s="184"/>
      <c r="D195" s="265"/>
      <c r="E195" s="785" t="s">
        <v>289</v>
      </c>
      <c r="F195" s="505">
        <f>IF($S$92=0,"",SUM($I$184/AgLiquids!F82))</f>
      </c>
      <c r="G195" s="296" t="s">
        <v>1432</v>
      </c>
      <c r="H195" s="817"/>
      <c r="I195" s="475"/>
      <c r="J195" s="476"/>
      <c r="K195" s="139"/>
      <c r="L195" s="271"/>
      <c r="M195" s="184"/>
      <c r="N195" s="265"/>
      <c r="O195" s="785" t="s">
        <v>289</v>
      </c>
      <c r="P195" s="505">
        <f>IF($S$92=0,"",SUM($S$184/AgLiquids!F82))</f>
      </c>
      <c r="Q195" s="296" t="s">
        <v>1432</v>
      </c>
      <c r="R195" s="817"/>
      <c r="S195" s="475"/>
      <c r="T195" s="476"/>
      <c r="Z195"/>
      <c r="AA195" s="286"/>
    </row>
    <row r="196" spans="2:27" ht="15.75">
      <c r="B196" s="1087" t="s">
        <v>174</v>
      </c>
      <c r="C196" s="1088"/>
      <c r="D196" s="1089"/>
      <c r="E196" s="543"/>
      <c r="F196" s="982" t="s">
        <v>1602</v>
      </c>
      <c r="G196" s="983"/>
      <c r="H196" s="827">
        <f>IF($R$92=0,0,SUM($E$196*AgLiquids!F81))</f>
        <v>0</v>
      </c>
      <c r="I196" s="425">
        <f>IF($S$92=0,0,SUM($E$196*AgLiquids!F82))</f>
        <v>0</v>
      </c>
      <c r="J196" s="299">
        <f>IF($T$92=0,0,SUM($E$196*AgLiquids!F83))</f>
        <v>0</v>
      </c>
      <c r="K196" s="139"/>
      <c r="L196" s="1087" t="s">
        <v>174</v>
      </c>
      <c r="M196" s="1088"/>
      <c r="N196" s="1089"/>
      <c r="O196" s="543"/>
      <c r="P196" s="982" t="s">
        <v>1602</v>
      </c>
      <c r="Q196" s="983"/>
      <c r="R196" s="721">
        <f>IF($R$92=0,0,SUM($O$196*AgLiquids!F81))</f>
        <v>0</v>
      </c>
      <c r="S196" s="425">
        <f>IF($S$92=0,0,SUM($O$196*AgLiquids!F82))</f>
        <v>0</v>
      </c>
      <c r="T196" s="299">
        <f>IF($T$92=0,0,SUM($O$196*AgLiquids!F83))</f>
        <v>0</v>
      </c>
      <c r="Z196"/>
      <c r="AA196" s="286"/>
    </row>
    <row r="197" spans="2:27" ht="6" customHeight="1">
      <c r="B197" s="441"/>
      <c r="C197" s="442"/>
      <c r="D197" s="442"/>
      <c r="E197" s="495"/>
      <c r="F197" s="495"/>
      <c r="G197" s="495"/>
      <c r="H197" s="824"/>
      <c r="I197" s="491"/>
      <c r="J197" s="496"/>
      <c r="K197" s="139"/>
      <c r="L197" s="441"/>
      <c r="M197" s="442"/>
      <c r="N197" s="442"/>
      <c r="O197" s="495"/>
      <c r="P197" s="498"/>
      <c r="Q197" s="498"/>
      <c r="R197" s="824"/>
      <c r="S197" s="499"/>
      <c r="T197" s="483"/>
      <c r="Z197"/>
      <c r="AA197" s="286"/>
    </row>
    <row r="198" spans="2:27" ht="15.75">
      <c r="B198" s="423" t="s">
        <v>1082</v>
      </c>
      <c r="C198" s="297"/>
      <c r="D198" s="297"/>
      <c r="E198" s="297"/>
      <c r="F198" s="297"/>
      <c r="G198" s="297"/>
      <c r="H198" s="826"/>
      <c r="I198" s="492"/>
      <c r="J198" s="497"/>
      <c r="K198" s="136"/>
      <c r="L198" s="423" t="s">
        <v>1082</v>
      </c>
      <c r="M198" s="302"/>
      <c r="N198" s="302"/>
      <c r="O198" s="303"/>
      <c r="P198" s="301"/>
      <c r="Q198" s="301"/>
      <c r="R198" s="826"/>
      <c r="S198" s="492"/>
      <c r="T198" s="497"/>
      <c r="Z198"/>
      <c r="AA198" s="286"/>
    </row>
    <row r="199" spans="2:27" ht="12.75">
      <c r="B199" s="1064"/>
      <c r="C199" s="1065"/>
      <c r="D199" s="1065"/>
      <c r="E199" s="1066"/>
      <c r="F199" s="151"/>
      <c r="G199" s="698">
        <f>IF(B199="","",VLOOKUP(B199,$T$313:$V$322,3,FALSE))</f>
      </c>
      <c r="H199" s="724">
        <f>IF($B$199="",,SUM($F$199*VLOOKUP($B$199,$T$313:$Z$322,4))/100)</f>
        <v>0</v>
      </c>
      <c r="I199" s="133">
        <f>IF($B$199="",,SUM($F$199*VLOOKUP($B$199,$T$313:$Z$322,5))/100)</f>
        <v>0</v>
      </c>
      <c r="J199" s="176">
        <f>IF($B$199="",,SUM($F$199*VLOOKUP($B$199,$T$313:$Z$322,6))/100)</f>
        <v>0</v>
      </c>
      <c r="K199" s="136"/>
      <c r="L199" s="1064"/>
      <c r="M199" s="1065"/>
      <c r="N199" s="1065"/>
      <c r="O199" s="1066"/>
      <c r="P199" s="152"/>
      <c r="Q199" s="698">
        <f>IF(L199="","",VLOOKUP(L199,$T$313:$V$322,3,FALSE))</f>
      </c>
      <c r="R199" s="724">
        <f>IF($L$199="",,SUM($P$199*VLOOKUP($L$199,$T$313:$Z$322,4))/100)</f>
        <v>0</v>
      </c>
      <c r="S199" s="133">
        <f>IF($L$199="",,SUM($P$199*VLOOKUP($L$199,$T$313:$Z$322,5))/100)</f>
        <v>0</v>
      </c>
      <c r="T199" s="176">
        <f>IF($L$199="",,SUM($P$199*VLOOKUP($L$199,$T$313:$Z$322,6))/100)</f>
        <v>0</v>
      </c>
      <c r="Z199"/>
      <c r="AA199" s="286"/>
    </row>
    <row r="200" spans="2:27" ht="12.75">
      <c r="B200" s="935"/>
      <c r="C200" s="936"/>
      <c r="D200" s="936"/>
      <c r="E200" s="930"/>
      <c r="F200" s="257"/>
      <c r="G200" s="698">
        <f>IF(B200="","",VLOOKUP(B200,$T$313:$V$322,3,FALSE))</f>
      </c>
      <c r="H200" s="724">
        <f>IF($B$200="",,SUM($F$200*VLOOKUP($B$200,$T$313:$Z$322,4))/100)</f>
        <v>0</v>
      </c>
      <c r="I200" s="133">
        <f>IF($B$200="",,SUM($F$200*VLOOKUP($B$200,$T$313:$Z$322,5))/100)</f>
        <v>0</v>
      </c>
      <c r="J200" s="176">
        <f>IF($B$200="",,SUM($F$200*VLOOKUP($B$200,$T$313:$Z$322,6))/100)</f>
        <v>0</v>
      </c>
      <c r="K200" s="128"/>
      <c r="L200" s="1064"/>
      <c r="M200" s="1065"/>
      <c r="N200" s="1065"/>
      <c r="O200" s="1066"/>
      <c r="P200" s="152"/>
      <c r="Q200" s="698">
        <f>IF(L200="","",VLOOKUP(L200,$T$313:$V$322,3,FALSE))</f>
      </c>
      <c r="R200" s="724">
        <f>IF($L$200="",,SUM($P$200*VLOOKUP($L$200,$T$313:$Z$322,4))/100)</f>
        <v>0</v>
      </c>
      <c r="S200" s="133">
        <f>IF($L$200="",,SUM($P$200*VLOOKUP($L$200,$T$313:$Z$322,5))/100)</f>
        <v>0</v>
      </c>
      <c r="T200" s="176">
        <f>IF($L$200="",,SUM($P$200*VLOOKUP($L$200,$T$313:$Z$322,6))/100)</f>
        <v>0</v>
      </c>
      <c r="Z200"/>
      <c r="AA200" s="286"/>
    </row>
    <row r="201" spans="2:27" ht="12.75">
      <c r="B201" s="935"/>
      <c r="C201" s="936"/>
      <c r="D201" s="936"/>
      <c r="E201" s="930"/>
      <c r="F201" s="257"/>
      <c r="G201" s="698">
        <f>IF(B201="","",VLOOKUP(B201,$T$313:$V$322,3,FALSE))</f>
      </c>
      <c r="H201" s="724">
        <f>IF($B$201="",,SUM($F$201*VLOOKUP($B$201,$T$313:$Z$322,4))/100)</f>
        <v>0</v>
      </c>
      <c r="I201" s="133">
        <f>IF($B$201="",,SUM($F$201*VLOOKUP($B$201,$T$313:$Z$322,5))/100)</f>
        <v>0</v>
      </c>
      <c r="J201" s="176">
        <f>IF($B$201="",,SUM($F$201*VLOOKUP($B$201,$T$313:$Z$322,6))/100)</f>
        <v>0</v>
      </c>
      <c r="K201" s="128"/>
      <c r="L201" s="1064"/>
      <c r="M201" s="1065"/>
      <c r="N201" s="1065"/>
      <c r="O201" s="1066"/>
      <c r="P201" s="152"/>
      <c r="Q201" s="698">
        <f>IF(L201="","",VLOOKUP(L201,$T$313:$V$322,3,FALSE))</f>
      </c>
      <c r="R201" s="724">
        <f>IF($L$201="",,SUM($P$201*VLOOKUP($L$201,$T$313:$Z$322,4))/100)</f>
        <v>0</v>
      </c>
      <c r="S201" s="133">
        <f>IF($L$201="",,SUM($P$201*VLOOKUP($L$201,$T$313:$Z$322,5))/100)</f>
        <v>0</v>
      </c>
      <c r="T201" s="176">
        <f>IF($L$201="",,SUM($P$201*VLOOKUP($L$201,$T$313:$Z$322,6))/100)</f>
        <v>0</v>
      </c>
      <c r="Z201"/>
      <c r="AA201" s="286"/>
    </row>
    <row r="202" spans="2:26" ht="12.75">
      <c r="B202" s="1075"/>
      <c r="C202" s="1076"/>
      <c r="D202" s="1076"/>
      <c r="E202" s="1077"/>
      <c r="F202" s="678"/>
      <c r="G202" s="698" t="s">
        <v>1063</v>
      </c>
      <c r="H202" s="914"/>
      <c r="I202" s="915"/>
      <c r="J202" s="917"/>
      <c r="K202" s="291"/>
      <c r="L202" s="1075"/>
      <c r="M202" s="1076"/>
      <c r="N202" s="1076"/>
      <c r="O202" s="1077"/>
      <c r="P202" s="678"/>
      <c r="Q202" s="698" t="s">
        <v>1063</v>
      </c>
      <c r="R202" s="914"/>
      <c r="S202" s="915"/>
      <c r="T202" s="917"/>
      <c r="Z202"/>
    </row>
    <row r="203" spans="2:26" ht="13.5" thickBot="1">
      <c r="B203" s="1075"/>
      <c r="C203" s="1076"/>
      <c r="D203" s="1076"/>
      <c r="E203" s="1077"/>
      <c r="F203" s="678"/>
      <c r="G203" s="698" t="s">
        <v>1063</v>
      </c>
      <c r="H203" s="912"/>
      <c r="I203" s="913"/>
      <c r="J203" s="916"/>
      <c r="K203" s="291"/>
      <c r="L203" s="1075"/>
      <c r="M203" s="1076"/>
      <c r="N203" s="1076"/>
      <c r="O203" s="1077"/>
      <c r="P203" s="678"/>
      <c r="Q203" s="698" t="s">
        <v>1063</v>
      </c>
      <c r="R203" s="912"/>
      <c r="S203" s="913"/>
      <c r="T203" s="916"/>
      <c r="Z203"/>
    </row>
    <row r="204" spans="2:27" ht="13.5" thickTop="1">
      <c r="B204" s="177"/>
      <c r="C204" s="6"/>
      <c r="D204" s="5"/>
      <c r="E204" s="279"/>
      <c r="F204" s="279"/>
      <c r="G204" s="279" t="s">
        <v>1385</v>
      </c>
      <c r="H204" s="725">
        <f>SUM($H$190:$H$203)</f>
        <v>0</v>
      </c>
      <c r="I204" s="134">
        <f>SUM($I$190:$I$203)</f>
        <v>0</v>
      </c>
      <c r="J204" s="170">
        <f>SUM($J$190:$J$203)</f>
        <v>0</v>
      </c>
      <c r="K204" s="128"/>
      <c r="L204" s="177"/>
      <c r="M204" s="6"/>
      <c r="N204" s="5"/>
      <c r="O204" s="279"/>
      <c r="P204" s="279"/>
      <c r="Q204" s="279" t="s">
        <v>1385</v>
      </c>
      <c r="R204" s="725">
        <f>SUM($R$190:$R$203)</f>
        <v>0</v>
      </c>
      <c r="S204" s="134">
        <f>SUM($S$190:$S$203)</f>
        <v>0</v>
      </c>
      <c r="T204" s="170">
        <f>SUM($T$190:$T$203)</f>
        <v>0</v>
      </c>
      <c r="Z204"/>
      <c r="AA204" s="286"/>
    </row>
    <row r="205" spans="2:27" ht="13.5" thickBot="1">
      <c r="B205" s="177"/>
      <c r="C205" s="6"/>
      <c r="D205" s="5"/>
      <c r="E205" s="5"/>
      <c r="F205" s="191"/>
      <c r="G205" s="191" t="s">
        <v>1384</v>
      </c>
      <c r="H205" s="726">
        <f>SUM($H$183+$H$204)</f>
        <v>0</v>
      </c>
      <c r="I205" s="140">
        <f>SUM($I$183+$I$204)</f>
        <v>0</v>
      </c>
      <c r="J205" s="171">
        <f>SUM($J$183+$J$204)</f>
        <v>0</v>
      </c>
      <c r="K205" s="135"/>
      <c r="L205" s="177"/>
      <c r="M205" s="6"/>
      <c r="N205" s="5"/>
      <c r="O205" s="191"/>
      <c r="P205" s="191"/>
      <c r="Q205" s="191" t="s">
        <v>1384</v>
      </c>
      <c r="R205" s="726">
        <f>SUM($R$183+$R$204)</f>
        <v>0</v>
      </c>
      <c r="S205" s="140">
        <f>SUM($S$183+$S$204)</f>
        <v>0</v>
      </c>
      <c r="T205" s="171">
        <f>SUM($T$183+$T$204)</f>
        <v>0</v>
      </c>
      <c r="Z205"/>
      <c r="AA205" s="286"/>
    </row>
    <row r="206" spans="2:45" ht="13.5" customHeight="1" thickBot="1" thickTop="1">
      <c r="B206" s="177"/>
      <c r="C206" s="6"/>
      <c r="D206" s="828"/>
      <c r="E206" s="828"/>
      <c r="F206" s="828"/>
      <c r="G206" s="782" t="s">
        <v>859</v>
      </c>
      <c r="H206" s="832">
        <f>SUM($H$205-$H$170)</f>
        <v>0</v>
      </c>
      <c r="I206" s="728">
        <f>SUM($I$205-$I$170)</f>
        <v>0</v>
      </c>
      <c r="J206" s="833">
        <f>SUM($J$205-$J$170)</f>
        <v>0</v>
      </c>
      <c r="K206" s="148"/>
      <c r="L206" s="177"/>
      <c r="M206" s="6"/>
      <c r="N206" s="828"/>
      <c r="O206" s="828"/>
      <c r="P206" s="828"/>
      <c r="Q206" s="782" t="s">
        <v>859</v>
      </c>
      <c r="R206" s="839">
        <f>SUM($R$205-$R$170)</f>
        <v>0</v>
      </c>
      <c r="S206" s="840">
        <f>SUM($S$205-$S$170)</f>
        <v>0</v>
      </c>
      <c r="T206" s="759">
        <f>SUM($T$205-$T$170)</f>
        <v>0</v>
      </c>
      <c r="Z206"/>
      <c r="AA206" s="286"/>
      <c r="AS206" s="125"/>
    </row>
    <row r="207" spans="2:45" ht="13.5" thickBot="1">
      <c r="B207" s="177"/>
      <c r="C207" s="6"/>
      <c r="D207" s="828"/>
      <c r="E207" s="828"/>
      <c r="F207" s="828"/>
      <c r="G207" s="923" t="s">
        <v>860</v>
      </c>
      <c r="H207" s="760">
        <f>IF($H$170=0,"",IF($H$206=0,"OK",IF($H$205&lt;$H$170,$D$310,IF($H$205&gt;($H$170),$D$309))))</f>
      </c>
      <c r="I207" s="760">
        <f>IF($I$170=0,"",IF($I$206=0,"OK",IF($I$205&lt;$I$170,$D$310,IF($I$205&gt;($I$170),$D$309))))</f>
      </c>
      <c r="J207" s="760">
        <f>IF($J$170=0,"",IF($J$206=0,"OK",IF($J$205&lt;$J$170,$D$310,IF($J$205&gt;($J$170),$D$309))))</f>
      </c>
      <c r="K207" s="141"/>
      <c r="L207" s="177"/>
      <c r="M207" s="6"/>
      <c r="N207" s="828"/>
      <c r="O207" s="828"/>
      <c r="P207" s="828"/>
      <c r="Q207" s="923" t="s">
        <v>860</v>
      </c>
      <c r="R207" s="760">
        <f>IF($R$170=0,"",IF($R$206=0,"OK",IF($R$205&lt;$R$170,$D$310,IF($R$205&gt;($R$170),$D309))))</f>
      </c>
      <c r="S207" s="760">
        <f>IF($S$170=0,"",IF($S$206=0,"OK",IF($S$205&lt;$S$170,$D$310,IF($S$205&gt;($S$170),$D$309))))</f>
      </c>
      <c r="T207" s="760">
        <f>IF($T$170=0,"",IF($T$206=0,"OK",IF($T$205&lt;$T$170,$D$310,IF($T$205&gt;($T$170),$D$309))))</f>
      </c>
      <c r="Z207"/>
      <c r="AA207" s="286"/>
      <c r="AS207" s="125"/>
    </row>
    <row r="208" spans="2:45" ht="15.75">
      <c r="B208" s="941" t="s">
        <v>1437</v>
      </c>
      <c r="C208" s="942"/>
      <c r="D208" s="942"/>
      <c r="E208" s="942"/>
      <c r="F208" s="943"/>
      <c r="G208" s="373"/>
      <c r="H208" s="125"/>
      <c r="I208" s="125"/>
      <c r="J208" s="125"/>
      <c r="K208" s="836"/>
      <c r="L208" s="941" t="s">
        <v>1437</v>
      </c>
      <c r="M208" s="942"/>
      <c r="N208" s="942"/>
      <c r="O208" s="942"/>
      <c r="P208" s="943"/>
      <c r="Q208" s="373"/>
      <c r="R208" s="125"/>
      <c r="S208" s="125"/>
      <c r="T208" s="175"/>
      <c r="U208" s="146"/>
      <c r="Z208"/>
      <c r="AA208" s="286"/>
      <c r="AS208" s="125"/>
    </row>
    <row r="209" spans="2:45" ht="15.75">
      <c r="B209" s="777"/>
      <c r="C209" s="663"/>
      <c r="D209" s="778"/>
      <c r="E209" s="779"/>
      <c r="F209" s="779"/>
      <c r="G209" s="535"/>
      <c r="H209" s="780" t="s">
        <v>442</v>
      </c>
      <c r="I209" s="829">
        <f>IF($B$9=0,"",IF($F188=0,"",IF($R$69&gt;0,$L$79/$F$188,IF($R$92&gt;0,$P$96/($F$194*1000),"0"))))</f>
      </c>
      <c r="J209" s="834" t="s">
        <v>239</v>
      </c>
      <c r="K209" s="837"/>
      <c r="L209" s="777"/>
      <c r="M209" s="663"/>
      <c r="N209" s="778"/>
      <c r="O209" s="838"/>
      <c r="P209" s="838"/>
      <c r="Q209" s="535"/>
      <c r="R209" s="780" t="s">
        <v>446</v>
      </c>
      <c r="S209" s="829">
        <f>IF($B$10=0,"",IF($P188=0,"",IF($R$69&gt;0,$L$79/$P$188,IF($R$92&gt;0,$P$96/($P$194*1000),"0"))))</f>
      </c>
      <c r="T209" s="926" t="s">
        <v>239</v>
      </c>
      <c r="U209" s="146"/>
      <c r="Z209"/>
      <c r="AA209" s="286"/>
      <c r="AS209" s="125"/>
    </row>
    <row r="210" spans="2:45" ht="15.75">
      <c r="B210" s="777"/>
      <c r="C210" s="663"/>
      <c r="D210" s="778"/>
      <c r="E210" s="779"/>
      <c r="F210" s="779"/>
      <c r="G210" s="535"/>
      <c r="H210" s="780" t="s">
        <v>443</v>
      </c>
      <c r="I210" s="829">
        <f>IF($B$9=0,"",IF($S$69&gt;0,$L$79/$F$189,IF($S$92&gt;0,$P$96/($F$195*1000),"0")))</f>
      </c>
      <c r="J210" s="834" t="s">
        <v>239</v>
      </c>
      <c r="K210" s="837"/>
      <c r="L210" s="777"/>
      <c r="M210" s="663"/>
      <c r="N210" s="778"/>
      <c r="O210" s="838"/>
      <c r="P210" s="838"/>
      <c r="Q210" s="535"/>
      <c r="R210" s="780" t="s">
        <v>447</v>
      </c>
      <c r="S210" s="829">
        <f>IF($B$10=0,"",IF($S$69&gt;0,$L$79/$P$189,IF($S$92&gt;0,$P$96/($P$195*1000),"0")))</f>
      </c>
      <c r="T210" s="926" t="s">
        <v>239</v>
      </c>
      <c r="U210" s="146"/>
      <c r="Z210"/>
      <c r="AA210" s="286"/>
      <c r="AS210" s="125"/>
    </row>
    <row r="211" spans="2:45" ht="16.5" thickBot="1">
      <c r="B211" s="777"/>
      <c r="C211" s="663"/>
      <c r="D211" s="778"/>
      <c r="E211" s="831" t="s">
        <v>1438</v>
      </c>
      <c r="F211" s="769">
        <f>IF(F190&gt;0,"Solid",IF(E196&gt;0,"Liquid",""))</f>
      </c>
      <c r="G211" s="1376" t="s">
        <v>1099</v>
      </c>
      <c r="H211" s="1377"/>
      <c r="I211" s="830">
        <f>IF($E$58=0,,IF($F$190&gt;0,$L$79/$F$190,IF($E$196&gt;0,$P$96/($E$196*1000),"")))</f>
        <v>0</v>
      </c>
      <c r="J211" s="835" t="s">
        <v>239</v>
      </c>
      <c r="K211" s="837"/>
      <c r="L211" s="777"/>
      <c r="M211" s="663"/>
      <c r="N211" s="778"/>
      <c r="O211" s="831" t="s">
        <v>1438</v>
      </c>
      <c r="P211" s="769">
        <f>IF(P190&gt;0,"Solid",IF(O196&gt;0,"Liquid",""))</f>
      </c>
      <c r="Q211" s="1376" t="s">
        <v>1099</v>
      </c>
      <c r="R211" s="1377"/>
      <c r="S211" s="830">
        <f>IF($E$58=0,,IF($P$190&gt;0,$L$79/$P$190,IF($O$196&gt;0,$P$96/($O$196*1000),"")))</f>
        <v>0</v>
      </c>
      <c r="T211" s="731" t="s">
        <v>239</v>
      </c>
      <c r="U211" s="146"/>
      <c r="Z211"/>
      <c r="AA211" s="286"/>
      <c r="AS211" s="125"/>
    </row>
    <row r="212" spans="2:45" ht="15.75" thickBot="1">
      <c r="B212" s="146"/>
      <c r="C212" s="125"/>
      <c r="D212" s="280"/>
      <c r="E212" s="386"/>
      <c r="F212" s="386"/>
      <c r="G212" s="386"/>
      <c r="H212" s="342"/>
      <c r="I212" s="3"/>
      <c r="J212" s="175"/>
      <c r="K212" s="288"/>
      <c r="L212" s="146"/>
      <c r="M212" s="125"/>
      <c r="N212" s="125"/>
      <c r="O212" s="370"/>
      <c r="P212" s="370"/>
      <c r="Q212" s="370"/>
      <c r="R212" s="125"/>
      <c r="S212" s="125"/>
      <c r="T212" s="145"/>
      <c r="Z212"/>
      <c r="AA212" s="286"/>
      <c r="AS212" s="125"/>
    </row>
    <row r="213" spans="2:45" ht="12.75">
      <c r="B213" s="1055">
        <f>IF($H$206=0,"",IF($H$206&gt;$E$385,$B$395,$B$397))</f>
      </c>
      <c r="C213" s="1056"/>
      <c r="D213" s="1056"/>
      <c r="E213" s="1056"/>
      <c r="F213" s="1056"/>
      <c r="G213" s="1056"/>
      <c r="H213" s="1056"/>
      <c r="I213" s="1056"/>
      <c r="J213" s="1057"/>
      <c r="K213" s="268"/>
      <c r="L213" s="1055">
        <f>IF($R$206=0,"",IF($R$206&gt;$E$385,$B$395,$B$397))</f>
      </c>
      <c r="M213" s="1056"/>
      <c r="N213" s="1056"/>
      <c r="O213" s="1056"/>
      <c r="P213" s="1056"/>
      <c r="Q213" s="1056"/>
      <c r="R213" s="1056"/>
      <c r="S213" s="1056"/>
      <c r="T213" s="1057"/>
      <c r="Z213"/>
      <c r="AA213" s="286"/>
      <c r="AS213" s="125"/>
    </row>
    <row r="214" spans="2:45" ht="12.75">
      <c r="B214" s="1058"/>
      <c r="C214" s="1059"/>
      <c r="D214" s="1059"/>
      <c r="E214" s="1059"/>
      <c r="F214" s="1059"/>
      <c r="G214" s="1059"/>
      <c r="H214" s="1059"/>
      <c r="I214" s="1059"/>
      <c r="J214" s="1060"/>
      <c r="K214" s="268"/>
      <c r="L214" s="1058"/>
      <c r="M214" s="1059"/>
      <c r="N214" s="1059"/>
      <c r="O214" s="1059"/>
      <c r="P214" s="1059"/>
      <c r="Q214" s="1059"/>
      <c r="R214" s="1059"/>
      <c r="S214" s="1059"/>
      <c r="T214" s="1060"/>
      <c r="Z214"/>
      <c r="AA214" s="286"/>
      <c r="AS214" s="125"/>
    </row>
    <row r="215" spans="2:27" ht="12.75">
      <c r="B215" s="1061">
        <f>IF($I$206=0,"",IF($I$206&gt;$E$386,$B$396,$B$398))</f>
      </c>
      <c r="C215" s="1062"/>
      <c r="D215" s="1062"/>
      <c r="E215" s="1062"/>
      <c r="F215" s="1062"/>
      <c r="G215" s="1062"/>
      <c r="H215" s="1062"/>
      <c r="I215" s="1062"/>
      <c r="J215" s="1063"/>
      <c r="K215" s="268"/>
      <c r="L215" s="1061">
        <f>IF($S$206=0,"",IF($S$206&gt;$E$386,$B$396,$B$398))</f>
      </c>
      <c r="M215" s="1062"/>
      <c r="N215" s="1062"/>
      <c r="O215" s="1062"/>
      <c r="P215" s="1062"/>
      <c r="Q215" s="1062"/>
      <c r="R215" s="1062"/>
      <c r="S215" s="1062"/>
      <c r="T215" s="1063"/>
      <c r="Z215"/>
      <c r="AA215" s="286"/>
    </row>
    <row r="216" spans="2:27" ht="12.75">
      <c r="B216" s="1058"/>
      <c r="C216" s="1059"/>
      <c r="D216" s="1059"/>
      <c r="E216" s="1059"/>
      <c r="F216" s="1059"/>
      <c r="G216" s="1059"/>
      <c r="H216" s="1059"/>
      <c r="I216" s="1059"/>
      <c r="J216" s="1060"/>
      <c r="K216" s="268"/>
      <c r="L216" s="1058"/>
      <c r="M216" s="1059"/>
      <c r="N216" s="1059"/>
      <c r="O216" s="1059"/>
      <c r="P216" s="1059"/>
      <c r="Q216" s="1059"/>
      <c r="R216" s="1059"/>
      <c r="S216" s="1059"/>
      <c r="T216" s="1060"/>
      <c r="Z216"/>
      <c r="AA216" s="286"/>
    </row>
    <row r="217" spans="2:27" ht="16.5" thickBot="1">
      <c r="B217" s="466" t="s">
        <v>312</v>
      </c>
      <c r="C217" s="127"/>
      <c r="D217" s="127"/>
      <c r="E217" s="127"/>
      <c r="F217" s="127"/>
      <c r="G217" s="127"/>
      <c r="H217" s="125"/>
      <c r="I217" s="125"/>
      <c r="J217" s="145"/>
      <c r="K217" s="125"/>
      <c r="L217" s="466" t="s">
        <v>312</v>
      </c>
      <c r="M217" s="125"/>
      <c r="N217" s="125"/>
      <c r="O217" s="125"/>
      <c r="P217" s="125"/>
      <c r="Q217" s="125"/>
      <c r="R217" s="125"/>
      <c r="S217" s="125"/>
      <c r="T217" s="145"/>
      <c r="Z217"/>
      <c r="AA217" s="286"/>
    </row>
    <row r="218" spans="2:27" ht="12.75">
      <c r="B218" s="1078"/>
      <c r="C218" s="1079"/>
      <c r="D218" s="1079"/>
      <c r="E218" s="1079"/>
      <c r="F218" s="1079"/>
      <c r="G218" s="1079"/>
      <c r="H218" s="1079"/>
      <c r="I218" s="1079"/>
      <c r="J218" s="1080"/>
      <c r="K218" s="125"/>
      <c r="L218" s="1078"/>
      <c r="M218" s="1079"/>
      <c r="N218" s="1079"/>
      <c r="O218" s="1079"/>
      <c r="P218" s="1079"/>
      <c r="Q218" s="1079"/>
      <c r="R218" s="1079"/>
      <c r="S218" s="1079"/>
      <c r="T218" s="1080"/>
      <c r="Z218"/>
      <c r="AA218" s="286"/>
    </row>
    <row r="219" spans="2:27" ht="12.75">
      <c r="B219" s="1081"/>
      <c r="C219" s="1082"/>
      <c r="D219" s="1082"/>
      <c r="E219" s="1082"/>
      <c r="F219" s="1082"/>
      <c r="G219" s="1082"/>
      <c r="H219" s="1082"/>
      <c r="I219" s="1082"/>
      <c r="J219" s="1083"/>
      <c r="L219" s="1081"/>
      <c r="M219" s="1082"/>
      <c r="N219" s="1082"/>
      <c r="O219" s="1082"/>
      <c r="P219" s="1082"/>
      <c r="Q219" s="1082"/>
      <c r="R219" s="1082"/>
      <c r="S219" s="1082"/>
      <c r="T219" s="1083"/>
      <c r="Z219"/>
      <c r="AA219" s="286"/>
    </row>
    <row r="220" spans="2:27" ht="13.5" thickBot="1">
      <c r="B220" s="1084"/>
      <c r="C220" s="1085"/>
      <c r="D220" s="1085"/>
      <c r="E220" s="1085"/>
      <c r="F220" s="1085"/>
      <c r="G220" s="1085"/>
      <c r="H220" s="1085"/>
      <c r="I220" s="1085"/>
      <c r="J220" s="1086"/>
      <c r="L220" s="1084"/>
      <c r="M220" s="1085"/>
      <c r="N220" s="1085"/>
      <c r="O220" s="1085"/>
      <c r="P220" s="1085"/>
      <c r="Q220" s="1085"/>
      <c r="R220" s="1085"/>
      <c r="S220" s="1085"/>
      <c r="T220" s="1086"/>
      <c r="Z220"/>
      <c r="AA220" s="286"/>
    </row>
    <row r="221" spans="2:27" ht="12.75">
      <c r="B221" s="569"/>
      <c r="C221" s="127"/>
      <c r="D221" s="127"/>
      <c r="E221" s="127"/>
      <c r="F221" s="127"/>
      <c r="G221" s="127"/>
      <c r="H221" s="125"/>
      <c r="I221" s="125"/>
      <c r="J221" s="125"/>
      <c r="L221" s="569"/>
      <c r="M221" s="125"/>
      <c r="N221" s="125"/>
      <c r="O221" s="125"/>
      <c r="P221" s="125"/>
      <c r="Q221" s="125"/>
      <c r="R221" s="125"/>
      <c r="S221" s="125"/>
      <c r="T221" s="125"/>
      <c r="Z221"/>
      <c r="AA221" s="286"/>
    </row>
    <row r="222" spans="12:27" ht="12.75">
      <c r="L222"/>
      <c r="M222"/>
      <c r="Z222"/>
      <c r="AA222" s="286"/>
    </row>
    <row r="223" spans="2:27" ht="13.5" thickBot="1">
      <c r="B223" s="1"/>
      <c r="C223" s="1"/>
      <c r="D223" s="1"/>
      <c r="E223" s="1"/>
      <c r="F223" s="1"/>
      <c r="K223" s="286"/>
      <c r="L223" s="1"/>
      <c r="M223" s="1"/>
      <c r="N223" s="1"/>
      <c r="O223" s="1"/>
      <c r="P223" s="1"/>
      <c r="Z223"/>
      <c r="AA223" s="286"/>
    </row>
    <row r="224" spans="3:27" ht="13.5" customHeight="1">
      <c r="C224" s="189" t="s">
        <v>1088</v>
      </c>
      <c r="F224" s="189" t="s">
        <v>247</v>
      </c>
      <c r="K224" s="286"/>
      <c r="L224"/>
      <c r="M224" s="189" t="s">
        <v>1088</v>
      </c>
      <c r="P224" s="189" t="s">
        <v>247</v>
      </c>
      <c r="Z224"/>
      <c r="AA224" s="286"/>
    </row>
    <row r="225" spans="3:27" ht="13.5" customHeight="1" thickBot="1">
      <c r="C225" s="189"/>
      <c r="F225" s="189"/>
      <c r="K225" s="286"/>
      <c r="L225"/>
      <c r="M225" s="189"/>
      <c r="P225" s="189"/>
      <c r="Z225"/>
      <c r="AA225" s="286"/>
    </row>
    <row r="226" spans="2:27" ht="13.5" customHeight="1">
      <c r="B226" s="1134" t="s">
        <v>154</v>
      </c>
      <c r="C226" s="1135"/>
      <c r="D226" s="1135"/>
      <c r="E226" s="1135"/>
      <c r="F226" s="1135"/>
      <c r="G226" s="1135"/>
      <c r="H226" s="1135"/>
      <c r="I226" s="1135"/>
      <c r="J226" s="1135"/>
      <c r="K226" s="1135"/>
      <c r="L226" s="1135"/>
      <c r="M226" s="1135"/>
      <c r="N226" s="1135"/>
      <c r="O226" s="1135"/>
      <c r="P226" s="1135"/>
      <c r="Q226" s="1135"/>
      <c r="R226" s="1135"/>
      <c r="S226" s="1135"/>
      <c r="T226" s="1136"/>
      <c r="Z226"/>
      <c r="AA226" s="286"/>
    </row>
    <row r="227" spans="2:27" ht="13.5" thickBot="1">
      <c r="B227" s="1137"/>
      <c r="C227" s="1138"/>
      <c r="D227" s="1138"/>
      <c r="E227" s="1138"/>
      <c r="F227" s="1138"/>
      <c r="G227" s="1138"/>
      <c r="H227" s="1138"/>
      <c r="I227" s="1138"/>
      <c r="J227" s="1138"/>
      <c r="K227" s="1138"/>
      <c r="L227" s="1138"/>
      <c r="M227" s="1138"/>
      <c r="N227" s="1138"/>
      <c r="O227" s="1138"/>
      <c r="P227" s="1138"/>
      <c r="Q227" s="1138"/>
      <c r="R227" s="1138"/>
      <c r="S227" s="1138"/>
      <c r="T227" s="1139"/>
      <c r="Z227"/>
      <c r="AA227" s="286"/>
    </row>
    <row r="228" spans="2:27" ht="13.5" customHeight="1">
      <c r="B228" s="593" t="s">
        <v>1387</v>
      </c>
      <c r="L228"/>
      <c r="M228"/>
      <c r="Z228"/>
      <c r="AA228" s="286"/>
    </row>
    <row r="229" spans="12:27" ht="14.25" customHeight="1" thickBot="1">
      <c r="L229" s="5"/>
      <c r="M229" s="5"/>
      <c r="N229" s="5"/>
      <c r="O229" s="5"/>
      <c r="P229" s="5"/>
      <c r="Q229" s="5"/>
      <c r="Z229"/>
      <c r="AA229" s="286"/>
    </row>
    <row r="230" spans="2:27" ht="16.5" thickBot="1">
      <c r="B230" s="173"/>
      <c r="C230" s="174"/>
      <c r="D230" s="174"/>
      <c r="E230" s="174"/>
      <c r="F230" s="174"/>
      <c r="G230" s="565" t="s">
        <v>492</v>
      </c>
      <c r="H230" s="1012">
        <f>IF($B$11=0,"",$B$11)</f>
      </c>
      <c r="I230" s="1013"/>
      <c r="J230" s="1014"/>
      <c r="L230" s="277"/>
      <c r="M230" s="278"/>
      <c r="N230" s="278"/>
      <c r="O230" s="278"/>
      <c r="P230" s="278"/>
      <c r="Q230" s="564" t="s">
        <v>492</v>
      </c>
      <c r="R230" s="1012">
        <f>IF(B12=0,"",B12)</f>
      </c>
      <c r="S230" s="1013"/>
      <c r="T230" s="1014"/>
      <c r="Z230"/>
      <c r="AA230" s="286"/>
    </row>
    <row r="231" spans="2:27" ht="18.75">
      <c r="B231" s="146"/>
      <c r="C231" s="125"/>
      <c r="D231" s="125"/>
      <c r="E231" s="125"/>
      <c r="F231" s="125"/>
      <c r="G231" s="125"/>
      <c r="H231" s="813" t="s">
        <v>181</v>
      </c>
      <c r="I231" s="493" t="s">
        <v>19</v>
      </c>
      <c r="J231" s="563" t="s">
        <v>590</v>
      </c>
      <c r="L231" s="177"/>
      <c r="M231" s="6"/>
      <c r="N231" s="6"/>
      <c r="O231" s="6"/>
      <c r="P231" s="6"/>
      <c r="Q231" s="6"/>
      <c r="R231" s="813" t="s">
        <v>181</v>
      </c>
      <c r="S231" s="493" t="s">
        <v>19</v>
      </c>
      <c r="T231" s="563" t="s">
        <v>590</v>
      </c>
      <c r="Z231"/>
      <c r="AA231" s="286"/>
    </row>
    <row r="232" spans="2:27" ht="14.25" hidden="1">
      <c r="B232" s="177"/>
      <c r="C232" s="6"/>
      <c r="E232" s="6"/>
      <c r="F232" s="6"/>
      <c r="G232" s="284" t="s">
        <v>31</v>
      </c>
      <c r="H232" s="814">
        <f>F11</f>
        <v>0</v>
      </c>
      <c r="I232" s="138">
        <f>G11</f>
        <v>0</v>
      </c>
      <c r="J232" s="584">
        <f>H11</f>
        <v>0</v>
      </c>
      <c r="L232" s="177"/>
      <c r="M232" s="6"/>
      <c r="N232" s="125"/>
      <c r="O232" s="6"/>
      <c r="P232" s="6"/>
      <c r="Q232" s="284" t="s">
        <v>31</v>
      </c>
      <c r="R232" s="846">
        <f>F12</f>
        <v>0</v>
      </c>
      <c r="S232" s="188">
        <f>G12</f>
        <v>0</v>
      </c>
      <c r="T232" s="187">
        <f>H12</f>
        <v>0</v>
      </c>
      <c r="Z232"/>
      <c r="AA232" s="286"/>
    </row>
    <row r="233" spans="2:27" s="126" customFormat="1" ht="16.5" thickBot="1">
      <c r="B233" s="841" t="s">
        <v>389</v>
      </c>
      <c r="C233" s="842">
        <f>IF(B24="","",B24)</f>
      </c>
      <c r="D233" s="585"/>
      <c r="E233" s="585"/>
      <c r="F233" s="585"/>
      <c r="G233" s="695" t="s">
        <v>445</v>
      </c>
      <c r="H233" s="815">
        <f>IF($H$230="",0,$C$24)</f>
        <v>0</v>
      </c>
      <c r="I233" s="587">
        <f>IF($H$230="",0,IF($D$24=0,0,SUM($I$232-$V$233)))</f>
        <v>0</v>
      </c>
      <c r="J233" s="588">
        <f>IF($H$230="",0,IF($E$24=0,0,SUM($J$232-$W$233)))</f>
        <v>0</v>
      </c>
      <c r="L233" s="841" t="s">
        <v>389</v>
      </c>
      <c r="M233" s="842">
        <f>IF(B25="","",B25)</f>
      </c>
      <c r="N233" s="576"/>
      <c r="O233" s="576"/>
      <c r="P233" s="576"/>
      <c r="Q233" s="695" t="s">
        <v>445</v>
      </c>
      <c r="R233" s="847">
        <f>IF($R$230="",0,$C$25)</f>
        <v>0</v>
      </c>
      <c r="S233" s="590">
        <f>IF($R$230="",0,IF($D$25=0,0,SUM($S$232-$X$233)))</f>
        <v>0</v>
      </c>
      <c r="T233" s="586">
        <f>IF($R$230="",0,IF($E$25=0,0,SUM($T$232-$Y$233)))</f>
        <v>0</v>
      </c>
      <c r="V233" s="135">
        <f>IF($D$24=0,0,(VLOOKUP($B$11,$I$314:$P$347,5)-(VLOOKUP($B$11,$I$314:$P$347,7))*$D$24)*$D$11)</f>
        <v>0</v>
      </c>
      <c r="W233" s="135">
        <f>IF($E$24=0,0,(VLOOKUP($B$11,$I$314:$P$347,6)-(VLOOKUP($B$11,$I$314:$P$347,8))*$E$24)*$D$11)</f>
        <v>0</v>
      </c>
      <c r="X233" s="135">
        <f>IF($D$25=0,0,(VLOOKUP($B$12,$I$314:$P$347,5)-(VLOOKUP($B$12,$I$314:$P$347,7))*$D$25)*$D$12)</f>
        <v>0</v>
      </c>
      <c r="Y233" s="135">
        <f>IF($E$25=0,0,(VLOOKUP($B$12,$I$314:$P$347,6)-(VLOOKUP($B$12,$I$314:$P$347,8))*$E$25)*$D$12)</f>
        <v>0</v>
      </c>
      <c r="AA233" s="508"/>
    </row>
    <row r="234" spans="2:27" ht="15.75">
      <c r="B234" s="466" t="s">
        <v>293</v>
      </c>
      <c r="C234" s="143"/>
      <c r="H234" s="825"/>
      <c r="I234" s="473"/>
      <c r="J234" s="474"/>
      <c r="L234" s="466" t="s">
        <v>293</v>
      </c>
      <c r="M234" s="125"/>
      <c r="N234" s="127"/>
      <c r="O234" s="125"/>
      <c r="P234" s="125"/>
      <c r="Q234" s="125"/>
      <c r="R234" s="816"/>
      <c r="S234" s="473"/>
      <c r="T234" s="474"/>
      <c r="Z234"/>
      <c r="AA234" s="286"/>
    </row>
    <row r="235" spans="2:27" ht="12.75">
      <c r="B235" s="1370" t="s">
        <v>1304</v>
      </c>
      <c r="C235" s="1371"/>
      <c r="D235" s="1374"/>
      <c r="E235" s="275" t="s">
        <v>538</v>
      </c>
      <c r="F235" s="275" t="s">
        <v>226</v>
      </c>
      <c r="G235" s="276"/>
      <c r="H235" s="816"/>
      <c r="I235" s="488"/>
      <c r="J235" s="479"/>
      <c r="L235" s="1378" t="s">
        <v>1304</v>
      </c>
      <c r="M235" s="1379"/>
      <c r="N235" s="1374"/>
      <c r="O235" s="275"/>
      <c r="P235" s="275"/>
      <c r="Q235" s="276"/>
      <c r="R235" s="817"/>
      <c r="S235" s="488"/>
      <c r="T235" s="479"/>
      <c r="Z235"/>
      <c r="AA235" s="286"/>
    </row>
    <row r="236" spans="2:27" ht="15" thickBot="1">
      <c r="B236" s="1372"/>
      <c r="C236" s="1373"/>
      <c r="D236" s="1375"/>
      <c r="E236" s="807"/>
      <c r="F236" s="687">
        <f>IF($D$235=0,"",IF($C$363=2,VLOOKUP($D$235,$A$337:$E$340,4,FALSE),VLOOKUP($D$235,$A$337:$E$340,3)))</f>
      </c>
      <c r="G236" s="696">
        <f>IF($D$235=0,"",VLOOKUP($D$235,$A$336:$E$338,5))</f>
      </c>
      <c r="H236" s="767">
        <f>IF(D235=0,"",SUM($E$236*$F$236))</f>
      </c>
      <c r="I236" s="486"/>
      <c r="J236" s="494"/>
      <c r="L236" s="1328"/>
      <c r="M236" s="1329"/>
      <c r="N236" s="1375"/>
      <c r="O236" s="806"/>
      <c r="P236" s="687"/>
      <c r="Q236" s="696">
        <f>IF($N$235=0,"",VLOOKUP($N$235,$A$336:$E$338,5))</f>
      </c>
      <c r="R236" s="767">
        <f>IF($N$235=0,"",SUM(#REF!*$P$236))</f>
      </c>
      <c r="S236" s="486"/>
      <c r="T236" s="494"/>
      <c r="Z236"/>
      <c r="AA236" s="286"/>
    </row>
    <row r="237" spans="2:27" ht="12.75">
      <c r="B237" s="1326" t="s">
        <v>1411</v>
      </c>
      <c r="C237" s="1327"/>
      <c r="D237" s="1317"/>
      <c r="E237" s="1317"/>
      <c r="F237" s="1317"/>
      <c r="G237" s="618"/>
      <c r="H237" s="818"/>
      <c r="I237" s="486"/>
      <c r="J237" s="494"/>
      <c r="L237" s="1380" t="s">
        <v>1411</v>
      </c>
      <c r="M237" s="1381"/>
      <c r="N237" s="1330"/>
      <c r="O237" s="1331"/>
      <c r="P237" s="1332"/>
      <c r="Q237" s="268"/>
      <c r="R237" s="818"/>
      <c r="S237" s="486"/>
      <c r="T237" s="494"/>
      <c r="Z237"/>
      <c r="AA237" s="286"/>
    </row>
    <row r="238" spans="2:27" ht="18.75" customHeight="1" thickBot="1">
      <c r="B238" s="1328"/>
      <c r="C238" s="1329"/>
      <c r="D238" s="1318"/>
      <c r="E238" s="1318"/>
      <c r="F238" s="1318"/>
      <c r="G238" s="697">
        <f>IF($D$237=0,"",VLOOKUP($D$237,$A$320:$E$334,5))</f>
      </c>
      <c r="H238" s="819">
        <f>IF($D$237=0,"",IF($C$363=2,VLOOKUP($D$237,$A$320:$E$334,4,FALSE),VLOOKUP($D$237,$A$320:$E$334,3)))</f>
      </c>
      <c r="I238" s="486"/>
      <c r="J238" s="494"/>
      <c r="L238" s="1382"/>
      <c r="M238" s="1383"/>
      <c r="N238" s="1333"/>
      <c r="O238" s="1334"/>
      <c r="P238" s="1335"/>
      <c r="Q238" s="697">
        <f>IF($N$237=0,"",VLOOKUP($N$237,$A$320:$E$334,5))</f>
      </c>
      <c r="R238" s="819">
        <f>IF($N$237=0,"",IF($C$364=2,VLOOKUP($N$237,$A$320:$E$334,4,FALSE),VLOOKUP($N$237,$A$320:$E$334,3)))</f>
      </c>
      <c r="S238" s="486"/>
      <c r="T238" s="494"/>
      <c r="Z238"/>
      <c r="AA238" s="286"/>
    </row>
    <row r="239" spans="2:27" ht="15.75">
      <c r="B239" s="466" t="s">
        <v>448</v>
      </c>
      <c r="C239" s="268"/>
      <c r="D239" s="267"/>
      <c r="E239" s="267"/>
      <c r="F239" s="266"/>
      <c r="G239" s="266"/>
      <c r="H239" s="703"/>
      <c r="I239" s="486"/>
      <c r="J239" s="494"/>
      <c r="L239" s="466" t="s">
        <v>294</v>
      </c>
      <c r="M239" s="268"/>
      <c r="N239" s="267"/>
      <c r="O239" s="267"/>
      <c r="P239" s="266"/>
      <c r="Q239" s="266"/>
      <c r="R239" s="703"/>
      <c r="S239" s="486"/>
      <c r="T239" s="494"/>
      <c r="Z239"/>
      <c r="AA239" s="286"/>
    </row>
    <row r="240" spans="2:27" ht="15" thickBot="1">
      <c r="B240" s="809"/>
      <c r="C240" s="931"/>
      <c r="D240" s="932"/>
      <c r="E240" s="932"/>
      <c r="F240" s="933"/>
      <c r="G240" s="696">
        <f>IF($C$240=0,"",VLOOKUP($C$240,$A$343:$E$353,5))</f>
      </c>
      <c r="H240" s="819">
        <f>IF($C$240=0,"",IF($C$363=2,VLOOKUP($C$240,$A$343:$E$353,4,FALSE),VLOOKUP($C$240,$A$343:$D$353,3))*0.5)</f>
      </c>
      <c r="I240" s="486"/>
      <c r="J240" s="494"/>
      <c r="L240" s="808"/>
      <c r="M240" s="931"/>
      <c r="N240" s="932"/>
      <c r="O240" s="932"/>
      <c r="P240" s="933"/>
      <c r="Q240" s="696">
        <f>IF($M$240=0,"",VLOOKUP($M$240,$A$343:$E$353,5))</f>
      </c>
      <c r="R240" s="819">
        <f>IF($M$240=0,"",IF($C$364=2,VLOOKUP($M$240,$A$343:$E$353,4,FALSE),VLOOKUP($M$240,$A$343:$D$353,3))*0.5)</f>
      </c>
      <c r="S240" s="486"/>
      <c r="T240" s="494"/>
      <c r="Z240"/>
      <c r="AA240" s="286"/>
    </row>
    <row r="241" spans="2:20" s="286" customFormat="1" ht="6" customHeight="1">
      <c r="B241" s="688"/>
      <c r="C241" s="689"/>
      <c r="D241" s="689"/>
      <c r="E241" s="689"/>
      <c r="F241" s="689"/>
      <c r="G241" s="689"/>
      <c r="H241" s="820"/>
      <c r="I241" s="486"/>
      <c r="J241" s="494"/>
      <c r="L241" s="688"/>
      <c r="M241" s="689"/>
      <c r="N241" s="689"/>
      <c r="O241" s="689"/>
      <c r="P241" s="689"/>
      <c r="Q241" s="689"/>
      <c r="R241" s="820"/>
      <c r="S241" s="486"/>
      <c r="T241" s="494"/>
    </row>
    <row r="242" spans="2:27" ht="15.75">
      <c r="B242" s="467" t="s">
        <v>286</v>
      </c>
      <c r="C242" s="266"/>
      <c r="D242" s="266"/>
      <c r="E242" s="266"/>
      <c r="F242" s="266"/>
      <c r="G242" s="267"/>
      <c r="H242" s="703"/>
      <c r="I242" s="486"/>
      <c r="J242" s="494"/>
      <c r="L242" s="467" t="s">
        <v>286</v>
      </c>
      <c r="M242" s="266"/>
      <c r="N242" s="266"/>
      <c r="O242" s="266"/>
      <c r="P242" s="266"/>
      <c r="Q242" s="267"/>
      <c r="R242" s="703"/>
      <c r="S242" s="273"/>
      <c r="T242" s="274"/>
      <c r="Z242"/>
      <c r="AA242" s="286"/>
    </row>
    <row r="243" spans="2:27" ht="14.25">
      <c r="B243" s="269"/>
      <c r="C243" s="268"/>
      <c r="D243" s="934"/>
      <c r="E243" s="934"/>
      <c r="F243" s="934"/>
      <c r="G243" s="981"/>
      <c r="H243" s="821"/>
      <c r="I243" s="683"/>
      <c r="J243" s="810"/>
      <c r="L243" s="269"/>
      <c r="M243" s="268"/>
      <c r="N243" s="934"/>
      <c r="O243" s="934"/>
      <c r="P243" s="934"/>
      <c r="Q243" s="981"/>
      <c r="R243" s="821"/>
      <c r="S243" s="683"/>
      <c r="T243" s="810"/>
      <c r="Z243"/>
      <c r="AA243" s="286"/>
    </row>
    <row r="244" spans="2:27" ht="15" thickBot="1">
      <c r="B244" s="269"/>
      <c r="C244" s="268"/>
      <c r="D244" s="934"/>
      <c r="E244" s="934"/>
      <c r="F244" s="934"/>
      <c r="G244" s="981"/>
      <c r="H244" s="822"/>
      <c r="I244" s="685"/>
      <c r="J244" s="811"/>
      <c r="L244" s="269"/>
      <c r="M244" s="268"/>
      <c r="N244" s="934"/>
      <c r="O244" s="934"/>
      <c r="P244" s="934"/>
      <c r="Q244" s="981"/>
      <c r="R244" s="822"/>
      <c r="S244" s="685"/>
      <c r="T244" s="811"/>
      <c r="Z244"/>
      <c r="AA244" s="286"/>
    </row>
    <row r="245" spans="2:27" ht="13.5" thickTop="1">
      <c r="B245" s="269"/>
      <c r="C245" s="268"/>
      <c r="E245" s="125"/>
      <c r="F245" s="125"/>
      <c r="G245" s="458"/>
      <c r="H245" s="843"/>
      <c r="I245" s="509"/>
      <c r="J245" s="513"/>
      <c r="L245" s="269"/>
      <c r="M245" s="268"/>
      <c r="N245" s="126"/>
      <c r="O245" s="125"/>
      <c r="P245" s="125"/>
      <c r="Q245" s="458"/>
      <c r="R245" s="755"/>
      <c r="S245" s="461"/>
      <c r="T245" s="462"/>
      <c r="Z245"/>
      <c r="AA245" s="286"/>
    </row>
    <row r="246" spans="2:27" ht="12.75" hidden="1">
      <c r="B246" s="385"/>
      <c r="C246" s="376"/>
      <c r="D246" s="125"/>
      <c r="E246" s="125"/>
      <c r="F246" s="125"/>
      <c r="G246" s="125"/>
      <c r="H246" s="844">
        <f>SUM(H232-H245)</f>
        <v>0</v>
      </c>
      <c r="I246" s="487">
        <f>SUM(I232-I245)</f>
        <v>0</v>
      </c>
      <c r="J246" s="480"/>
      <c r="K246" s="289"/>
      <c r="L246" s="385"/>
      <c r="M246" s="376"/>
      <c r="N246" s="125"/>
      <c r="O246" s="125"/>
      <c r="P246" s="125"/>
      <c r="Q246" s="125"/>
      <c r="R246" s="713">
        <f>SUM(R232-R245)</f>
        <v>0</v>
      </c>
      <c r="S246" s="487">
        <f>SUM(S232-S245)</f>
        <v>0</v>
      </c>
      <c r="T246" s="480"/>
      <c r="Z246"/>
      <c r="AA246" s="286"/>
    </row>
    <row r="247" spans="2:27" ht="6" customHeight="1">
      <c r="B247" s="510"/>
      <c r="C247" s="433"/>
      <c r="D247" s="424"/>
      <c r="E247" s="424"/>
      <c r="F247" s="424"/>
      <c r="G247" s="424"/>
      <c r="H247" s="845"/>
      <c r="I247" s="487"/>
      <c r="J247" s="480"/>
      <c r="K247" s="289"/>
      <c r="L247" s="510"/>
      <c r="M247" s="433"/>
      <c r="N247" s="424"/>
      <c r="O247" s="424"/>
      <c r="P247" s="424"/>
      <c r="Q247" s="424"/>
      <c r="R247" s="713"/>
      <c r="S247" s="487"/>
      <c r="T247" s="480"/>
      <c r="Z247"/>
      <c r="AA247" s="286"/>
    </row>
    <row r="248" spans="2:27" ht="15.75">
      <c r="B248" s="428" t="s">
        <v>28</v>
      </c>
      <c r="C248" s="376"/>
      <c r="D248" s="125"/>
      <c r="E248" s="125"/>
      <c r="F248" s="125"/>
      <c r="G248" s="125"/>
      <c r="H248" s="713"/>
      <c r="I248" s="487"/>
      <c r="J248" s="480"/>
      <c r="K248" s="289"/>
      <c r="L248" s="428" t="s">
        <v>28</v>
      </c>
      <c r="M248" s="376"/>
      <c r="N248" s="125"/>
      <c r="O248" s="125"/>
      <c r="P248" s="125"/>
      <c r="Q248" s="125"/>
      <c r="R248" s="713"/>
      <c r="S248" s="487"/>
      <c r="T248" s="480"/>
      <c r="Z248"/>
      <c r="AA248" s="286"/>
    </row>
    <row r="249" spans="2:27" ht="14.25">
      <c r="B249" s="269"/>
      <c r="C249" s="694" t="s">
        <v>292</v>
      </c>
      <c r="D249" s="125"/>
      <c r="E249" s="540"/>
      <c r="F249" s="125"/>
      <c r="G249" s="125"/>
      <c r="H249" s="823"/>
      <c r="I249" s="489"/>
      <c r="J249" s="480"/>
      <c r="K249" s="289"/>
      <c r="L249" s="269"/>
      <c r="M249" s="694" t="s">
        <v>292</v>
      </c>
      <c r="N249" s="125"/>
      <c r="O249" s="540"/>
      <c r="P249" s="125"/>
      <c r="Q249" s="125"/>
      <c r="R249" s="823"/>
      <c r="S249" s="489"/>
      <c r="T249" s="480"/>
      <c r="Z249"/>
      <c r="AA249" s="286"/>
    </row>
    <row r="250" spans="2:27" ht="14.25">
      <c r="B250" s="146"/>
      <c r="C250" s="125"/>
      <c r="D250" s="125"/>
      <c r="E250" s="603" t="s">
        <v>288</v>
      </c>
      <c r="F250" s="504">
        <f>IF($R$69=0,"",SUM($H$246/$R$69))</f>
      </c>
      <c r="G250" s="159" t="s">
        <v>1060</v>
      </c>
      <c r="H250" s="823"/>
      <c r="I250" s="489"/>
      <c r="J250" s="480"/>
      <c r="K250" s="289"/>
      <c r="L250" s="146"/>
      <c r="M250" s="125"/>
      <c r="N250" s="125"/>
      <c r="O250" s="603" t="s">
        <v>288</v>
      </c>
      <c r="P250" s="504">
        <f>IF(R69=0,"",SUM(R246/R69))</f>
      </c>
      <c r="Q250" s="159" t="s">
        <v>1060</v>
      </c>
      <c r="R250" s="823"/>
      <c r="S250" s="489"/>
      <c r="T250" s="480"/>
      <c r="Z250"/>
      <c r="AA250" s="286"/>
    </row>
    <row r="251" spans="2:27" ht="14.25">
      <c r="B251" s="270"/>
      <c r="C251" s="184"/>
      <c r="D251" s="265"/>
      <c r="E251" s="785" t="s">
        <v>289</v>
      </c>
      <c r="F251" s="504">
        <f>IF($S$69=0,"",SUM($I$246/$S$69))</f>
      </c>
      <c r="G251" s="159" t="s">
        <v>1060</v>
      </c>
      <c r="H251" s="817"/>
      <c r="I251" s="488"/>
      <c r="J251" s="479"/>
      <c r="K251" s="290"/>
      <c r="L251" s="270"/>
      <c r="M251" s="184"/>
      <c r="N251" s="265"/>
      <c r="O251" s="785" t="s">
        <v>289</v>
      </c>
      <c r="P251" s="504">
        <f>IF(S69=0,"",SUM(S246/S69))</f>
      </c>
      <c r="Q251" s="159" t="s">
        <v>1060</v>
      </c>
      <c r="R251" s="817"/>
      <c r="S251" s="475"/>
      <c r="T251" s="476"/>
      <c r="Z251"/>
      <c r="AA251" s="286"/>
    </row>
    <row r="252" spans="2:27" ht="15.75">
      <c r="B252" s="270"/>
      <c r="C252" s="184"/>
      <c r="D252" s="184"/>
      <c r="E252" s="369" t="s">
        <v>174</v>
      </c>
      <c r="F252" s="543"/>
      <c r="G252" s="512" t="s">
        <v>1060</v>
      </c>
      <c r="H252" s="748">
        <f>SUM($R$69*$F$252)</f>
        <v>0</v>
      </c>
      <c r="I252" s="137">
        <f>SUM($F$252*$S$69)</f>
        <v>0</v>
      </c>
      <c r="J252" s="169">
        <f>SUM($F$252*$T$69)</f>
        <v>0</v>
      </c>
      <c r="K252" s="291"/>
      <c r="L252" s="270"/>
      <c r="M252" s="184"/>
      <c r="N252" s="184"/>
      <c r="O252" s="369" t="s">
        <v>174</v>
      </c>
      <c r="P252" s="543"/>
      <c r="Q252" s="512" t="s">
        <v>1060</v>
      </c>
      <c r="R252" s="748">
        <f>SUM($R$69*$P$252)</f>
        <v>0</v>
      </c>
      <c r="S252" s="137">
        <f>SUM($S$69*$P$252)</f>
        <v>0</v>
      </c>
      <c r="T252" s="169">
        <f>SUM($T$69*$P$252)</f>
        <v>0</v>
      </c>
      <c r="Z252"/>
      <c r="AA252" s="286"/>
    </row>
    <row r="253" spans="2:20" s="286" customFormat="1" ht="6" customHeight="1">
      <c r="B253" s="463"/>
      <c r="C253" s="527"/>
      <c r="D253" s="527"/>
      <c r="E253" s="528"/>
      <c r="F253" s="529"/>
      <c r="G253" s="527"/>
      <c r="H253" s="824"/>
      <c r="I253" s="499"/>
      <c r="J253" s="483"/>
      <c r="K253" s="291"/>
      <c r="L253" s="463"/>
      <c r="M253" s="527"/>
      <c r="N253" s="527"/>
      <c r="O253" s="528"/>
      <c r="P253" s="529"/>
      <c r="Q253" s="527"/>
      <c r="R253" s="824"/>
      <c r="S253" s="499"/>
      <c r="T253" s="445"/>
    </row>
    <row r="254" spans="2:27" ht="15.75">
      <c r="B254" s="450" t="s">
        <v>29</v>
      </c>
      <c r="C254" s="501"/>
      <c r="D254" s="501"/>
      <c r="E254" s="501"/>
      <c r="F254" s="501"/>
      <c r="G254" s="501"/>
      <c r="H254" s="816"/>
      <c r="I254" s="488"/>
      <c r="J254" s="479"/>
      <c r="L254" s="450" t="s">
        <v>29</v>
      </c>
      <c r="M254" s="501"/>
      <c r="N254" s="501"/>
      <c r="O254" s="501"/>
      <c r="P254" s="501"/>
      <c r="Q254" s="501"/>
      <c r="R254" s="816"/>
      <c r="S254" s="488"/>
      <c r="T254" s="479"/>
      <c r="Z254"/>
      <c r="AA254" s="286"/>
    </row>
    <row r="255" spans="2:27" ht="14.25">
      <c r="B255" s="269"/>
      <c r="C255" s="694" t="s">
        <v>292</v>
      </c>
      <c r="D255" s="125"/>
      <c r="E255" s="540"/>
      <c r="F255" s="268"/>
      <c r="G255" s="125"/>
      <c r="H255" s="816"/>
      <c r="I255" s="488"/>
      <c r="J255" s="378"/>
      <c r="L255" s="269"/>
      <c r="M255" s="694" t="s">
        <v>292</v>
      </c>
      <c r="N255" s="125"/>
      <c r="O255" s="540"/>
      <c r="P255" s="268"/>
      <c r="Q255" s="125"/>
      <c r="R255" s="816"/>
      <c r="S255" s="488"/>
      <c r="T255" s="479"/>
      <c r="Z255"/>
      <c r="AA255" s="286"/>
    </row>
    <row r="256" spans="2:27" ht="14.25">
      <c r="B256" s="269"/>
      <c r="C256" s="125"/>
      <c r="D256" s="125"/>
      <c r="E256" s="603" t="s">
        <v>288</v>
      </c>
      <c r="F256" s="505">
        <f>IF($R$92=0,"",SUM($H$246/AgLiquids!F81))</f>
      </c>
      <c r="G256" s="296" t="s">
        <v>1432</v>
      </c>
      <c r="H256" s="816"/>
      <c r="I256" s="488"/>
      <c r="J256" s="378"/>
      <c r="L256" s="269"/>
      <c r="M256" s="125"/>
      <c r="N256" s="125"/>
      <c r="O256" s="603" t="s">
        <v>288</v>
      </c>
      <c r="P256" s="505">
        <f>IF(R92=0,"",SUM(R246/AgLiquids!F81))</f>
      </c>
      <c r="Q256" s="296" t="s">
        <v>1432</v>
      </c>
      <c r="R256" s="816"/>
      <c r="S256" s="488"/>
      <c r="T256" s="479"/>
      <c r="Z256"/>
      <c r="AA256" s="286"/>
    </row>
    <row r="257" spans="2:27" ht="14.25">
      <c r="B257" s="271"/>
      <c r="C257" s="184"/>
      <c r="D257" s="265"/>
      <c r="E257" s="785" t="s">
        <v>289</v>
      </c>
      <c r="F257" s="505">
        <f>IF($S$92=0,"",SUM($I$246/AgLiquids!F82))</f>
      </c>
      <c r="G257" s="296" t="s">
        <v>1432</v>
      </c>
      <c r="H257" s="817"/>
      <c r="I257" s="475"/>
      <c r="J257" s="476"/>
      <c r="L257" s="271"/>
      <c r="M257" s="184"/>
      <c r="N257" s="265"/>
      <c r="O257" s="785" t="s">
        <v>289</v>
      </c>
      <c r="P257" s="505">
        <f>IF(R92=0,"",SUM(S246/AgLiquids!F82))</f>
      </c>
      <c r="Q257" s="296" t="s">
        <v>1432</v>
      </c>
      <c r="R257" s="817"/>
      <c r="S257" s="475"/>
      <c r="T257" s="476"/>
      <c r="Z257"/>
      <c r="AA257" s="286"/>
    </row>
    <row r="258" spans="2:27" ht="15.75">
      <c r="B258" s="1087" t="s">
        <v>174</v>
      </c>
      <c r="C258" s="1088"/>
      <c r="D258" s="1089"/>
      <c r="E258" s="543"/>
      <c r="F258" s="982" t="s">
        <v>1432</v>
      </c>
      <c r="G258" s="983"/>
      <c r="H258" s="827">
        <f>SUM($E$258*$R$92)</f>
        <v>0</v>
      </c>
      <c r="I258" s="298">
        <f>SUM($E$258*$S$92)</f>
        <v>0</v>
      </c>
      <c r="J258" s="299">
        <f>SUM($E$258*$T$92)</f>
        <v>0</v>
      </c>
      <c r="L258" s="1087" t="s">
        <v>174</v>
      </c>
      <c r="M258" s="1088"/>
      <c r="N258" s="1089"/>
      <c r="O258" s="544"/>
      <c r="P258" s="982" t="s">
        <v>1432</v>
      </c>
      <c r="Q258" s="983"/>
      <c r="R258" s="750">
        <f>IF(R92=0,0,SUM($O$258*AgLiquids!F81))</f>
        <v>0</v>
      </c>
      <c r="S258" s="425">
        <f>IF(S92=0,0,SUM($O$258*AgLiquids!F82))</f>
        <v>0</v>
      </c>
      <c r="T258" s="426">
        <f>IF(T92=0,0,SUM($O$258*AgLiquids!F83))</f>
        <v>0</v>
      </c>
      <c r="Z258"/>
      <c r="AA258" s="286"/>
    </row>
    <row r="259" spans="2:27" ht="6" customHeight="1">
      <c r="B259" s="441"/>
      <c r="C259" s="442"/>
      <c r="D259" s="442"/>
      <c r="E259" s="495"/>
      <c r="F259" s="495"/>
      <c r="G259" s="495"/>
      <c r="H259" s="824"/>
      <c r="I259" s="499"/>
      <c r="J259" s="483"/>
      <c r="L259" s="441"/>
      <c r="M259" s="442"/>
      <c r="N259" s="442"/>
      <c r="O259" s="495"/>
      <c r="P259" s="495"/>
      <c r="Q259" s="495"/>
      <c r="R259" s="751"/>
      <c r="S259" s="444"/>
      <c r="T259" s="445"/>
      <c r="Z259"/>
      <c r="AA259" s="286"/>
    </row>
    <row r="260" spans="2:27" ht="15.75">
      <c r="B260" s="423" t="s">
        <v>1082</v>
      </c>
      <c r="C260" s="297"/>
      <c r="D260" s="297"/>
      <c r="E260" s="297"/>
      <c r="F260" s="297"/>
      <c r="G260" s="297"/>
      <c r="H260" s="826"/>
      <c r="I260" s="511"/>
      <c r="J260" s="514"/>
      <c r="K260" s="5"/>
      <c r="L260" s="423" t="s">
        <v>1082</v>
      </c>
      <c r="M260" s="297"/>
      <c r="N260" s="297"/>
      <c r="O260" s="297"/>
      <c r="P260" s="297"/>
      <c r="Q260" s="297"/>
      <c r="R260" s="688"/>
      <c r="S260" s="444"/>
      <c r="T260" s="445"/>
      <c r="Z260"/>
      <c r="AA260" s="286"/>
    </row>
    <row r="261" spans="2:27" ht="12.75">
      <c r="B261" s="1064"/>
      <c r="C261" s="1065"/>
      <c r="D261" s="1065"/>
      <c r="E261" s="1066"/>
      <c r="F261" s="157"/>
      <c r="G261" s="698">
        <f>IF(B261="","",VLOOKUP(B261,$T$313:$V$322,3,FALSE))</f>
      </c>
      <c r="H261" s="849">
        <f>IF($B$261="",,SUM($F$261*VLOOKUP($B$261,$T$313:$Z$322,4))/100)</f>
        <v>0</v>
      </c>
      <c r="I261" s="154">
        <f>IF($B$261="",,SUM($F$261*VLOOKUP($B$261,$T$312:$Z$323,5))/100)</f>
        <v>0</v>
      </c>
      <c r="J261" s="178">
        <f>IF($B$261="",,SUM($F$261*VLOOKUP($B$261,$T$312:$Z$323,6))/100)</f>
        <v>0</v>
      </c>
      <c r="K261" s="5"/>
      <c r="L261" s="1064"/>
      <c r="M261" s="1065"/>
      <c r="N261" s="1065"/>
      <c r="O261" s="1066"/>
      <c r="P261" s="153"/>
      <c r="Q261" s="698">
        <f>IF(L261="","",VLOOKUP(L261,$T$313:$V$322,3,FALSE))</f>
      </c>
      <c r="R261" s="724">
        <f>IF($L$261="",,SUM($P$261*VLOOKUP($L$261,$T$312:$Z$323,4))/100)</f>
        <v>0</v>
      </c>
      <c r="S261" s="133">
        <f>IF($L$261="",,SUM($P$261*VLOOKUP($L$261,$T$312:$Z$323,5))/100)</f>
        <v>0</v>
      </c>
      <c r="T261" s="176">
        <f>IF($L$261="",,SUM($P$261*VLOOKUP($L$261,$T$312:$Z$323,6))/100)</f>
        <v>0</v>
      </c>
      <c r="Z261"/>
      <c r="AA261" s="286"/>
    </row>
    <row r="262" spans="2:27" ht="12.75">
      <c r="B262" s="935"/>
      <c r="C262" s="936"/>
      <c r="D262" s="936"/>
      <c r="E262" s="930"/>
      <c r="F262" s="149"/>
      <c r="G262" s="698">
        <f>IF(B262="","",VLOOKUP(B262,$T$313:$V$322,3,FALSE))</f>
      </c>
      <c r="H262" s="849">
        <f>IF($B$262="",,SUM($F$262*VLOOKUP($B$262,$T$314:$Z$323,4))/100)</f>
        <v>0</v>
      </c>
      <c r="I262" s="154">
        <f>IF($B$262="",,SUM($F$262*VLOOKUP($B$262,$T$312:$Z$323,5))/100)</f>
        <v>0</v>
      </c>
      <c r="J262" s="178">
        <f>IF($B$262="",,SUM($F$262*VLOOKUP($B$262,$T$312:$Z$323,6))/100)</f>
        <v>0</v>
      </c>
      <c r="K262" s="5"/>
      <c r="L262" s="935"/>
      <c r="M262" s="936"/>
      <c r="N262" s="936"/>
      <c r="O262" s="930"/>
      <c r="P262" s="152"/>
      <c r="Q262" s="698">
        <f>IF(L262="","",VLOOKUP(L262,$T$313:$V$322,3,FALSE))</f>
      </c>
      <c r="R262" s="724">
        <f>IF($L$262="",,SUM($P$262*VLOOKUP($L$262,$T$312:$Z$323,4))/100)</f>
        <v>0</v>
      </c>
      <c r="S262" s="133">
        <f>IF($L$262="",,SUM($P$262*VLOOKUP($L$262,$T$312:$Z$323,5))/100)</f>
        <v>0</v>
      </c>
      <c r="T262" s="176">
        <f>IF($L$262="",,SUM($P$262*VLOOKUP($L$262,$T$312:$Z$323,6))/100)</f>
        <v>0</v>
      </c>
      <c r="Z262"/>
      <c r="AA262" s="286"/>
    </row>
    <row r="263" spans="2:27" ht="12.75">
      <c r="B263" s="935"/>
      <c r="C263" s="936"/>
      <c r="D263" s="936"/>
      <c r="E263" s="930"/>
      <c r="F263" s="149"/>
      <c r="G263" s="698">
        <f>IF(B263="","",VLOOKUP(B263,$T$313:$V$322,3,FALSE))</f>
      </c>
      <c r="H263" s="849">
        <f>IF($B$263="",,SUM($F$263*VLOOKUP($B$263,$T$314:$Z$323,4))/100)</f>
        <v>0</v>
      </c>
      <c r="I263" s="154">
        <f>IF($B$263="",,SUM($F$263*VLOOKUP($B$263,$T$312:$Z$323,5))/100)</f>
        <v>0</v>
      </c>
      <c r="J263" s="178">
        <f>IF($B$263="",,SUM($F$263*VLOOKUP($B$263,$T$312:$Z$323,6))/100)</f>
        <v>0</v>
      </c>
      <c r="K263" s="5"/>
      <c r="L263" s="935"/>
      <c r="M263" s="936"/>
      <c r="N263" s="936"/>
      <c r="O263" s="930"/>
      <c r="P263" s="152"/>
      <c r="Q263" s="698">
        <f>IF(L263="","",VLOOKUP(L263,$T$313:$V$322,3,FALSE))</f>
      </c>
      <c r="R263" s="724">
        <f>IF($L$263="",,SUM($P$263*VLOOKUP($L$263,$T$312:$Z$323,4))/100)</f>
        <v>0</v>
      </c>
      <c r="S263" s="133">
        <f>IF($L$263="",,SUM($P$263*VLOOKUP($L$263,$T$312:$Z$323,5))/100)</f>
        <v>0</v>
      </c>
      <c r="T263" s="176">
        <f>IF($L$263="",,SUM($P$263*VLOOKUP($L$263,$T$312:$Z$323,6))/100)</f>
        <v>0</v>
      </c>
      <c r="Z263"/>
      <c r="AA263" s="286"/>
    </row>
    <row r="264" spans="2:26" ht="12.75">
      <c r="B264" s="1075"/>
      <c r="C264" s="1076"/>
      <c r="D264" s="1076"/>
      <c r="E264" s="1077"/>
      <c r="F264" s="678"/>
      <c r="G264" s="698" t="s">
        <v>1063</v>
      </c>
      <c r="H264" s="914"/>
      <c r="I264" s="915"/>
      <c r="J264" s="917"/>
      <c r="K264" s="291"/>
      <c r="L264" s="1075"/>
      <c r="M264" s="1076"/>
      <c r="N264" s="1076"/>
      <c r="O264" s="1077"/>
      <c r="P264" s="678"/>
      <c r="Q264" s="698" t="s">
        <v>1063</v>
      </c>
      <c r="R264" s="914"/>
      <c r="S264" s="915"/>
      <c r="T264" s="917"/>
      <c r="Z264"/>
    </row>
    <row r="265" spans="2:26" ht="13.5" thickBot="1">
      <c r="B265" s="1075"/>
      <c r="C265" s="1076"/>
      <c r="D265" s="1076"/>
      <c r="E265" s="1077"/>
      <c r="F265" s="678"/>
      <c r="G265" s="698" t="s">
        <v>1063</v>
      </c>
      <c r="H265" s="912"/>
      <c r="I265" s="913"/>
      <c r="J265" s="916"/>
      <c r="K265" s="291"/>
      <c r="L265" s="1075"/>
      <c r="M265" s="1076"/>
      <c r="N265" s="1076"/>
      <c r="O265" s="1077"/>
      <c r="P265" s="678"/>
      <c r="Q265" s="698" t="s">
        <v>1063</v>
      </c>
      <c r="R265" s="912"/>
      <c r="S265" s="913"/>
      <c r="T265" s="916"/>
      <c r="Z265"/>
    </row>
    <row r="266" spans="2:27" ht="13.5" thickTop="1">
      <c r="B266" s="177"/>
      <c r="C266" s="6"/>
      <c r="D266" s="5"/>
      <c r="E266" s="279"/>
      <c r="F266" s="279"/>
      <c r="G266" s="279" t="s">
        <v>1385</v>
      </c>
      <c r="H266" s="850"/>
      <c r="I266" s="155"/>
      <c r="J266" s="179"/>
      <c r="K266" s="5"/>
      <c r="L266" s="177"/>
      <c r="M266" s="6"/>
      <c r="N266" s="6"/>
      <c r="O266" s="279"/>
      <c r="P266" s="279"/>
      <c r="Q266" s="279" t="s">
        <v>1385</v>
      </c>
      <c r="R266" s="725"/>
      <c r="S266" s="134"/>
      <c r="T266" s="170"/>
      <c r="Z266"/>
      <c r="AA266" s="286"/>
    </row>
    <row r="267" spans="2:27" ht="13.5" thickBot="1">
      <c r="B267" s="177"/>
      <c r="C267" s="6"/>
      <c r="D267" s="5"/>
      <c r="E267" s="5"/>
      <c r="F267" s="191"/>
      <c r="G267" s="191" t="s">
        <v>1384</v>
      </c>
      <c r="H267" s="851">
        <f>SUM($H$245+$H$266)</f>
        <v>0</v>
      </c>
      <c r="I267" s="156">
        <f>SUM($I$245+$I$266)</f>
        <v>0</v>
      </c>
      <c r="J267" s="180">
        <f>SUM($J$245+$J$266)</f>
        <v>0</v>
      </c>
      <c r="K267" s="5"/>
      <c r="L267" s="177"/>
      <c r="M267" s="6"/>
      <c r="N267" s="6"/>
      <c r="O267" s="6"/>
      <c r="P267" s="191"/>
      <c r="Q267" s="191" t="s">
        <v>1384</v>
      </c>
      <c r="R267" s="726">
        <f>SUM($R$245+$R$266)</f>
        <v>0</v>
      </c>
      <c r="S267" s="140">
        <f>SUM($S$245+$S$266)</f>
        <v>0</v>
      </c>
      <c r="T267" s="171">
        <f>SUM($T$245+$T$266)</f>
        <v>0</v>
      </c>
      <c r="Z267"/>
      <c r="AA267" s="286"/>
    </row>
    <row r="268" spans="2:27" ht="13.5" customHeight="1" thickBot="1" thickTop="1">
      <c r="B268" s="177"/>
      <c r="C268" s="6"/>
      <c r="D268" s="828"/>
      <c r="E268" s="828"/>
      <c r="F268" s="828"/>
      <c r="G268" s="782" t="s">
        <v>859</v>
      </c>
      <c r="H268" s="852">
        <f>SUM($H$267-$H$232)</f>
        <v>0</v>
      </c>
      <c r="I268" s="911">
        <f>SUM($I$267-$I$232)</f>
        <v>0</v>
      </c>
      <c r="J268" s="181">
        <f>SUM($J$267-$J$232)</f>
        <v>0</v>
      </c>
      <c r="K268" s="5"/>
      <c r="L268" s="177"/>
      <c r="M268" s="6"/>
      <c r="N268" s="828"/>
      <c r="O268" s="828"/>
      <c r="P268" s="828"/>
      <c r="Q268" s="782" t="s">
        <v>859</v>
      </c>
      <c r="R268" s="848">
        <f>SUM($R$267-$R$232)</f>
        <v>0</v>
      </c>
      <c r="S268" s="728">
        <f>SUM($S$267-$S$232)</f>
        <v>0</v>
      </c>
      <c r="T268" s="172">
        <f>SUM($T$267-$T$232)</f>
        <v>0</v>
      </c>
      <c r="Z268"/>
      <c r="AA268" s="286"/>
    </row>
    <row r="269" spans="2:27" ht="13.5" thickBot="1">
      <c r="B269" s="177"/>
      <c r="C269" s="6"/>
      <c r="D269" s="828"/>
      <c r="E269" s="828"/>
      <c r="F269" s="828"/>
      <c r="G269" s="923" t="s">
        <v>860</v>
      </c>
      <c r="H269" s="853">
        <f>IF($H$232=0,"",IF($H$268=0,"OK",IF($H$267&lt;$H$232,$D$310,IF($H$267&gt;($H$232),$D$309))))</f>
      </c>
      <c r="I269" s="853">
        <f>IF($I$232=0,"",IF($I$268=0,"OK",IF($I$267&lt;$I$232,$D$310,IF($I$267&gt;($I$232),$D$309))))</f>
      </c>
      <c r="J269" s="853">
        <f>IF($J$232=0,"",IF($J$268=0,"OK",IF($J$267&lt;$J$232,$D$310,IF($J$267&gt;($J$232),$D$309))))</f>
      </c>
      <c r="K269" s="5"/>
      <c r="L269" s="177"/>
      <c r="M269" s="6"/>
      <c r="N269" s="828"/>
      <c r="O269" s="828"/>
      <c r="P269" s="828"/>
      <c r="Q269" s="923" t="s">
        <v>860</v>
      </c>
      <c r="R269" s="853">
        <f>IF($R$232=0,"",IF($R$268=0,"OK",IF($R$267&lt;$R$232,$D$310,IF($R$267&gt;($R$232),$D$309))))</f>
      </c>
      <c r="S269" s="760">
        <f>IF($S$232=0,"",IF($S$268=0,"OK",IF($S$267&lt;$S$232,$D$310,IF($S$267&gt;($S$232),$D$309))))</f>
      </c>
      <c r="T269" s="760">
        <f>IF($T$232=0,"",IF($T$268=0,"OK",IF($T$267&lt;$T$232,$D$310,IF($T$267&gt;($T$232),$D$309))))</f>
      </c>
      <c r="Z269"/>
      <c r="AA269" s="286"/>
    </row>
    <row r="270" spans="2:27" ht="15.75">
      <c r="B270" s="941" t="s">
        <v>1437</v>
      </c>
      <c r="C270" s="942"/>
      <c r="D270" s="942"/>
      <c r="E270" s="942"/>
      <c r="F270" s="943"/>
      <c r="G270" s="373"/>
      <c r="H270" s="6"/>
      <c r="I270" s="6"/>
      <c r="J270" s="6"/>
      <c r="K270" s="404"/>
      <c r="L270" s="941" t="s">
        <v>1437</v>
      </c>
      <c r="M270" s="942"/>
      <c r="N270" s="942"/>
      <c r="O270" s="942"/>
      <c r="P270" s="943"/>
      <c r="Q270" s="373"/>
      <c r="R270" s="125"/>
      <c r="S270" s="125"/>
      <c r="T270" s="175"/>
      <c r="Z270"/>
      <c r="AA270" s="286"/>
    </row>
    <row r="271" spans="2:27" ht="15.75">
      <c r="B271" s="146"/>
      <c r="C271" s="125"/>
      <c r="D271" s="280"/>
      <c r="E271" s="779"/>
      <c r="F271" s="779"/>
      <c r="G271" s="535"/>
      <c r="H271" s="780" t="s">
        <v>442</v>
      </c>
      <c r="I271" s="829">
        <f>IF($B$11=0,"",IF($F250=0,"",IF($R$69&gt;0,$L$79/$F$250,IF($R$92&gt;0,$P$96/($F$256*1000),"0"))))</f>
      </c>
      <c r="J271" s="834" t="s">
        <v>239</v>
      </c>
      <c r="K271" s="837"/>
      <c r="L271" s="146"/>
      <c r="M271" s="125"/>
      <c r="N271" s="280"/>
      <c r="O271" s="779"/>
      <c r="P271" s="779"/>
      <c r="Q271" s="535"/>
      <c r="R271" s="780" t="s">
        <v>442</v>
      </c>
      <c r="S271" s="829">
        <f>IF($B$12=0,"",IF($P250=0,"",IF($R$69&gt;0,$L$79/$P$250,IF($R$92&gt;0,$P$96/($P$256*1000),"0"))))</f>
      </c>
      <c r="T271" s="926" t="s">
        <v>239</v>
      </c>
      <c r="U271" s="146"/>
      <c r="Z271"/>
      <c r="AA271" s="286"/>
    </row>
    <row r="272" spans="2:27" ht="15.75">
      <c r="B272" s="146"/>
      <c r="C272" s="125"/>
      <c r="D272" s="280"/>
      <c r="E272" s="779"/>
      <c r="F272" s="779"/>
      <c r="G272" s="535"/>
      <c r="H272" s="780" t="s">
        <v>443</v>
      </c>
      <c r="I272" s="829">
        <f>IF($B$11=0,"",IF($S$69&gt;0,$L$79/$F$251,IF($S$92&gt;0,$P$96/($F$257*1000),"0")))</f>
      </c>
      <c r="J272" s="834" t="s">
        <v>239</v>
      </c>
      <c r="K272" s="837"/>
      <c r="L272" s="146"/>
      <c r="M272" s="125"/>
      <c r="N272" s="280"/>
      <c r="O272" s="779"/>
      <c r="P272" s="779"/>
      <c r="Q272" s="535"/>
      <c r="R272" s="780" t="s">
        <v>443</v>
      </c>
      <c r="S272" s="829">
        <f>IF($B$12=0,"",IF($S$69&gt;0,$L$79/$P$251,IF($S$92&gt;0,$P$96/($P$257*1000),"0")))</f>
      </c>
      <c r="T272" s="926" t="s">
        <v>239</v>
      </c>
      <c r="U272" s="146"/>
      <c r="Z272"/>
      <c r="AA272" s="286"/>
    </row>
    <row r="273" spans="2:27" ht="16.5" thickBot="1">
      <c r="B273" s="146"/>
      <c r="C273" s="125"/>
      <c r="D273" s="280"/>
      <c r="E273" s="831" t="s">
        <v>1438</v>
      </c>
      <c r="F273" s="769">
        <f>IF(F252&gt;0,"Solid",IF(E258&gt;0,"Liquid",""))</f>
      </c>
      <c r="G273" s="1376" t="s">
        <v>1099</v>
      </c>
      <c r="H273" s="1377"/>
      <c r="I273" s="830">
        <f>IF($E$58=0,,IF($F$252&gt;0,$L$79/$F$252,IF($E$258&gt;0,$P$96/($E$258*1000),"")))</f>
        <v>0</v>
      </c>
      <c r="J273" s="835" t="s">
        <v>239</v>
      </c>
      <c r="K273" s="837"/>
      <c r="L273" s="146"/>
      <c r="M273" s="125"/>
      <c r="N273" s="280"/>
      <c r="O273" s="831" t="s">
        <v>1438</v>
      </c>
      <c r="P273" s="769">
        <f>IF(P252&gt;0,"Solid",IF(O258&gt;0,"Liquid",""))</f>
      </c>
      <c r="Q273" s="1376" t="s">
        <v>1099</v>
      </c>
      <c r="R273" s="1377"/>
      <c r="S273" s="830">
        <f>IF($E$58=0,,IF($P$252&gt;0,$L$79/$P$252,IF($O$258&gt;0,$P$96/($O$258*1000),"")))</f>
        <v>0</v>
      </c>
      <c r="T273" s="731" t="s">
        <v>239</v>
      </c>
      <c r="U273" s="146"/>
      <c r="Z273"/>
      <c r="AA273" s="286"/>
    </row>
    <row r="274" spans="2:27" ht="13.5" thickBot="1">
      <c r="B274" s="146"/>
      <c r="C274" s="125"/>
      <c r="D274" s="280"/>
      <c r="E274" s="386"/>
      <c r="F274" s="386"/>
      <c r="G274" s="386"/>
      <c r="H274" s="3"/>
      <c r="I274" s="3"/>
      <c r="J274" s="175"/>
      <c r="K274" s="288"/>
      <c r="L274" s="146"/>
      <c r="M274" s="125"/>
      <c r="N274" s="125"/>
      <c r="O274" s="370"/>
      <c r="P274" s="370"/>
      <c r="Q274" s="370"/>
      <c r="R274" s="125"/>
      <c r="S274" s="125"/>
      <c r="T274" s="145"/>
      <c r="Z274"/>
      <c r="AA274" s="286"/>
    </row>
    <row r="275" spans="2:27" ht="12.75">
      <c r="B275" s="1055">
        <f>IF($H$268=0,"",IF($H$268&gt;$E$385,$B$395,$B$397))</f>
      </c>
      <c r="C275" s="1056"/>
      <c r="D275" s="1056"/>
      <c r="E275" s="1056"/>
      <c r="F275" s="1056"/>
      <c r="G275" s="1056"/>
      <c r="H275" s="1056"/>
      <c r="I275" s="1056"/>
      <c r="J275" s="1057"/>
      <c r="K275" s="268"/>
      <c r="L275" s="1055">
        <f>IF($R$268=0,"",IF($R$268&gt;$E$385,$B$395,$B$397))</f>
      </c>
      <c r="M275" s="1056"/>
      <c r="N275" s="1056"/>
      <c r="O275" s="1056"/>
      <c r="P275" s="1056"/>
      <c r="Q275" s="1056"/>
      <c r="R275" s="1056"/>
      <c r="S275" s="1056"/>
      <c r="T275" s="1057"/>
      <c r="Z275"/>
      <c r="AA275" s="286"/>
    </row>
    <row r="276" spans="2:27" ht="12.75">
      <c r="B276" s="1058"/>
      <c r="C276" s="1059"/>
      <c r="D276" s="1059"/>
      <c r="E276" s="1059"/>
      <c r="F276" s="1059"/>
      <c r="G276" s="1059"/>
      <c r="H276" s="1059"/>
      <c r="I276" s="1059"/>
      <c r="J276" s="1060"/>
      <c r="K276" s="268"/>
      <c r="L276" s="1058"/>
      <c r="M276" s="1059"/>
      <c r="N276" s="1059"/>
      <c r="O276" s="1059"/>
      <c r="P276" s="1059"/>
      <c r="Q276" s="1059"/>
      <c r="R276" s="1059"/>
      <c r="S276" s="1059"/>
      <c r="T276" s="1060"/>
      <c r="Z276"/>
      <c r="AA276" s="286"/>
    </row>
    <row r="277" spans="2:27" ht="15" customHeight="1">
      <c r="B277" s="1061">
        <f>IF($I$268=0,"",IF($I$268&gt;$E$386,$B$396,$B$398))</f>
      </c>
      <c r="C277" s="1062"/>
      <c r="D277" s="1062"/>
      <c r="E277" s="1062"/>
      <c r="F277" s="1062"/>
      <c r="G277" s="1062"/>
      <c r="H277" s="1062"/>
      <c r="I277" s="1062"/>
      <c r="J277" s="1063"/>
      <c r="K277" s="268"/>
      <c r="L277" s="1061">
        <f>IF($S$268=0,"",IF($S$268&gt;$E$386,$B$396,$B$398))</f>
      </c>
      <c r="M277" s="1062"/>
      <c r="N277" s="1062"/>
      <c r="O277" s="1062"/>
      <c r="P277" s="1062"/>
      <c r="Q277" s="1062"/>
      <c r="R277" s="1062"/>
      <c r="S277" s="1062"/>
      <c r="T277" s="1063"/>
      <c r="Z277"/>
      <c r="AA277" s="286"/>
    </row>
    <row r="278" spans="2:27" ht="15" customHeight="1">
      <c r="B278" s="1058"/>
      <c r="C278" s="1059"/>
      <c r="D278" s="1059"/>
      <c r="E278" s="1059"/>
      <c r="F278" s="1059"/>
      <c r="G278" s="1059"/>
      <c r="H278" s="1059"/>
      <c r="I278" s="1059"/>
      <c r="J278" s="1060"/>
      <c r="K278" s="268"/>
      <c r="L278" s="1058"/>
      <c r="M278" s="1059"/>
      <c r="N278" s="1059"/>
      <c r="O278" s="1059"/>
      <c r="P278" s="1059"/>
      <c r="Q278" s="1059"/>
      <c r="R278" s="1059"/>
      <c r="S278" s="1059"/>
      <c r="T278" s="1060"/>
      <c r="Z278"/>
      <c r="AA278" s="286"/>
    </row>
    <row r="279" spans="2:27" s="132" customFormat="1" ht="15" customHeight="1" thickBot="1">
      <c r="B279" s="854" t="s">
        <v>312</v>
      </c>
      <c r="C279" s="304"/>
      <c r="D279" s="304"/>
      <c r="E279" s="304"/>
      <c r="F279" s="304"/>
      <c r="G279" s="304"/>
      <c r="H279" s="304"/>
      <c r="I279" s="304"/>
      <c r="J279" s="855"/>
      <c r="K279" s="570"/>
      <c r="L279" s="854" t="s">
        <v>312</v>
      </c>
      <c r="M279" s="304"/>
      <c r="N279" s="304"/>
      <c r="O279" s="304"/>
      <c r="P279" s="304"/>
      <c r="Q279" s="304"/>
      <c r="R279" s="304"/>
      <c r="S279" s="304"/>
      <c r="T279" s="571"/>
      <c r="AA279" s="572"/>
    </row>
    <row r="280" spans="2:27" ht="12.75">
      <c r="B280" s="1078"/>
      <c r="C280" s="1079"/>
      <c r="D280" s="1079"/>
      <c r="E280" s="1079"/>
      <c r="F280" s="1079"/>
      <c r="G280" s="1079"/>
      <c r="H280" s="1079"/>
      <c r="I280" s="1079"/>
      <c r="J280" s="1080"/>
      <c r="K280" s="146"/>
      <c r="L280" s="1078"/>
      <c r="M280" s="1079"/>
      <c r="N280" s="1079"/>
      <c r="O280" s="1079"/>
      <c r="P280" s="1079"/>
      <c r="Q280" s="1079"/>
      <c r="R280" s="1079"/>
      <c r="S280" s="1079"/>
      <c r="T280" s="1080"/>
      <c r="Z280"/>
      <c r="AA280" s="286"/>
    </row>
    <row r="281" spans="2:27" ht="12.75">
      <c r="B281" s="1081"/>
      <c r="C281" s="1082"/>
      <c r="D281" s="1082"/>
      <c r="E281" s="1082"/>
      <c r="F281" s="1082"/>
      <c r="G281" s="1082"/>
      <c r="H281" s="1082"/>
      <c r="I281" s="1082"/>
      <c r="J281" s="1083"/>
      <c r="L281" s="1081"/>
      <c r="M281" s="1082"/>
      <c r="N281" s="1082"/>
      <c r="O281" s="1082"/>
      <c r="P281" s="1082"/>
      <c r="Q281" s="1082"/>
      <c r="R281" s="1082"/>
      <c r="S281" s="1082"/>
      <c r="T281" s="1083"/>
      <c r="Z281"/>
      <c r="AA281" s="286"/>
    </row>
    <row r="282" spans="2:27" ht="13.5" thickBot="1">
      <c r="B282" s="1084"/>
      <c r="C282" s="1085"/>
      <c r="D282" s="1085"/>
      <c r="E282" s="1085"/>
      <c r="F282" s="1085"/>
      <c r="G282" s="1085"/>
      <c r="H282" s="1085"/>
      <c r="I282" s="1085"/>
      <c r="J282" s="1086"/>
      <c r="L282" s="1084"/>
      <c r="M282" s="1085"/>
      <c r="N282" s="1085"/>
      <c r="O282" s="1085"/>
      <c r="P282" s="1085"/>
      <c r="Q282" s="1085"/>
      <c r="R282" s="1085"/>
      <c r="S282" s="1085"/>
      <c r="T282" s="1086"/>
      <c r="Z282"/>
      <c r="AA282" s="286"/>
    </row>
    <row r="283" spans="12:27" ht="12.75">
      <c r="L283"/>
      <c r="M283"/>
      <c r="Z283"/>
      <c r="AA283" s="286"/>
    </row>
    <row r="284" spans="12:27" ht="12.75">
      <c r="L284"/>
      <c r="M284"/>
      <c r="Z284"/>
      <c r="AA284" s="286"/>
    </row>
    <row r="285" spans="2:27" ht="13.5" thickBot="1">
      <c r="B285" s="1"/>
      <c r="C285" s="1"/>
      <c r="D285" s="1"/>
      <c r="E285" s="1"/>
      <c r="F285" s="1"/>
      <c r="K285" s="286"/>
      <c r="L285" s="1"/>
      <c r="M285" s="1"/>
      <c r="N285" s="1"/>
      <c r="O285" s="1"/>
      <c r="P285" s="1"/>
      <c r="Z285"/>
      <c r="AA285" s="286"/>
    </row>
    <row r="286" spans="3:27" ht="12.75">
      <c r="C286" s="189" t="s">
        <v>1088</v>
      </c>
      <c r="F286" s="189" t="s">
        <v>247</v>
      </c>
      <c r="K286" s="286"/>
      <c r="L286"/>
      <c r="M286" s="189" t="s">
        <v>1088</v>
      </c>
      <c r="P286" s="189" t="s">
        <v>247</v>
      </c>
      <c r="Z286"/>
      <c r="AA286" s="286"/>
    </row>
    <row r="288" ht="12.75" hidden="1"/>
    <row r="289" ht="12.75" hidden="1"/>
    <row r="290" ht="12.75" hidden="1"/>
    <row r="291" ht="12.75" hidden="1"/>
    <row r="292" ht="12.75" hidden="1"/>
    <row r="293" ht="12.75" hidden="1"/>
    <row r="294" ht="12.75" hidden="1"/>
    <row r="295" ht="12.75" hidden="1"/>
    <row r="296" ht="12.75" hidden="1"/>
    <row r="297" ht="12.75" hidden="1"/>
    <row r="298" spans="12:13" ht="12.75" hidden="1">
      <c r="L298"/>
      <c r="M298"/>
    </row>
    <row r="299" spans="12:13" ht="12.75" hidden="1">
      <c r="L299"/>
      <c r="M299"/>
    </row>
    <row r="300" spans="12:13" ht="12.75" hidden="1">
      <c r="L300"/>
      <c r="M300"/>
    </row>
    <row r="301" spans="12:13" ht="12.75" hidden="1">
      <c r="L301"/>
      <c r="M301"/>
    </row>
    <row r="302" spans="12:13" ht="12.75" hidden="1">
      <c r="L302"/>
      <c r="M302"/>
    </row>
    <row r="303" spans="12:13" ht="12.75" hidden="1">
      <c r="L303"/>
      <c r="M303"/>
    </row>
    <row r="304" spans="12:13" ht="12.75" hidden="1">
      <c r="L304"/>
      <c r="M304"/>
    </row>
    <row r="305" spans="12:13" ht="12.75" hidden="1">
      <c r="L305"/>
      <c r="M305"/>
    </row>
    <row r="306" spans="1:13" ht="12.75" hidden="1">
      <c r="A306" s="125"/>
      <c r="L306"/>
      <c r="M306"/>
    </row>
    <row r="307" spans="1:13" ht="12.75" hidden="1">
      <c r="A307" s="3"/>
      <c r="B307" s="125"/>
      <c r="L307"/>
      <c r="M307"/>
    </row>
    <row r="308" spans="1:13" ht="12.75" hidden="1">
      <c r="A308" s="125"/>
      <c r="B308" s="125"/>
      <c r="D308">
        <v>0</v>
      </c>
      <c r="L308"/>
      <c r="M308"/>
    </row>
    <row r="309" spans="1:16" ht="12.75" hidden="1">
      <c r="A309" s="125"/>
      <c r="B309" s="125"/>
      <c r="D309" t="s">
        <v>1083</v>
      </c>
      <c r="L309"/>
      <c r="M309"/>
      <c r="P309" s="78"/>
    </row>
    <row r="310" spans="1:16" ht="12.75" hidden="1">
      <c r="A310" s="125"/>
      <c r="B310" s="125"/>
      <c r="D310" t="s">
        <v>1084</v>
      </c>
      <c r="L310"/>
      <c r="M310"/>
      <c r="P310" s="78"/>
    </row>
    <row r="311" spans="1:16" ht="12.75" hidden="1">
      <c r="A311" s="125"/>
      <c r="B311" s="125"/>
      <c r="J311" t="s">
        <v>1570</v>
      </c>
      <c r="L311"/>
      <c r="M311"/>
      <c r="O311" s="130" t="s">
        <v>487</v>
      </c>
      <c r="P311" s="78" t="s">
        <v>487</v>
      </c>
    </row>
    <row r="312" spans="1:26" ht="12.75" hidden="1">
      <c r="A312" s="125"/>
      <c r="B312" s="125" t="s">
        <v>1433</v>
      </c>
      <c r="H312" s="7"/>
      <c r="I312" s="7" t="s">
        <v>190</v>
      </c>
      <c r="J312" t="s">
        <v>1569</v>
      </c>
      <c r="L312" s="130"/>
      <c r="M312" s="130" t="s">
        <v>532</v>
      </c>
      <c r="N312" s="130"/>
      <c r="O312" t="s">
        <v>488</v>
      </c>
      <c r="P312" s="78" t="s">
        <v>486</v>
      </c>
      <c r="T312" t="s">
        <v>1061</v>
      </c>
      <c r="W312" t="s">
        <v>181</v>
      </c>
      <c r="X312" t="s">
        <v>189</v>
      </c>
      <c r="Y312" t="s">
        <v>188</v>
      </c>
      <c r="Z312" t="s">
        <v>1062</v>
      </c>
    </row>
    <row r="313" spans="1:26" ht="12.75" hidden="1">
      <c r="A313" s="125"/>
      <c r="B313" s="125"/>
      <c r="L313" s="131" t="s">
        <v>181</v>
      </c>
      <c r="M313" s="131" t="s">
        <v>189</v>
      </c>
      <c r="N313" s="131" t="s">
        <v>188</v>
      </c>
      <c r="O313" s="131" t="s">
        <v>153</v>
      </c>
      <c r="P313" s="78" t="s">
        <v>489</v>
      </c>
      <c r="Z313"/>
    </row>
    <row r="314" spans="1:26" ht="12.75" hidden="1">
      <c r="A314">
        <v>1</v>
      </c>
      <c r="B314" t="s">
        <v>868</v>
      </c>
      <c r="G314" s="7"/>
      <c r="I314" s="78" t="s">
        <v>1065</v>
      </c>
      <c r="J314" s="579">
        <v>2</v>
      </c>
      <c r="K314" t="s">
        <v>1048</v>
      </c>
      <c r="L314" s="78">
        <v>0</v>
      </c>
      <c r="M314" s="78">
        <v>18.75</v>
      </c>
      <c r="N314" s="78">
        <v>55.71</v>
      </c>
      <c r="O314" s="78">
        <v>1.16</v>
      </c>
      <c r="P314" s="78">
        <v>0.38</v>
      </c>
      <c r="Q314">
        <v>100</v>
      </c>
      <c r="T314" t="s">
        <v>1471</v>
      </c>
      <c r="V314" s="507" t="s">
        <v>1063</v>
      </c>
      <c r="W314">
        <v>34</v>
      </c>
      <c r="X314">
        <v>0</v>
      </c>
      <c r="Y314">
        <v>0</v>
      </c>
      <c r="Z314">
        <v>0</v>
      </c>
    </row>
    <row r="315" spans="1:26" ht="12.75" hidden="1">
      <c r="A315">
        <v>2</v>
      </c>
      <c r="B315" t="s">
        <v>183</v>
      </c>
      <c r="G315" s="578"/>
      <c r="I315" s="78" t="s">
        <v>1044</v>
      </c>
      <c r="J315" s="579">
        <v>1</v>
      </c>
      <c r="K315" t="s">
        <v>1045</v>
      </c>
      <c r="L315" s="78">
        <v>1.7</v>
      </c>
      <c r="M315" s="78">
        <v>0.785</v>
      </c>
      <c r="N315" s="78">
        <v>1.286</v>
      </c>
      <c r="O315" s="78">
        <v>0.05</v>
      </c>
      <c r="P315" s="78">
        <v>0.0085</v>
      </c>
      <c r="T315" t="s">
        <v>1472</v>
      </c>
      <c r="V315" s="507" t="s">
        <v>1063</v>
      </c>
      <c r="W315">
        <v>10</v>
      </c>
      <c r="X315">
        <v>34</v>
      </c>
      <c r="Y315">
        <v>0</v>
      </c>
      <c r="Z315">
        <v>0</v>
      </c>
    </row>
    <row r="316" spans="1:26" ht="12.75" hidden="1">
      <c r="A316">
        <v>3</v>
      </c>
      <c r="B316" t="s">
        <v>184</v>
      </c>
      <c r="G316" s="7"/>
      <c r="I316" s="78" t="s">
        <v>1064</v>
      </c>
      <c r="J316" s="579">
        <v>1</v>
      </c>
      <c r="K316" t="s">
        <v>1045</v>
      </c>
      <c r="L316" s="78">
        <v>1.5</v>
      </c>
      <c r="M316" s="78">
        <v>0.785</v>
      </c>
      <c r="N316" s="78">
        <v>1.286</v>
      </c>
      <c r="O316" s="78">
        <v>0.05</v>
      </c>
      <c r="P316" s="78">
        <v>0.0085</v>
      </c>
      <c r="T316" t="s">
        <v>1465</v>
      </c>
      <c r="V316" s="507" t="s">
        <v>1063</v>
      </c>
      <c r="W316">
        <v>21</v>
      </c>
      <c r="X316">
        <v>0</v>
      </c>
      <c r="Y316">
        <v>0</v>
      </c>
      <c r="Z316">
        <v>24</v>
      </c>
    </row>
    <row r="317" spans="1:26" ht="12.75" hidden="1">
      <c r="A317">
        <v>4</v>
      </c>
      <c r="B317" t="s">
        <v>185</v>
      </c>
      <c r="G317" s="7"/>
      <c r="I317" s="78" t="s">
        <v>1046</v>
      </c>
      <c r="J317" s="579">
        <v>1</v>
      </c>
      <c r="K317" t="s">
        <v>1045</v>
      </c>
      <c r="L317" s="78">
        <v>2.2</v>
      </c>
      <c r="M317" s="78">
        <v>1.32</v>
      </c>
      <c r="N317" s="78">
        <v>1.86</v>
      </c>
      <c r="O317" s="78">
        <v>0.083</v>
      </c>
      <c r="P317" s="78">
        <v>0.0116</v>
      </c>
      <c r="T317" t="s">
        <v>1470</v>
      </c>
      <c r="V317" s="507" t="s">
        <v>1063</v>
      </c>
      <c r="W317">
        <v>82</v>
      </c>
      <c r="X317">
        <v>0</v>
      </c>
      <c r="Y317">
        <v>0</v>
      </c>
      <c r="Z317">
        <v>0</v>
      </c>
    </row>
    <row r="318" spans="7:26" ht="12.75" hidden="1">
      <c r="G318" s="7"/>
      <c r="I318" s="78" t="s">
        <v>1066</v>
      </c>
      <c r="J318" s="579">
        <v>1</v>
      </c>
      <c r="K318" t="s">
        <v>1047</v>
      </c>
      <c r="L318" s="78">
        <v>0.03</v>
      </c>
      <c r="M318" s="78">
        <v>0.0171</v>
      </c>
      <c r="N318" s="78">
        <v>0.03</v>
      </c>
      <c r="O318" s="78">
        <v>0.00114</v>
      </c>
      <c r="P318" s="78">
        <v>0.00018</v>
      </c>
      <c r="T318" t="s">
        <v>1469</v>
      </c>
      <c r="V318" s="507" t="s">
        <v>1063</v>
      </c>
      <c r="W318">
        <v>18</v>
      </c>
      <c r="X318">
        <v>46</v>
      </c>
      <c r="Y318">
        <v>0</v>
      </c>
      <c r="Z318">
        <v>0</v>
      </c>
    </row>
    <row r="319" spans="1:26" ht="12.75" hidden="1">
      <c r="A319" t="s">
        <v>1458</v>
      </c>
      <c r="C319" t="s">
        <v>1349</v>
      </c>
      <c r="D319" t="s">
        <v>1350</v>
      </c>
      <c r="G319" s="7"/>
      <c r="I319" s="78" t="s">
        <v>1050</v>
      </c>
      <c r="J319" s="579">
        <v>1</v>
      </c>
      <c r="K319" t="s">
        <v>1047</v>
      </c>
      <c r="L319" s="78">
        <v>0.065</v>
      </c>
      <c r="M319" s="78">
        <v>0.036</v>
      </c>
      <c r="N319" s="78">
        <v>0.054</v>
      </c>
      <c r="O319" s="78">
        <v>0.0022</v>
      </c>
      <c r="P319" s="78">
        <v>0.00034</v>
      </c>
      <c r="T319" t="s">
        <v>1467</v>
      </c>
      <c r="V319" s="507" t="s">
        <v>1063</v>
      </c>
      <c r="W319">
        <v>11</v>
      </c>
      <c r="X319">
        <v>52</v>
      </c>
      <c r="Y319">
        <v>0</v>
      </c>
      <c r="Z319">
        <v>0</v>
      </c>
    </row>
    <row r="320" spans="7:26" ht="12.75" hidden="1">
      <c r="G320" s="7"/>
      <c r="I320" s="78" t="s">
        <v>1067</v>
      </c>
      <c r="J320" s="579">
        <v>2</v>
      </c>
      <c r="K320" t="s">
        <v>1045</v>
      </c>
      <c r="L320" s="78">
        <v>1.2</v>
      </c>
      <c r="M320" s="78">
        <v>0.7</v>
      </c>
      <c r="N320" s="78">
        <v>1.166</v>
      </c>
      <c r="O320" s="78">
        <v>0.044</v>
      </c>
      <c r="P320" s="78">
        <v>0.0073</v>
      </c>
      <c r="T320" t="s">
        <v>1466</v>
      </c>
      <c r="V320" s="507" t="s">
        <v>1063</v>
      </c>
      <c r="W320">
        <v>0</v>
      </c>
      <c r="X320">
        <v>0</v>
      </c>
      <c r="Y320">
        <v>60</v>
      </c>
      <c r="Z320">
        <v>0</v>
      </c>
    </row>
    <row r="321" spans="1:26" ht="12.75" hidden="1">
      <c r="A321" t="s">
        <v>1453</v>
      </c>
      <c r="C321">
        <v>0</v>
      </c>
      <c r="D321">
        <v>0</v>
      </c>
      <c r="E321" t="s">
        <v>1449</v>
      </c>
      <c r="G321" s="7"/>
      <c r="I321" s="78" t="s">
        <v>1068</v>
      </c>
      <c r="J321" s="579">
        <v>2</v>
      </c>
      <c r="K321" t="s">
        <v>1048</v>
      </c>
      <c r="L321" s="78">
        <v>10.4</v>
      </c>
      <c r="M321" s="78">
        <v>5.62</v>
      </c>
      <c r="N321" s="78">
        <v>9.5</v>
      </c>
      <c r="O321" s="78">
        <v>0.35</v>
      </c>
      <c r="P321" s="78">
        <v>0.06</v>
      </c>
      <c r="T321" t="s">
        <v>444</v>
      </c>
      <c r="V321" s="362" t="s">
        <v>607</v>
      </c>
      <c r="W321">
        <v>298.2</v>
      </c>
      <c r="X321">
        <v>0</v>
      </c>
      <c r="Y321">
        <v>0</v>
      </c>
      <c r="Z321">
        <v>0</v>
      </c>
    </row>
    <row r="322" spans="1:26" ht="12.75" hidden="1">
      <c r="A322" t="s">
        <v>1450</v>
      </c>
      <c r="C322">
        <v>75</v>
      </c>
      <c r="D322">
        <v>150</v>
      </c>
      <c r="E322" t="s">
        <v>1449</v>
      </c>
      <c r="G322" s="7"/>
      <c r="I322" t="s">
        <v>314</v>
      </c>
      <c r="J322" s="123">
        <v>2</v>
      </c>
      <c r="K322" t="s">
        <v>1048</v>
      </c>
      <c r="L322" s="126">
        <v>18</v>
      </c>
      <c r="M322" s="126">
        <v>11</v>
      </c>
      <c r="N322">
        <v>22</v>
      </c>
      <c r="O322">
        <v>0.7</v>
      </c>
      <c r="P322">
        <v>0.13</v>
      </c>
      <c r="T322" t="s">
        <v>1468</v>
      </c>
      <c r="V322" s="507" t="s">
        <v>1063</v>
      </c>
      <c r="W322">
        <v>46</v>
      </c>
      <c r="X322">
        <v>0</v>
      </c>
      <c r="Y322">
        <v>0</v>
      </c>
      <c r="Z322">
        <v>0</v>
      </c>
    </row>
    <row r="323" spans="1:16" ht="12.75" hidden="1">
      <c r="A323" t="s">
        <v>1452</v>
      </c>
      <c r="C323">
        <v>25</v>
      </c>
      <c r="D323">
        <v>50</v>
      </c>
      <c r="E323" t="s">
        <v>1449</v>
      </c>
      <c r="G323" s="7"/>
      <c r="I323" t="s">
        <v>490</v>
      </c>
      <c r="J323" s="123">
        <v>1</v>
      </c>
      <c r="K323" t="s">
        <v>1047</v>
      </c>
      <c r="L323" s="126">
        <v>0.05</v>
      </c>
      <c r="M323" s="126">
        <v>0.036</v>
      </c>
      <c r="N323">
        <v>0.054</v>
      </c>
      <c r="O323">
        <v>0.0023</v>
      </c>
      <c r="P323">
        <v>0.00036</v>
      </c>
    </row>
    <row r="324" spans="1:16" ht="12.75" hidden="1">
      <c r="A324" t="s">
        <v>1451</v>
      </c>
      <c r="C324">
        <v>50</v>
      </c>
      <c r="D324">
        <v>100</v>
      </c>
      <c r="E324" t="s">
        <v>1449</v>
      </c>
      <c r="G324" s="7"/>
      <c r="I324" s="78" t="s">
        <v>1072</v>
      </c>
      <c r="J324" s="579">
        <v>1</v>
      </c>
      <c r="K324" t="s">
        <v>1045</v>
      </c>
      <c r="L324" s="78">
        <v>2.5</v>
      </c>
      <c r="M324" s="78">
        <v>1.071</v>
      </c>
      <c r="N324" s="78">
        <v>2.71</v>
      </c>
      <c r="O324" s="78">
        <v>0.067</v>
      </c>
      <c r="P324" s="78">
        <v>0.017</v>
      </c>
    </row>
    <row r="325" spans="1:16" ht="12.75" hidden="1">
      <c r="A325" t="s">
        <v>1445</v>
      </c>
      <c r="C325">
        <v>10</v>
      </c>
      <c r="D325">
        <v>20</v>
      </c>
      <c r="E325" t="s">
        <v>1446</v>
      </c>
      <c r="G325" s="7"/>
      <c r="I325" s="78" t="s">
        <v>1051</v>
      </c>
      <c r="J325" s="579">
        <v>1</v>
      </c>
      <c r="K325" t="s">
        <v>1047</v>
      </c>
      <c r="L325" s="78">
        <v>0.05</v>
      </c>
      <c r="M325" s="78">
        <v>0.0231</v>
      </c>
      <c r="N325" s="78">
        <v>0.0346</v>
      </c>
      <c r="O325" s="78">
        <v>0.0014</v>
      </c>
      <c r="P325" s="78">
        <v>0.00021</v>
      </c>
    </row>
    <row r="326" spans="1:17" ht="12.75" hidden="1">
      <c r="A326" t="s">
        <v>1454</v>
      </c>
      <c r="C326">
        <v>35</v>
      </c>
      <c r="D326">
        <v>70</v>
      </c>
      <c r="E326" t="s">
        <v>1449</v>
      </c>
      <c r="G326" s="7"/>
      <c r="I326" s="78" t="s">
        <v>1069</v>
      </c>
      <c r="J326" s="579">
        <v>1</v>
      </c>
      <c r="K326" t="s">
        <v>1047</v>
      </c>
      <c r="L326" s="631"/>
      <c r="M326" s="78">
        <v>0.0171</v>
      </c>
      <c r="N326" s="78">
        <v>0.03</v>
      </c>
      <c r="O326" s="78">
        <v>0.0011</v>
      </c>
      <c r="P326" s="78">
        <v>0.00018</v>
      </c>
      <c r="Q326">
        <v>100</v>
      </c>
    </row>
    <row r="327" spans="1:16" ht="12.75" hidden="1">
      <c r="A327" t="s">
        <v>1457</v>
      </c>
      <c r="C327">
        <v>65</v>
      </c>
      <c r="D327">
        <v>65</v>
      </c>
      <c r="E327" t="s">
        <v>1449</v>
      </c>
      <c r="G327" s="7"/>
      <c r="I327" s="78" t="s">
        <v>1073</v>
      </c>
      <c r="J327" s="579">
        <v>1</v>
      </c>
      <c r="K327" t="s">
        <v>1045</v>
      </c>
      <c r="L327" s="78">
        <v>3</v>
      </c>
      <c r="M327" s="78">
        <v>1.17</v>
      </c>
      <c r="N327" s="78">
        <v>2.2</v>
      </c>
      <c r="O327" s="78">
        <v>0.073</v>
      </c>
      <c r="P327" s="78">
        <v>0.014</v>
      </c>
    </row>
    <row r="328" spans="1:16" ht="12.75" hidden="1">
      <c r="A328" t="s">
        <v>1455</v>
      </c>
      <c r="C328">
        <v>0</v>
      </c>
      <c r="D328">
        <v>0</v>
      </c>
      <c r="E328" t="s">
        <v>1449</v>
      </c>
      <c r="G328" s="7"/>
      <c r="I328" s="78" t="s">
        <v>559</v>
      </c>
      <c r="J328" s="579">
        <v>2</v>
      </c>
      <c r="K328" t="s">
        <v>1048</v>
      </c>
      <c r="L328" s="259">
        <v>150</v>
      </c>
      <c r="M328" s="78">
        <v>45</v>
      </c>
      <c r="N328" s="78">
        <v>80</v>
      </c>
      <c r="O328" s="78">
        <v>3.45</v>
      </c>
      <c r="P328" s="78">
        <v>0.53</v>
      </c>
    </row>
    <row r="329" spans="1:16" ht="12.75" hidden="1">
      <c r="A329" t="s">
        <v>1456</v>
      </c>
      <c r="C329">
        <v>20</v>
      </c>
      <c r="D329">
        <v>20</v>
      </c>
      <c r="E329" t="s">
        <v>1449</v>
      </c>
      <c r="G329" s="7"/>
      <c r="I329" s="78" t="s">
        <v>555</v>
      </c>
      <c r="J329" s="579">
        <v>2</v>
      </c>
      <c r="K329" t="s">
        <v>1048</v>
      </c>
      <c r="L329" s="259">
        <f>VLOOKUP(C2,AA369:AH531,6)</f>
        <v>50</v>
      </c>
      <c r="M329" s="259">
        <v>45</v>
      </c>
      <c r="N329" s="259">
        <v>80</v>
      </c>
      <c r="O329" s="78">
        <v>3.45</v>
      </c>
      <c r="P329" s="78">
        <v>0.53</v>
      </c>
    </row>
    <row r="330" spans="1:16" ht="12.75" hidden="1">
      <c r="A330" t="s">
        <v>282</v>
      </c>
      <c r="C330">
        <v>75</v>
      </c>
      <c r="D330">
        <v>150</v>
      </c>
      <c r="E330" t="s">
        <v>1449</v>
      </c>
      <c r="G330" s="7"/>
      <c r="I330" s="78" t="s">
        <v>557</v>
      </c>
      <c r="J330" s="579">
        <v>2</v>
      </c>
      <c r="K330" t="s">
        <v>1048</v>
      </c>
      <c r="L330" s="259">
        <f>VLOOKUP(C2,AA369:AH531,3)</f>
        <v>50</v>
      </c>
      <c r="M330" s="259">
        <v>45</v>
      </c>
      <c r="N330" s="259">
        <v>80</v>
      </c>
      <c r="O330" s="78">
        <v>3.45</v>
      </c>
      <c r="P330" s="78">
        <v>0.53</v>
      </c>
    </row>
    <row r="331" spans="1:17" ht="12.75" hidden="1">
      <c r="A331" t="s">
        <v>283</v>
      </c>
      <c r="C331">
        <v>0</v>
      </c>
      <c r="D331">
        <v>0</v>
      </c>
      <c r="E331" t="s">
        <v>1449</v>
      </c>
      <c r="G331" s="7"/>
      <c r="I331" s="78" t="s">
        <v>1052</v>
      </c>
      <c r="J331" s="579">
        <v>1</v>
      </c>
      <c r="K331" t="s">
        <v>1047</v>
      </c>
      <c r="L331" s="78">
        <v>0</v>
      </c>
      <c r="M331" s="78">
        <v>0.0171</v>
      </c>
      <c r="N331" s="78">
        <v>0.03</v>
      </c>
      <c r="O331" s="78">
        <v>0.0011</v>
      </c>
      <c r="P331" s="78">
        <v>0.00018</v>
      </c>
      <c r="Q331">
        <v>100</v>
      </c>
    </row>
    <row r="332" spans="1:16" ht="12.75" hidden="1">
      <c r="A332" t="s">
        <v>284</v>
      </c>
      <c r="C332">
        <v>25</v>
      </c>
      <c r="D332">
        <v>50</v>
      </c>
      <c r="E332" t="s">
        <v>1449</v>
      </c>
      <c r="G332" s="7"/>
      <c r="I332" s="78" t="s">
        <v>1074</v>
      </c>
      <c r="J332" s="579">
        <v>2</v>
      </c>
      <c r="K332" t="s">
        <v>1047</v>
      </c>
      <c r="L332" s="78">
        <v>0.04</v>
      </c>
      <c r="M332" s="78">
        <v>0.0171</v>
      </c>
      <c r="N332" s="78">
        <v>0.03</v>
      </c>
      <c r="O332" s="78">
        <v>0.00114</v>
      </c>
      <c r="P332" s="78">
        <v>0.00018</v>
      </c>
    </row>
    <row r="333" spans="1:16" ht="12.75" hidden="1">
      <c r="A333" t="s">
        <v>285</v>
      </c>
      <c r="C333">
        <v>50</v>
      </c>
      <c r="D333">
        <v>100</v>
      </c>
      <c r="E333" t="s">
        <v>1449</v>
      </c>
      <c r="G333" s="7"/>
      <c r="I333" s="78" t="s">
        <v>1075</v>
      </c>
      <c r="J333" s="579">
        <v>1</v>
      </c>
      <c r="K333" t="s">
        <v>1047</v>
      </c>
      <c r="L333" s="78">
        <v>0.065</v>
      </c>
      <c r="M333" s="78">
        <v>0.036</v>
      </c>
      <c r="N333" s="78">
        <v>0.054</v>
      </c>
      <c r="O333" s="78">
        <v>0.0022</v>
      </c>
      <c r="P333" s="78">
        <v>0.00034</v>
      </c>
    </row>
    <row r="334" spans="1:16" ht="12.75" hidden="1">
      <c r="A334" t="s">
        <v>1448</v>
      </c>
      <c r="C334">
        <v>10</v>
      </c>
      <c r="D334">
        <v>20</v>
      </c>
      <c r="E334" t="s">
        <v>1449</v>
      </c>
      <c r="G334" s="7"/>
      <c r="I334" s="78" t="s">
        <v>1071</v>
      </c>
      <c r="J334" s="579">
        <v>1</v>
      </c>
      <c r="K334" t="s">
        <v>1045</v>
      </c>
      <c r="L334" s="78">
        <v>1.35</v>
      </c>
      <c r="M334" s="78">
        <v>0.644</v>
      </c>
      <c r="N334" s="78">
        <v>1.2777</v>
      </c>
      <c r="O334" s="78">
        <v>0.041</v>
      </c>
      <c r="P334" s="78">
        <v>0.0086</v>
      </c>
    </row>
    <row r="335" spans="7:16" ht="12.75" hidden="1">
      <c r="G335" s="7"/>
      <c r="I335" s="78" t="s">
        <v>1076</v>
      </c>
      <c r="J335" s="579">
        <v>2</v>
      </c>
      <c r="K335" t="s">
        <v>1049</v>
      </c>
      <c r="L335" s="78">
        <v>0.4</v>
      </c>
      <c r="M335" s="78">
        <v>0.5</v>
      </c>
      <c r="N335" s="78">
        <v>0.85</v>
      </c>
      <c r="O335" s="78">
        <v>0.034</v>
      </c>
      <c r="P335" s="78">
        <v>0.0057</v>
      </c>
    </row>
    <row r="336" spans="1:16" ht="12.75" hidden="1">
      <c r="A336" t="s">
        <v>1459</v>
      </c>
      <c r="G336" s="7"/>
      <c r="I336" s="78" t="s">
        <v>1077</v>
      </c>
      <c r="J336" s="579">
        <v>1</v>
      </c>
      <c r="K336" t="s">
        <v>1047</v>
      </c>
      <c r="L336" s="78">
        <v>0.065</v>
      </c>
      <c r="M336" s="78">
        <v>0.036</v>
      </c>
      <c r="N336" s="78">
        <v>0.054</v>
      </c>
      <c r="O336" s="78">
        <v>0.0022</v>
      </c>
      <c r="P336" s="132">
        <v>0.00034</v>
      </c>
    </row>
    <row r="337" spans="7:16" ht="12.75" hidden="1">
      <c r="G337" s="7"/>
      <c r="I337" s="78" t="s">
        <v>1053</v>
      </c>
      <c r="J337" s="579">
        <v>2</v>
      </c>
      <c r="K337" t="s">
        <v>1045</v>
      </c>
      <c r="L337" s="78">
        <v>2.5</v>
      </c>
      <c r="M337" s="78">
        <v>1.071</v>
      </c>
      <c r="N337" s="78">
        <v>2.71</v>
      </c>
      <c r="O337">
        <v>0.067</v>
      </c>
      <c r="P337">
        <v>0.017</v>
      </c>
    </row>
    <row r="338" spans="1:16" ht="12.75" hidden="1">
      <c r="A338" t="s">
        <v>1052</v>
      </c>
      <c r="C338">
        <v>1.25</v>
      </c>
      <c r="D338">
        <v>1.25</v>
      </c>
      <c r="E338" t="s">
        <v>1444</v>
      </c>
      <c r="G338" s="7"/>
      <c r="I338" s="78" t="s">
        <v>1078</v>
      </c>
      <c r="J338" s="579">
        <v>2</v>
      </c>
      <c r="K338" t="s">
        <v>1047</v>
      </c>
      <c r="L338" s="78">
        <v>0.05</v>
      </c>
      <c r="M338" s="78">
        <v>0.027</v>
      </c>
      <c r="N338" s="78">
        <v>0.048</v>
      </c>
      <c r="O338" s="78">
        <v>0.0017</v>
      </c>
      <c r="P338">
        <v>0.0003</v>
      </c>
    </row>
    <row r="339" spans="1:16" ht="12.75" hidden="1">
      <c r="A339" t="s">
        <v>1447</v>
      </c>
      <c r="C339">
        <v>1.25</v>
      </c>
      <c r="D339">
        <v>1.25</v>
      </c>
      <c r="E339" t="s">
        <v>1444</v>
      </c>
      <c r="G339" s="7"/>
      <c r="I339" t="s">
        <v>1261</v>
      </c>
      <c r="J339" s="123">
        <v>1</v>
      </c>
      <c r="K339" t="s">
        <v>1045</v>
      </c>
      <c r="L339" s="126">
        <v>1.1</v>
      </c>
      <c r="M339" s="126">
        <v>0.666</v>
      </c>
      <c r="N339">
        <v>0.875</v>
      </c>
      <c r="O339">
        <v>0.041</v>
      </c>
      <c r="P339">
        <v>0.0058</v>
      </c>
    </row>
    <row r="340" spans="1:25" ht="12.75" hidden="1">
      <c r="A340" t="s">
        <v>1443</v>
      </c>
      <c r="C340">
        <v>0.5</v>
      </c>
      <c r="D340">
        <v>1</v>
      </c>
      <c r="E340" t="s">
        <v>1444</v>
      </c>
      <c r="G340" s="7"/>
      <c r="I340" t="s">
        <v>1262</v>
      </c>
      <c r="J340" s="123">
        <v>1</v>
      </c>
      <c r="K340" s="406" t="s">
        <v>1048</v>
      </c>
      <c r="L340" s="126">
        <v>25</v>
      </c>
      <c r="M340" s="126">
        <v>11</v>
      </c>
      <c r="N340">
        <v>43</v>
      </c>
      <c r="O340">
        <v>0.7</v>
      </c>
      <c r="P340">
        <v>0.3</v>
      </c>
      <c r="Y340" s="5"/>
    </row>
    <row r="341" spans="5:26" ht="12.75" hidden="1">
      <c r="E341" s="5"/>
      <c r="F341" s="5"/>
      <c r="G341" s="7"/>
      <c r="I341" s="78" t="s">
        <v>1079</v>
      </c>
      <c r="J341" s="579">
        <v>1</v>
      </c>
      <c r="K341" t="s">
        <v>1045</v>
      </c>
      <c r="L341" s="78">
        <v>0</v>
      </c>
      <c r="M341" s="78">
        <v>1.55</v>
      </c>
      <c r="N341" s="78">
        <v>2.2</v>
      </c>
      <c r="O341" s="78">
        <v>0.14</v>
      </c>
      <c r="P341">
        <v>0.0183</v>
      </c>
      <c r="Q341">
        <v>100</v>
      </c>
      <c r="S341" s="5"/>
      <c r="T341" s="5"/>
      <c r="U341" s="5"/>
      <c r="V341" s="5"/>
      <c r="W341" s="5"/>
      <c r="X341" s="5"/>
      <c r="Z341" s="295"/>
    </row>
    <row r="342" spans="1:16" ht="12.75" hidden="1">
      <c r="A342" s="5"/>
      <c r="B342" s="5"/>
      <c r="C342" t="s">
        <v>1349</v>
      </c>
      <c r="D342" t="s">
        <v>1350</v>
      </c>
      <c r="G342" s="7"/>
      <c r="I342" t="s">
        <v>315</v>
      </c>
      <c r="J342" s="123">
        <v>1</v>
      </c>
      <c r="K342" s="406" t="s">
        <v>1048</v>
      </c>
      <c r="L342" s="126">
        <v>25</v>
      </c>
      <c r="M342" s="126">
        <v>11</v>
      </c>
      <c r="N342">
        <v>43</v>
      </c>
      <c r="O342">
        <v>0.7</v>
      </c>
      <c r="P342">
        <v>0.3</v>
      </c>
    </row>
    <row r="343" spans="7:16" ht="12.75" hidden="1">
      <c r="G343" s="7"/>
      <c r="H343" s="7"/>
      <c r="I343" s="78" t="s">
        <v>1080</v>
      </c>
      <c r="J343" s="579">
        <v>2</v>
      </c>
      <c r="K343" t="s">
        <v>1048</v>
      </c>
      <c r="L343" s="78">
        <v>7.5</v>
      </c>
      <c r="M343" s="78">
        <v>4.38</v>
      </c>
      <c r="N343" s="78">
        <v>6.35</v>
      </c>
      <c r="O343" s="78">
        <v>0.27</v>
      </c>
      <c r="P343">
        <v>0.042</v>
      </c>
    </row>
    <row r="344" spans="1:16" ht="12.75" hidden="1">
      <c r="A344" t="s">
        <v>1453</v>
      </c>
      <c r="C344">
        <v>0</v>
      </c>
      <c r="D344">
        <v>0</v>
      </c>
      <c r="E344" t="s">
        <v>1449</v>
      </c>
      <c r="G344" s="7"/>
      <c r="H344" s="7"/>
      <c r="I344" s="78" t="s">
        <v>1054</v>
      </c>
      <c r="J344" s="579">
        <v>2</v>
      </c>
      <c r="K344" t="s">
        <v>1047</v>
      </c>
      <c r="L344" s="78">
        <v>0.05</v>
      </c>
      <c r="M344" s="78">
        <v>0.0225</v>
      </c>
      <c r="N344" s="78">
        <v>0.041</v>
      </c>
      <c r="O344" s="78">
        <v>0.0014</v>
      </c>
      <c r="P344">
        <v>0.00027</v>
      </c>
    </row>
    <row r="345" spans="1:17" ht="12.75" hidden="1">
      <c r="A345" t="s">
        <v>1450</v>
      </c>
      <c r="C345">
        <v>75</v>
      </c>
      <c r="D345">
        <v>150</v>
      </c>
      <c r="E345" t="s">
        <v>1449</v>
      </c>
      <c r="G345" s="7"/>
      <c r="H345" s="7"/>
      <c r="I345" s="78" t="s">
        <v>1055</v>
      </c>
      <c r="J345" s="579">
        <v>2</v>
      </c>
      <c r="K345" t="s">
        <v>1048</v>
      </c>
      <c r="L345" s="78">
        <v>0</v>
      </c>
      <c r="M345" s="78">
        <v>20</v>
      </c>
      <c r="N345" s="78">
        <v>50</v>
      </c>
      <c r="O345" s="78">
        <v>1.4</v>
      </c>
      <c r="P345">
        <v>0.332</v>
      </c>
      <c r="Q345">
        <v>100</v>
      </c>
    </row>
    <row r="346" spans="1:31" ht="12.75" hidden="1">
      <c r="A346" t="s">
        <v>1452</v>
      </c>
      <c r="C346">
        <v>25</v>
      </c>
      <c r="D346">
        <v>50</v>
      </c>
      <c r="E346" t="s">
        <v>1449</v>
      </c>
      <c r="G346" s="7"/>
      <c r="H346" s="7"/>
      <c r="I346" s="78" t="s">
        <v>1081</v>
      </c>
      <c r="J346" s="579">
        <v>1</v>
      </c>
      <c r="K346" t="s">
        <v>1045</v>
      </c>
      <c r="L346" s="78">
        <v>2.5</v>
      </c>
      <c r="M346" s="78">
        <v>1.071</v>
      </c>
      <c r="N346" s="78">
        <v>2.71</v>
      </c>
      <c r="O346" s="78">
        <v>0.067</v>
      </c>
      <c r="P346">
        <v>0.017</v>
      </c>
      <c r="AA346" s="5"/>
      <c r="AB346" s="5"/>
      <c r="AC346" s="5"/>
      <c r="AD346" s="5"/>
      <c r="AE346" s="5"/>
    </row>
    <row r="347" spans="1:15" ht="12.75" hidden="1">
      <c r="A347" t="s">
        <v>1451</v>
      </c>
      <c r="C347">
        <v>50</v>
      </c>
      <c r="D347">
        <v>100</v>
      </c>
      <c r="E347" t="s">
        <v>1449</v>
      </c>
      <c r="G347" s="7"/>
      <c r="H347" s="7"/>
      <c r="J347" s="578"/>
      <c r="K347" t="s">
        <v>1045</v>
      </c>
      <c r="L347" s="132"/>
      <c r="M347" s="132"/>
      <c r="N347" s="132"/>
      <c r="O347" s="132"/>
    </row>
    <row r="348" spans="1:8" ht="12.75" hidden="1">
      <c r="A348" t="s">
        <v>1454</v>
      </c>
      <c r="C348">
        <v>35</v>
      </c>
      <c r="D348">
        <v>70</v>
      </c>
      <c r="E348" t="s">
        <v>1449</v>
      </c>
      <c r="G348" s="7"/>
      <c r="H348" s="7"/>
    </row>
    <row r="349" spans="1:8" ht="12.75" hidden="1">
      <c r="A349" t="s">
        <v>282</v>
      </c>
      <c r="C349">
        <v>75</v>
      </c>
      <c r="D349">
        <v>150</v>
      </c>
      <c r="E349" t="s">
        <v>1449</v>
      </c>
      <c r="G349" s="7"/>
      <c r="H349" s="7"/>
    </row>
    <row r="350" spans="1:8" ht="12.75" hidden="1">
      <c r="A350" t="s">
        <v>283</v>
      </c>
      <c r="C350">
        <v>0</v>
      </c>
      <c r="D350">
        <v>0</v>
      </c>
      <c r="E350" t="s">
        <v>1449</v>
      </c>
      <c r="G350" s="7"/>
      <c r="H350" s="7"/>
    </row>
    <row r="351" spans="1:8" ht="12.75" hidden="1">
      <c r="A351" t="s">
        <v>284</v>
      </c>
      <c r="C351">
        <v>25</v>
      </c>
      <c r="D351">
        <v>25</v>
      </c>
      <c r="E351" t="s">
        <v>1449</v>
      </c>
      <c r="G351" s="7"/>
      <c r="H351" s="7"/>
    </row>
    <row r="352" spans="1:5" ht="12.75" hidden="1">
      <c r="A352" t="s">
        <v>285</v>
      </c>
      <c r="C352">
        <v>50</v>
      </c>
      <c r="D352">
        <v>50</v>
      </c>
      <c r="E352" t="s">
        <v>1449</v>
      </c>
    </row>
    <row r="353" spans="1:5" ht="12.75" hidden="1">
      <c r="A353" t="s">
        <v>1448</v>
      </c>
      <c r="C353">
        <v>10</v>
      </c>
      <c r="D353">
        <v>20</v>
      </c>
      <c r="E353" t="s">
        <v>1449</v>
      </c>
    </row>
    <row r="354" spans="27:42" ht="12.75" hidden="1">
      <c r="AA354" s="130"/>
      <c r="AB354" s="131" t="s">
        <v>636</v>
      </c>
      <c r="AC354" s="130"/>
      <c r="AD354" s="130"/>
      <c r="AE354" s="130"/>
      <c r="AF354" s="130"/>
      <c r="AG354" s="131" t="s">
        <v>637</v>
      </c>
      <c r="AH354" s="130"/>
      <c r="AI354" s="130"/>
      <c r="AJ354" s="130"/>
      <c r="AK354" s="130"/>
      <c r="AL354" s="130"/>
      <c r="AM354" s="130"/>
      <c r="AN354" s="130"/>
      <c r="AO354" s="130"/>
      <c r="AP354" s="132"/>
    </row>
    <row r="355" spans="27:42" ht="12.75" hidden="1">
      <c r="AA355" s="131" t="s">
        <v>258</v>
      </c>
      <c r="AB355" s="131" t="s">
        <v>181</v>
      </c>
      <c r="AC355" s="131" t="s">
        <v>189</v>
      </c>
      <c r="AD355" s="131" t="s">
        <v>188</v>
      </c>
      <c r="AE355" s="130"/>
      <c r="AF355" s="131" t="s">
        <v>258</v>
      </c>
      <c r="AG355" s="131" t="s">
        <v>181</v>
      </c>
      <c r="AH355" s="131" t="s">
        <v>189</v>
      </c>
      <c r="AI355" s="131" t="s">
        <v>188</v>
      </c>
      <c r="AJ355" s="130"/>
      <c r="AK355" s="130"/>
      <c r="AL355" s="130"/>
      <c r="AM355" s="130"/>
      <c r="AN355" s="130"/>
      <c r="AO355" s="130"/>
      <c r="AP355" s="132"/>
    </row>
    <row r="356" spans="27:42" ht="12.75" hidden="1">
      <c r="AA356" s="130"/>
      <c r="AB356" s="130"/>
      <c r="AC356" s="130"/>
      <c r="AD356" s="130"/>
      <c r="AE356" s="130"/>
      <c r="AF356" s="130"/>
      <c r="AG356" s="130"/>
      <c r="AH356" s="130"/>
      <c r="AI356" s="130"/>
      <c r="AJ356" s="130"/>
      <c r="AK356" s="130"/>
      <c r="AL356" s="130"/>
      <c r="AM356" s="130"/>
      <c r="AN356" s="130"/>
      <c r="AO356" s="130"/>
      <c r="AP356" s="132"/>
    </row>
    <row r="357" spans="27:42" ht="12.75" hidden="1">
      <c r="AA357" s="130">
        <v>1</v>
      </c>
      <c r="AB357" s="130">
        <v>115</v>
      </c>
      <c r="AC357" s="130">
        <v>10</v>
      </c>
      <c r="AD357" s="130">
        <v>20</v>
      </c>
      <c r="AE357" s="130"/>
      <c r="AF357" s="130">
        <v>1</v>
      </c>
      <c r="AG357" s="130">
        <v>95</v>
      </c>
      <c r="AH357" s="130">
        <v>10</v>
      </c>
      <c r="AI357" s="130">
        <v>20</v>
      </c>
      <c r="AJ357" s="130"/>
      <c r="AK357" s="130"/>
      <c r="AL357" s="130"/>
      <c r="AM357" s="130"/>
      <c r="AN357" s="130"/>
      <c r="AO357" s="130"/>
      <c r="AP357" s="132"/>
    </row>
    <row r="358" spans="2:42" ht="12.75" hidden="1">
      <c r="B358" t="s">
        <v>1460</v>
      </c>
      <c r="H358" t="s">
        <v>18</v>
      </c>
      <c r="Q358" t="s">
        <v>1043</v>
      </c>
      <c r="R358" t="s">
        <v>1042</v>
      </c>
      <c r="AA358" s="130">
        <v>2</v>
      </c>
      <c r="AB358" s="130">
        <v>90</v>
      </c>
      <c r="AC358" s="130">
        <v>10</v>
      </c>
      <c r="AD358" s="130">
        <v>20</v>
      </c>
      <c r="AE358" s="130"/>
      <c r="AF358" s="130">
        <v>2</v>
      </c>
      <c r="AG358" s="130">
        <v>70</v>
      </c>
      <c r="AH358" s="130">
        <v>10</v>
      </c>
      <c r="AI358" s="130">
        <v>20</v>
      </c>
      <c r="AJ358" s="130"/>
      <c r="AK358" s="130"/>
      <c r="AL358" s="130"/>
      <c r="AM358" s="130"/>
      <c r="AN358" s="130"/>
      <c r="AO358" s="130"/>
      <c r="AP358" s="132"/>
    </row>
    <row r="359" spans="3:42" ht="12.75" hidden="1">
      <c r="C359" s="182" t="e">
        <f>VLOOKUP(H107,I314:J347,2)</f>
        <v>#N/A</v>
      </c>
      <c r="AA359" s="130">
        <v>3</v>
      </c>
      <c r="AB359" s="130">
        <v>70</v>
      </c>
      <c r="AC359" s="130">
        <v>10</v>
      </c>
      <c r="AD359" s="130">
        <v>20</v>
      </c>
      <c r="AE359" s="130"/>
      <c r="AF359" s="130">
        <v>3</v>
      </c>
      <c r="AG359" s="130">
        <v>60</v>
      </c>
      <c r="AH359" s="130">
        <v>10</v>
      </c>
      <c r="AI359" s="130">
        <v>20</v>
      </c>
      <c r="AJ359" s="130"/>
      <c r="AK359" s="130"/>
      <c r="AL359" s="130"/>
      <c r="AM359" s="130"/>
      <c r="AN359" s="130"/>
      <c r="AO359" s="130"/>
      <c r="AP359" s="132"/>
    </row>
    <row r="360" spans="3:42" ht="12.75" hidden="1">
      <c r="C360" s="183" t="e">
        <f>VLOOKUP(R107,I314:J347,2)</f>
        <v>#N/A</v>
      </c>
      <c r="H360" t="s">
        <v>1583</v>
      </c>
      <c r="L360"/>
      <c r="M360"/>
      <c r="Q360" t="s">
        <v>784</v>
      </c>
      <c r="R360" s="124" t="s">
        <v>986</v>
      </c>
      <c r="AA360" s="130">
        <v>4</v>
      </c>
      <c r="AB360" s="130">
        <v>50</v>
      </c>
      <c r="AC360" s="130">
        <v>10</v>
      </c>
      <c r="AD360" s="130">
        <v>20</v>
      </c>
      <c r="AE360" s="130"/>
      <c r="AF360" s="130">
        <v>4</v>
      </c>
      <c r="AG360" s="130">
        <v>50</v>
      </c>
      <c r="AH360" s="130">
        <v>10</v>
      </c>
      <c r="AI360" s="130">
        <v>20</v>
      </c>
      <c r="AJ360" s="130"/>
      <c r="AK360" s="130"/>
      <c r="AL360" s="130"/>
      <c r="AM360" s="130"/>
      <c r="AN360" s="130"/>
      <c r="AO360" s="130"/>
      <c r="AP360" s="132"/>
    </row>
    <row r="361" spans="3:42" ht="12.75" hidden="1">
      <c r="C361" s="183" t="e">
        <f>VLOOKUP(H168,I314:J347,2)</f>
        <v>#N/A</v>
      </c>
      <c r="H361" t="s">
        <v>1582</v>
      </c>
      <c r="L361"/>
      <c r="M361"/>
      <c r="Q361" t="s">
        <v>785</v>
      </c>
      <c r="R361" s="124" t="s">
        <v>987</v>
      </c>
      <c r="AA361" s="130"/>
      <c r="AB361" s="130"/>
      <c r="AC361" s="130"/>
      <c r="AD361" s="130"/>
      <c r="AE361" s="130"/>
      <c r="AF361" s="130"/>
      <c r="AG361" s="130"/>
      <c r="AH361" s="130"/>
      <c r="AI361" s="130"/>
      <c r="AJ361" s="130"/>
      <c r="AK361" s="130"/>
      <c r="AL361" s="130"/>
      <c r="AM361" s="130"/>
      <c r="AN361" s="130"/>
      <c r="AO361" s="130"/>
      <c r="AP361" s="132"/>
    </row>
    <row r="362" spans="3:42" ht="12.75" hidden="1">
      <c r="C362" s="183" t="e">
        <f>VLOOKUP(R168,I314:J347,2)</f>
        <v>#N/A</v>
      </c>
      <c r="H362" t="s">
        <v>1585</v>
      </c>
      <c r="L362"/>
      <c r="M362"/>
      <c r="Q362" t="s">
        <v>786</v>
      </c>
      <c r="R362" s="124" t="s">
        <v>988</v>
      </c>
      <c r="AA362" s="130"/>
      <c r="AB362" s="130"/>
      <c r="AC362" s="130"/>
      <c r="AD362" s="130"/>
      <c r="AE362" s="130"/>
      <c r="AF362" s="130"/>
      <c r="AG362" s="130"/>
      <c r="AH362" s="130"/>
      <c r="AI362" s="130"/>
      <c r="AJ362" s="130"/>
      <c r="AK362" s="130"/>
      <c r="AL362" s="130"/>
      <c r="AM362" s="130"/>
      <c r="AN362" s="130"/>
      <c r="AO362" s="130"/>
      <c r="AP362" s="132"/>
    </row>
    <row r="363" spans="3:42" ht="12.75" hidden="1">
      <c r="C363" s="183" t="e">
        <f>VLOOKUP(H230,I314:J347,2)</f>
        <v>#N/A</v>
      </c>
      <c r="H363" t="s">
        <v>1587</v>
      </c>
      <c r="L363"/>
      <c r="M363"/>
      <c r="Q363" s="124" t="s">
        <v>787</v>
      </c>
      <c r="R363" s="124" t="s">
        <v>989</v>
      </c>
      <c r="AA363" s="130"/>
      <c r="AB363" s="130"/>
      <c r="AC363" s="130"/>
      <c r="AD363" s="130"/>
      <c r="AE363" s="130"/>
      <c r="AF363" s="130"/>
      <c r="AG363" s="130"/>
      <c r="AH363" s="130"/>
      <c r="AI363" s="130"/>
      <c r="AJ363" s="130"/>
      <c r="AK363" s="130"/>
      <c r="AL363" s="130"/>
      <c r="AM363" s="130"/>
      <c r="AN363" s="130"/>
      <c r="AO363" s="130"/>
      <c r="AP363" s="132"/>
    </row>
    <row r="364" spans="1:42" ht="12.75" hidden="1">
      <c r="A364" s="130"/>
      <c r="B364" s="130"/>
      <c r="C364" s="2" t="e">
        <f>VLOOKUP(R230,I314:J347,2)</f>
        <v>#N/A</v>
      </c>
      <c r="D364" s="130"/>
      <c r="L364"/>
      <c r="M364"/>
      <c r="Q364" t="s">
        <v>788</v>
      </c>
      <c r="R364" s="124" t="s">
        <v>990</v>
      </c>
      <c r="AA364" s="130"/>
      <c r="AB364" s="130"/>
      <c r="AC364" s="130"/>
      <c r="AD364" s="130"/>
      <c r="AE364" s="130"/>
      <c r="AF364" s="130"/>
      <c r="AG364" s="130"/>
      <c r="AH364" s="130"/>
      <c r="AI364" s="130"/>
      <c r="AJ364" s="130" t="s">
        <v>648</v>
      </c>
      <c r="AK364" s="130"/>
      <c r="AL364" s="130"/>
      <c r="AM364" s="130" t="s">
        <v>649</v>
      </c>
      <c r="AN364" s="130"/>
      <c r="AO364" s="130"/>
      <c r="AP364" s="132"/>
    </row>
    <row r="365" spans="1:42" ht="12.75" hidden="1">
      <c r="A365" s="130"/>
      <c r="B365" s="130"/>
      <c r="C365" s="130"/>
      <c r="D365" s="130"/>
      <c r="L365"/>
      <c r="M365"/>
      <c r="Q365" t="s">
        <v>789</v>
      </c>
      <c r="R365" s="124" t="s">
        <v>991</v>
      </c>
      <c r="AA365" s="130"/>
      <c r="AB365" s="130"/>
      <c r="AC365" s="130"/>
      <c r="AD365" s="130"/>
      <c r="AE365" s="130"/>
      <c r="AF365" s="130"/>
      <c r="AG365" s="130"/>
      <c r="AH365" s="130"/>
      <c r="AI365" s="130"/>
      <c r="AJ365" s="130"/>
      <c r="AK365" s="131" t="s">
        <v>189</v>
      </c>
      <c r="AL365" s="130"/>
      <c r="AM365" s="131" t="s">
        <v>654</v>
      </c>
      <c r="AN365" s="131" t="s">
        <v>189</v>
      </c>
      <c r="AO365" s="130"/>
      <c r="AP365" s="132"/>
    </row>
    <row r="366" spans="1:42" ht="12.75" hidden="1">
      <c r="A366" s="130"/>
      <c r="B366" s="130"/>
      <c r="C366" s="130"/>
      <c r="D366" s="130"/>
      <c r="L366"/>
      <c r="M366"/>
      <c r="Q366" s="124" t="s">
        <v>790</v>
      </c>
      <c r="R366" s="124" t="s">
        <v>992</v>
      </c>
      <c r="AA366" s="130"/>
      <c r="AB366" s="130"/>
      <c r="AC366" s="130"/>
      <c r="AD366" s="130"/>
      <c r="AE366" s="130"/>
      <c r="AF366" s="130"/>
      <c r="AG366" s="130"/>
      <c r="AH366" s="130"/>
      <c r="AI366" s="130"/>
      <c r="AJ366" s="130" t="s">
        <v>332</v>
      </c>
      <c r="AK366" s="130">
        <v>20</v>
      </c>
      <c r="AL366" s="130"/>
      <c r="AM366" s="131">
        <v>0</v>
      </c>
      <c r="AN366" s="130">
        <v>30</v>
      </c>
      <c r="AO366" s="130"/>
      <c r="AP366" s="132"/>
    </row>
    <row r="367" spans="1:42" ht="12.75" hidden="1">
      <c r="A367" s="130"/>
      <c r="B367" s="131"/>
      <c r="C367" s="131"/>
      <c r="D367" s="131"/>
      <c r="E367" s="130"/>
      <c r="F367" s="130"/>
      <c r="G367" s="130"/>
      <c r="H367" s="130"/>
      <c r="I367" s="130"/>
      <c r="J367" s="131"/>
      <c r="K367" s="130"/>
      <c r="L367" s="131"/>
      <c r="M367" s="131"/>
      <c r="Q367" t="s">
        <v>791</v>
      </c>
      <c r="R367" s="124" t="s">
        <v>993</v>
      </c>
      <c r="AA367" s="130"/>
      <c r="AB367" s="130"/>
      <c r="AC367" s="130"/>
      <c r="AD367" s="130"/>
      <c r="AE367" s="130"/>
      <c r="AF367" s="130"/>
      <c r="AG367" s="130"/>
      <c r="AH367" s="130"/>
      <c r="AI367" s="130"/>
      <c r="AJ367" s="130">
        <v>1</v>
      </c>
      <c r="AK367" s="130">
        <v>20</v>
      </c>
      <c r="AL367" s="130"/>
      <c r="AM367" s="130">
        <v>1</v>
      </c>
      <c r="AN367" s="130">
        <v>30</v>
      </c>
      <c r="AO367" s="130"/>
      <c r="AP367" s="132"/>
    </row>
    <row r="368" spans="1:42" ht="12.75" hidden="1">
      <c r="A368" s="130"/>
      <c r="B368" s="130"/>
      <c r="C368" s="130"/>
      <c r="D368" s="130"/>
      <c r="E368" s="130"/>
      <c r="F368" s="130"/>
      <c r="G368" s="130"/>
      <c r="H368" s="130"/>
      <c r="I368" s="130"/>
      <c r="J368" s="130"/>
      <c r="K368" s="130"/>
      <c r="L368" s="131"/>
      <c r="M368" s="130"/>
      <c r="Q368" t="s">
        <v>792</v>
      </c>
      <c r="R368" s="124" t="s">
        <v>994</v>
      </c>
      <c r="AA368" s="130"/>
      <c r="AB368" s="130"/>
      <c r="AC368" s="131" t="s">
        <v>636</v>
      </c>
      <c r="AD368" s="131" t="s">
        <v>636</v>
      </c>
      <c r="AE368" s="131" t="s">
        <v>636</v>
      </c>
      <c r="AF368" s="131" t="s">
        <v>637</v>
      </c>
      <c r="AG368" s="131" t="s">
        <v>637</v>
      </c>
      <c r="AH368" s="131" t="s">
        <v>637</v>
      </c>
      <c r="AI368" s="130"/>
      <c r="AJ368" s="130">
        <v>10</v>
      </c>
      <c r="AK368" s="130">
        <v>15</v>
      </c>
      <c r="AL368" s="130"/>
      <c r="AM368" s="130">
        <v>10</v>
      </c>
      <c r="AN368" s="130">
        <v>20</v>
      </c>
      <c r="AO368" s="130"/>
      <c r="AP368" s="132"/>
    </row>
    <row r="369" spans="1:42" ht="12.75" hidden="1">
      <c r="A369" s="130"/>
      <c r="B369" s="130"/>
      <c r="C369" s="130"/>
      <c r="D369" s="130"/>
      <c r="E369" s="130"/>
      <c r="F369" s="130"/>
      <c r="G369" s="130"/>
      <c r="H369" s="130"/>
      <c r="I369" s="130"/>
      <c r="J369" s="130"/>
      <c r="K369" s="130"/>
      <c r="L369" s="130"/>
      <c r="M369" s="802"/>
      <c r="Q369" t="s">
        <v>793</v>
      </c>
      <c r="R369" s="124" t="s">
        <v>995</v>
      </c>
      <c r="AA369" s="130" t="s">
        <v>658</v>
      </c>
      <c r="AB369" s="130">
        <v>4</v>
      </c>
      <c r="AC369" s="130">
        <f>VLOOKUP($AB369,$AA$357:$AD$360,2)</f>
        <v>50</v>
      </c>
      <c r="AD369" s="130">
        <f>VLOOKUP($AB369,$AA$357:$AD$360,3)</f>
        <v>10</v>
      </c>
      <c r="AE369" s="130">
        <f>VLOOKUP($AB369,$AA$357:$AD$360,4)</f>
        <v>20</v>
      </c>
      <c r="AF369" s="130">
        <f aca="true" t="shared" si="4" ref="AF369:AF376">VLOOKUP($AB369,$AF$357:$AI$360,2)</f>
        <v>50</v>
      </c>
      <c r="AG369" s="130">
        <f aca="true" t="shared" si="5" ref="AG369:AG376">VLOOKUP($AB369,$AF$357:$AI$360,3)</f>
        <v>10</v>
      </c>
      <c r="AH369" s="130">
        <f aca="true" t="shared" si="6" ref="AH369:AH376">VLOOKUP($AB369,$AF$357:$AI$360,4)</f>
        <v>20</v>
      </c>
      <c r="AI369" s="130"/>
      <c r="AJ369" s="130">
        <v>20</v>
      </c>
      <c r="AK369" s="130">
        <v>10</v>
      </c>
      <c r="AL369" s="130"/>
      <c r="AM369" s="130">
        <v>20</v>
      </c>
      <c r="AN369" s="130">
        <v>10</v>
      </c>
      <c r="AO369" s="130"/>
      <c r="AP369" s="132"/>
    </row>
    <row r="370" spans="1:42" ht="12.75" hidden="1">
      <c r="A370" s="130"/>
      <c r="B370" s="130"/>
      <c r="C370" s="130"/>
      <c r="D370" s="130"/>
      <c r="E370" s="131"/>
      <c r="F370" s="131"/>
      <c r="G370" s="131"/>
      <c r="I370" s="130"/>
      <c r="J370" s="130"/>
      <c r="K370" s="130"/>
      <c r="L370" s="130"/>
      <c r="M370" s="130"/>
      <c r="Q370" t="s">
        <v>794</v>
      </c>
      <c r="R370" s="124" t="s">
        <v>996</v>
      </c>
      <c r="AA370" s="130" t="s">
        <v>660</v>
      </c>
      <c r="AB370" s="130">
        <v>2</v>
      </c>
      <c r="AC370" s="130">
        <f aca="true" t="shared" si="7" ref="AC370:AC376">VLOOKUP(AB370,$AA$357:$AD$360,2)</f>
        <v>90</v>
      </c>
      <c r="AD370" s="130">
        <f aca="true" t="shared" si="8" ref="AD370:AD376">VLOOKUP(AC370,$AA$357:$AD$360,3)</f>
        <v>10</v>
      </c>
      <c r="AE370" s="130">
        <f aca="true" t="shared" si="9" ref="AE370:AE376">VLOOKUP(AD370,$AA$357:$AD$360,4)</f>
        <v>20</v>
      </c>
      <c r="AF370" s="130">
        <f t="shared" si="4"/>
        <v>70</v>
      </c>
      <c r="AG370" s="130">
        <f t="shared" si="5"/>
        <v>10</v>
      </c>
      <c r="AH370" s="130">
        <f t="shared" si="6"/>
        <v>20</v>
      </c>
      <c r="AI370" s="130"/>
      <c r="AJ370" s="130">
        <v>30</v>
      </c>
      <c r="AK370" s="130">
        <v>0</v>
      </c>
      <c r="AL370" s="130"/>
      <c r="AM370" s="130">
        <v>30</v>
      </c>
      <c r="AN370" s="130">
        <v>0</v>
      </c>
      <c r="AO370" s="130"/>
      <c r="AP370" s="132"/>
    </row>
    <row r="371" spans="1:42" ht="12.75" hidden="1">
      <c r="A371" s="130"/>
      <c r="B371" s="130"/>
      <c r="C371" s="130"/>
      <c r="D371" s="130"/>
      <c r="E371" s="130"/>
      <c r="F371" s="130"/>
      <c r="G371" s="130" t="s">
        <v>57</v>
      </c>
      <c r="H371" s="130" t="s">
        <v>58</v>
      </c>
      <c r="I371" s="130"/>
      <c r="J371" s="130"/>
      <c r="K371" s="130"/>
      <c r="L371" s="130"/>
      <c r="M371" s="130"/>
      <c r="Q371" t="s">
        <v>795</v>
      </c>
      <c r="R371" s="124" t="s">
        <v>997</v>
      </c>
      <c r="AA371" s="130" t="s">
        <v>662</v>
      </c>
      <c r="AB371" s="130">
        <v>2</v>
      </c>
      <c r="AC371" s="130">
        <f t="shared" si="7"/>
        <v>90</v>
      </c>
      <c r="AD371" s="130">
        <f t="shared" si="8"/>
        <v>10</v>
      </c>
      <c r="AE371" s="130">
        <f t="shared" si="9"/>
        <v>20</v>
      </c>
      <c r="AF371" s="130">
        <f t="shared" si="4"/>
        <v>70</v>
      </c>
      <c r="AG371" s="130">
        <f t="shared" si="5"/>
        <v>10</v>
      </c>
      <c r="AH371" s="130">
        <f t="shared" si="6"/>
        <v>20</v>
      </c>
      <c r="AI371" s="130"/>
      <c r="AJ371" s="130"/>
      <c r="AK371" s="130"/>
      <c r="AL371" s="130"/>
      <c r="AM371" s="130"/>
      <c r="AN371" s="130"/>
      <c r="AO371" s="130"/>
      <c r="AP371" s="132"/>
    </row>
    <row r="372" spans="1:42" ht="15.75" hidden="1">
      <c r="A372" s="372" t="s">
        <v>432</v>
      </c>
      <c r="B372" s="130"/>
      <c r="C372" s="130"/>
      <c r="D372" s="130"/>
      <c r="E372" s="130"/>
      <c r="F372" s="130"/>
      <c r="G372" s="130" t="e">
        <f>VLOOKUP(C86,F373:H377,2)</f>
        <v>#N/A</v>
      </c>
      <c r="H372" s="130" t="e">
        <f>VLOOKUP(C86,F373:H377,3)</f>
        <v>#N/A</v>
      </c>
      <c r="I372" s="130"/>
      <c r="J372" s="130"/>
      <c r="K372" s="130"/>
      <c r="L372" s="130"/>
      <c r="M372" s="119" t="s">
        <v>240</v>
      </c>
      <c r="N372" s="86">
        <v>2</v>
      </c>
      <c r="Q372" s="124" t="s">
        <v>998</v>
      </c>
      <c r="R372" s="124" t="s">
        <v>999</v>
      </c>
      <c r="AA372" s="130" t="s">
        <v>664</v>
      </c>
      <c r="AB372" s="130">
        <v>4</v>
      </c>
      <c r="AC372" s="130">
        <f t="shared" si="7"/>
        <v>50</v>
      </c>
      <c r="AD372" s="130">
        <f t="shared" si="8"/>
        <v>10</v>
      </c>
      <c r="AE372" s="130">
        <f t="shared" si="9"/>
        <v>20</v>
      </c>
      <c r="AF372" s="130">
        <f t="shared" si="4"/>
        <v>50</v>
      </c>
      <c r="AG372" s="130">
        <f t="shared" si="5"/>
        <v>10</v>
      </c>
      <c r="AH372" s="130">
        <f t="shared" si="6"/>
        <v>20</v>
      </c>
      <c r="AI372" s="130"/>
      <c r="AJ372" s="130"/>
      <c r="AK372" s="131" t="s">
        <v>188</v>
      </c>
      <c r="AL372" s="130"/>
      <c r="AM372" s="131" t="s">
        <v>654</v>
      </c>
      <c r="AN372" s="131" t="s">
        <v>188</v>
      </c>
      <c r="AO372" s="130"/>
      <c r="AP372" s="132"/>
    </row>
    <row r="373" spans="1:42" ht="15.75" hidden="1">
      <c r="A373" s="372"/>
      <c r="B373" s="372"/>
      <c r="C373" s="372"/>
      <c r="E373" s="130"/>
      <c r="F373" s="130"/>
      <c r="G373" s="130"/>
      <c r="H373" s="130"/>
      <c r="I373" s="130"/>
      <c r="J373" s="130"/>
      <c r="K373" s="130"/>
      <c r="L373" s="130"/>
      <c r="M373" s="372" t="s">
        <v>267</v>
      </c>
      <c r="N373" s="86">
        <v>8</v>
      </c>
      <c r="Q373" t="s">
        <v>1000</v>
      </c>
      <c r="R373" s="124" t="s">
        <v>1001</v>
      </c>
      <c r="AA373" s="130" t="s">
        <v>666</v>
      </c>
      <c r="AB373" s="130">
        <v>3</v>
      </c>
      <c r="AC373" s="130">
        <f t="shared" si="7"/>
        <v>70</v>
      </c>
      <c r="AD373" s="130">
        <f t="shared" si="8"/>
        <v>10</v>
      </c>
      <c r="AE373" s="130">
        <f t="shared" si="9"/>
        <v>20</v>
      </c>
      <c r="AF373" s="130">
        <f t="shared" si="4"/>
        <v>60</v>
      </c>
      <c r="AG373" s="130">
        <f t="shared" si="5"/>
        <v>10</v>
      </c>
      <c r="AH373" s="130">
        <f t="shared" si="6"/>
        <v>20</v>
      </c>
      <c r="AI373" s="130"/>
      <c r="AJ373" s="130" t="s">
        <v>332</v>
      </c>
      <c r="AK373" s="130">
        <v>80</v>
      </c>
      <c r="AL373" s="130"/>
      <c r="AM373" s="131">
        <v>0</v>
      </c>
      <c r="AN373" s="130">
        <v>100</v>
      </c>
      <c r="AO373" s="130"/>
      <c r="AP373" s="132"/>
    </row>
    <row r="374" spans="2:42" ht="15.75" hidden="1">
      <c r="B374" s="375" t="s">
        <v>155</v>
      </c>
      <c r="C374" s="374">
        <v>5</v>
      </c>
      <c r="D374" s="15"/>
      <c r="E374" s="130"/>
      <c r="F374" s="130" t="s">
        <v>56</v>
      </c>
      <c r="G374" s="130">
        <v>2</v>
      </c>
      <c r="H374" s="130">
        <v>2</v>
      </c>
      <c r="I374" s="130"/>
      <c r="J374" s="130"/>
      <c r="K374" s="130"/>
      <c r="L374" s="131"/>
      <c r="M374" s="372" t="s">
        <v>271</v>
      </c>
      <c r="N374" s="86">
        <v>10</v>
      </c>
      <c r="Q374" t="s">
        <v>798</v>
      </c>
      <c r="R374" s="124" t="s">
        <v>1002</v>
      </c>
      <c r="AA374" s="130" t="s">
        <v>667</v>
      </c>
      <c r="AB374" s="130">
        <v>4</v>
      </c>
      <c r="AC374" s="130">
        <f t="shared" si="7"/>
        <v>50</v>
      </c>
      <c r="AD374" s="130">
        <f t="shared" si="8"/>
        <v>10</v>
      </c>
      <c r="AE374" s="130">
        <f t="shared" si="9"/>
        <v>20</v>
      </c>
      <c r="AF374" s="130">
        <f t="shared" si="4"/>
        <v>50</v>
      </c>
      <c r="AG374" s="130">
        <f t="shared" si="5"/>
        <v>10</v>
      </c>
      <c r="AH374" s="130">
        <f t="shared" si="6"/>
        <v>20</v>
      </c>
      <c r="AI374" s="130"/>
      <c r="AJ374" s="130">
        <v>1</v>
      </c>
      <c r="AK374" s="130">
        <v>80</v>
      </c>
      <c r="AL374" s="130"/>
      <c r="AM374" s="130">
        <v>1</v>
      </c>
      <c r="AN374" s="130">
        <v>100</v>
      </c>
      <c r="AO374" s="130"/>
      <c r="AP374" s="132"/>
    </row>
    <row r="375" spans="2:42" ht="15.75" hidden="1">
      <c r="B375" s="375" t="s">
        <v>762</v>
      </c>
      <c r="C375" s="374">
        <v>1</v>
      </c>
      <c r="D375" s="15"/>
      <c r="E375" s="130"/>
      <c r="F375" s="130" t="s">
        <v>55</v>
      </c>
      <c r="G375" s="130">
        <v>1</v>
      </c>
      <c r="H375" s="130">
        <v>2</v>
      </c>
      <c r="I375" s="130"/>
      <c r="J375" s="130"/>
      <c r="K375" s="130"/>
      <c r="L375" s="130"/>
      <c r="M375" s="119" t="s">
        <v>227</v>
      </c>
      <c r="N375" s="86">
        <v>1</v>
      </c>
      <c r="Q375" t="s">
        <v>799</v>
      </c>
      <c r="R375" s="124" t="s">
        <v>1003</v>
      </c>
      <c r="AA375" s="130" t="s">
        <v>668</v>
      </c>
      <c r="AB375" s="130">
        <v>4</v>
      </c>
      <c r="AC375" s="130">
        <f t="shared" si="7"/>
        <v>50</v>
      </c>
      <c r="AD375" s="130">
        <f t="shared" si="8"/>
        <v>10</v>
      </c>
      <c r="AE375" s="130">
        <f t="shared" si="9"/>
        <v>20</v>
      </c>
      <c r="AF375" s="130">
        <f t="shared" si="4"/>
        <v>50</v>
      </c>
      <c r="AG375" s="130">
        <f t="shared" si="5"/>
        <v>10</v>
      </c>
      <c r="AH375" s="130">
        <f t="shared" si="6"/>
        <v>20</v>
      </c>
      <c r="AI375" s="130"/>
      <c r="AJ375" s="130">
        <v>100</v>
      </c>
      <c r="AK375" s="130">
        <v>45</v>
      </c>
      <c r="AL375" s="130"/>
      <c r="AM375" s="130">
        <v>100</v>
      </c>
      <c r="AN375" s="130">
        <v>75</v>
      </c>
      <c r="AO375" s="130"/>
      <c r="AP375" s="132"/>
    </row>
    <row r="376" spans="2:42" ht="15.75" hidden="1">
      <c r="B376" s="375" t="s">
        <v>145</v>
      </c>
      <c r="C376" s="374">
        <v>2</v>
      </c>
      <c r="D376" s="15"/>
      <c r="E376" s="130"/>
      <c r="F376" s="130" t="s">
        <v>883</v>
      </c>
      <c r="G376" s="130">
        <v>2</v>
      </c>
      <c r="H376" s="130">
        <v>1</v>
      </c>
      <c r="I376" s="130"/>
      <c r="J376" s="130"/>
      <c r="K376" s="130"/>
      <c r="L376" s="130"/>
      <c r="M376" s="372" t="s">
        <v>251</v>
      </c>
      <c r="N376" s="86">
        <v>5</v>
      </c>
      <c r="Q376" t="s">
        <v>800</v>
      </c>
      <c r="R376" s="124" t="s">
        <v>1005</v>
      </c>
      <c r="AA376" s="130" t="s">
        <v>669</v>
      </c>
      <c r="AB376" s="130">
        <v>3</v>
      </c>
      <c r="AC376" s="130">
        <f t="shared" si="7"/>
        <v>70</v>
      </c>
      <c r="AD376" s="130">
        <f t="shared" si="8"/>
        <v>10</v>
      </c>
      <c r="AE376" s="130">
        <f t="shared" si="9"/>
        <v>20</v>
      </c>
      <c r="AF376" s="130">
        <f t="shared" si="4"/>
        <v>60</v>
      </c>
      <c r="AG376" s="130">
        <f t="shared" si="5"/>
        <v>10</v>
      </c>
      <c r="AH376" s="130">
        <f t="shared" si="6"/>
        <v>20</v>
      </c>
      <c r="AI376" s="130"/>
      <c r="AJ376" s="130">
        <v>200</v>
      </c>
      <c r="AK376" s="130">
        <v>20</v>
      </c>
      <c r="AL376" s="130"/>
      <c r="AM376" s="130">
        <v>200</v>
      </c>
      <c r="AN376" s="130">
        <v>50</v>
      </c>
      <c r="AO376" s="130"/>
      <c r="AP376" s="132"/>
    </row>
    <row r="377" spans="2:42" ht="15.75" hidden="1">
      <c r="B377" s="375" t="s">
        <v>149</v>
      </c>
      <c r="C377" s="374">
        <v>3</v>
      </c>
      <c r="D377" s="15"/>
      <c r="E377" s="130"/>
      <c r="F377" s="130" t="s">
        <v>54</v>
      </c>
      <c r="G377" s="130">
        <v>1</v>
      </c>
      <c r="H377" s="130">
        <v>1</v>
      </c>
      <c r="I377" s="130"/>
      <c r="J377" s="130"/>
      <c r="K377" s="130"/>
      <c r="L377" s="130"/>
      <c r="M377" s="372" t="s">
        <v>261</v>
      </c>
      <c r="N377" s="86">
        <v>7</v>
      </c>
      <c r="Q377" s="124" t="s">
        <v>801</v>
      </c>
      <c r="R377" s="124" t="s">
        <v>1004</v>
      </c>
      <c r="AA377" s="130" t="s">
        <v>671</v>
      </c>
      <c r="AB377" s="130">
        <v>1</v>
      </c>
      <c r="AC377" s="130">
        <f aca="true" t="shared" si="10" ref="AC377:AC391">VLOOKUP(AB377,$AA$357:$AD$360,2)</f>
        <v>115</v>
      </c>
      <c r="AD377" s="130">
        <f aca="true" t="shared" si="11" ref="AD377:AD391">VLOOKUP(AC377,$AA$357:$AD$360,3)</f>
        <v>10</v>
      </c>
      <c r="AE377" s="130">
        <f aca="true" t="shared" si="12" ref="AE377:AE391">VLOOKUP(AD377,$AA$357:$AD$360,4)</f>
        <v>20</v>
      </c>
      <c r="AF377" s="130">
        <f aca="true" t="shared" si="13" ref="AF377:AF391">VLOOKUP($AB377,$AF$357:$AI$360,2)</f>
        <v>95</v>
      </c>
      <c r="AG377" s="130">
        <f aca="true" t="shared" si="14" ref="AG377:AG391">VLOOKUP($AB377,$AF$357:$AI$360,3)</f>
        <v>10</v>
      </c>
      <c r="AH377" s="130">
        <f aca="true" t="shared" si="15" ref="AH377:AH391">VLOOKUP($AB377,$AF$357:$AI$360,4)</f>
        <v>20</v>
      </c>
      <c r="AI377" s="130"/>
      <c r="AJ377" s="130">
        <v>300</v>
      </c>
      <c r="AK377" s="130">
        <v>0</v>
      </c>
      <c r="AL377" s="130"/>
      <c r="AM377" s="130">
        <v>300</v>
      </c>
      <c r="AN377" s="130">
        <v>0</v>
      </c>
      <c r="AO377" s="130"/>
      <c r="AP377" s="132"/>
    </row>
    <row r="378" spans="2:42" ht="15.75" hidden="1">
      <c r="B378" s="375" t="s">
        <v>150</v>
      </c>
      <c r="C378" s="374">
        <v>4</v>
      </c>
      <c r="D378" s="15"/>
      <c r="E378" s="130"/>
      <c r="F378" s="130"/>
      <c r="G378" s="130"/>
      <c r="H378" s="130"/>
      <c r="I378" s="130"/>
      <c r="J378" s="130"/>
      <c r="K378" s="130"/>
      <c r="L378" s="130"/>
      <c r="M378" s="119" t="s">
        <v>248</v>
      </c>
      <c r="N378" s="86">
        <v>4</v>
      </c>
      <c r="Q378" t="s">
        <v>802</v>
      </c>
      <c r="R378" s="124" t="s">
        <v>1006</v>
      </c>
      <c r="AA378" s="130" t="s">
        <v>672</v>
      </c>
      <c r="AB378" s="130">
        <v>2</v>
      </c>
      <c r="AC378" s="130">
        <f t="shared" si="10"/>
        <v>90</v>
      </c>
      <c r="AD378" s="130">
        <f t="shared" si="11"/>
        <v>10</v>
      </c>
      <c r="AE378" s="130">
        <f t="shared" si="12"/>
        <v>20</v>
      </c>
      <c r="AF378" s="130">
        <f t="shared" si="13"/>
        <v>70</v>
      </c>
      <c r="AG378" s="130">
        <f t="shared" si="14"/>
        <v>10</v>
      </c>
      <c r="AH378" s="130">
        <f t="shared" si="15"/>
        <v>20</v>
      </c>
      <c r="AI378" s="130"/>
      <c r="AJ378" s="130"/>
      <c r="AK378" s="130"/>
      <c r="AL378" s="130"/>
      <c r="AM378" s="130"/>
      <c r="AN378" s="130"/>
      <c r="AO378" s="130"/>
      <c r="AP378" s="132"/>
    </row>
    <row r="379" spans="1:42" ht="15.75" hidden="1">
      <c r="A379" s="130"/>
      <c r="B379" s="130"/>
      <c r="C379" s="130"/>
      <c r="D379" s="130"/>
      <c r="E379" s="130"/>
      <c r="F379" s="130"/>
      <c r="G379" s="130"/>
      <c r="H379" s="130"/>
      <c r="I379" s="130"/>
      <c r="J379" s="130"/>
      <c r="K379" s="130"/>
      <c r="L379" s="130"/>
      <c r="M379" s="372" t="s">
        <v>295</v>
      </c>
      <c r="N379" s="86">
        <v>13</v>
      </c>
      <c r="Q379" t="s">
        <v>803</v>
      </c>
      <c r="R379" s="124" t="s">
        <v>1007</v>
      </c>
      <c r="AA379" s="130" t="s">
        <v>674</v>
      </c>
      <c r="AB379" s="130">
        <v>2</v>
      </c>
      <c r="AC379" s="130">
        <f t="shared" si="10"/>
        <v>90</v>
      </c>
      <c r="AD379" s="130">
        <f t="shared" si="11"/>
        <v>10</v>
      </c>
      <c r="AE379" s="130">
        <f t="shared" si="12"/>
        <v>20</v>
      </c>
      <c r="AF379" s="130">
        <f t="shared" si="13"/>
        <v>70</v>
      </c>
      <c r="AG379" s="130">
        <f t="shared" si="14"/>
        <v>10</v>
      </c>
      <c r="AH379" s="130">
        <f t="shared" si="15"/>
        <v>20</v>
      </c>
      <c r="AI379" s="130"/>
      <c r="AJ379" s="130"/>
      <c r="AK379" s="130"/>
      <c r="AL379" s="130"/>
      <c r="AM379" s="130"/>
      <c r="AN379" s="130"/>
      <c r="AO379" s="130"/>
      <c r="AP379" s="132"/>
    </row>
    <row r="380" spans="1:42" ht="15.75" hidden="1">
      <c r="A380" s="130"/>
      <c r="B380" s="130"/>
      <c r="C380" s="130"/>
      <c r="D380" s="130"/>
      <c r="E380" s="130"/>
      <c r="F380" s="130"/>
      <c r="G380" s="130"/>
      <c r="H380" s="130"/>
      <c r="I380" s="130"/>
      <c r="J380" s="130"/>
      <c r="K380" s="130"/>
      <c r="L380" s="130"/>
      <c r="M380" s="372" t="s">
        <v>269</v>
      </c>
      <c r="N380" s="86">
        <v>9</v>
      </c>
      <c r="Q380" s="124" t="s">
        <v>804</v>
      </c>
      <c r="R380" s="124" t="s">
        <v>1008</v>
      </c>
      <c r="AA380" s="130" t="s">
        <v>676</v>
      </c>
      <c r="AB380" s="130">
        <v>4</v>
      </c>
      <c r="AC380" s="130">
        <f t="shared" si="10"/>
        <v>50</v>
      </c>
      <c r="AD380" s="130">
        <f t="shared" si="11"/>
        <v>10</v>
      </c>
      <c r="AE380" s="130">
        <f t="shared" si="12"/>
        <v>20</v>
      </c>
      <c r="AF380" s="130">
        <f t="shared" si="13"/>
        <v>50</v>
      </c>
      <c r="AG380" s="130">
        <f t="shared" si="14"/>
        <v>10</v>
      </c>
      <c r="AH380" s="130">
        <f t="shared" si="15"/>
        <v>20</v>
      </c>
      <c r="AI380" s="130"/>
      <c r="AJ380" s="130"/>
      <c r="AK380" s="130"/>
      <c r="AL380" s="130"/>
      <c r="AM380" s="130"/>
      <c r="AN380" s="130"/>
      <c r="AO380" s="130"/>
      <c r="AP380" s="132"/>
    </row>
    <row r="381" spans="1:42" ht="15.75" hidden="1">
      <c r="A381" s="130"/>
      <c r="B381" s="130"/>
      <c r="C381" s="130"/>
      <c r="D381" s="130"/>
      <c r="E381" s="130"/>
      <c r="F381" s="130"/>
      <c r="G381" s="130"/>
      <c r="H381" s="130"/>
      <c r="I381" s="130"/>
      <c r="J381" s="130"/>
      <c r="K381" s="130"/>
      <c r="L381" s="130"/>
      <c r="M381" s="119" t="s">
        <v>244</v>
      </c>
      <c r="N381" s="86">
        <v>3</v>
      </c>
      <c r="Q381" t="s">
        <v>807</v>
      </c>
      <c r="R381" s="124" t="s">
        <v>1009</v>
      </c>
      <c r="AA381" s="130" t="s">
        <v>678</v>
      </c>
      <c r="AB381" s="130">
        <v>4</v>
      </c>
      <c r="AC381" s="130">
        <f t="shared" si="10"/>
        <v>50</v>
      </c>
      <c r="AD381" s="130">
        <f t="shared" si="11"/>
        <v>10</v>
      </c>
      <c r="AE381" s="130">
        <f t="shared" si="12"/>
        <v>20</v>
      </c>
      <c r="AF381" s="130">
        <f t="shared" si="13"/>
        <v>50</v>
      </c>
      <c r="AG381" s="130">
        <f t="shared" si="14"/>
        <v>10</v>
      </c>
      <c r="AH381" s="130">
        <f t="shared" si="15"/>
        <v>20</v>
      </c>
      <c r="AI381" s="130"/>
      <c r="AJ381" s="130"/>
      <c r="AK381" s="130"/>
      <c r="AL381" s="130"/>
      <c r="AM381" s="130"/>
      <c r="AN381" s="130"/>
      <c r="AO381" s="130"/>
      <c r="AP381" s="132"/>
    </row>
    <row r="382" spans="1:42" ht="15.75" hidden="1">
      <c r="A382" s="130"/>
      <c r="B382" s="130"/>
      <c r="C382" s="130"/>
      <c r="D382" s="130"/>
      <c r="E382" s="130"/>
      <c r="F382" s="130"/>
      <c r="G382" s="130"/>
      <c r="H382" s="130"/>
      <c r="I382" s="130"/>
      <c r="J382" s="130"/>
      <c r="K382" s="130"/>
      <c r="L382" s="130"/>
      <c r="M382" s="372" t="s">
        <v>276</v>
      </c>
      <c r="N382" s="86">
        <v>12</v>
      </c>
      <c r="Q382" t="s">
        <v>224</v>
      </c>
      <c r="R382" s="124" t="s">
        <v>1010</v>
      </c>
      <c r="AA382" s="130" t="s">
        <v>679</v>
      </c>
      <c r="AB382" s="130">
        <v>2</v>
      </c>
      <c r="AC382" s="130">
        <f t="shared" si="10"/>
        <v>90</v>
      </c>
      <c r="AD382" s="130">
        <f t="shared" si="11"/>
        <v>10</v>
      </c>
      <c r="AE382" s="130">
        <f t="shared" si="12"/>
        <v>20</v>
      </c>
      <c r="AF382" s="130">
        <f t="shared" si="13"/>
        <v>70</v>
      </c>
      <c r="AG382" s="130">
        <f t="shared" si="14"/>
        <v>10</v>
      </c>
      <c r="AH382" s="130">
        <f t="shared" si="15"/>
        <v>20</v>
      </c>
      <c r="AI382" s="130"/>
      <c r="AJ382" s="130"/>
      <c r="AK382" s="130"/>
      <c r="AL382" s="130"/>
      <c r="AM382" s="130"/>
      <c r="AN382" s="130"/>
      <c r="AO382" s="130"/>
      <c r="AP382" s="132"/>
    </row>
    <row r="383" spans="1:42" ht="15.75" hidden="1">
      <c r="A383" s="130"/>
      <c r="B383" s="130"/>
      <c r="C383" s="130" t="s">
        <v>171</v>
      </c>
      <c r="D383" s="130"/>
      <c r="E383" s="130"/>
      <c r="F383" s="130"/>
      <c r="G383" s="130"/>
      <c r="H383" s="130"/>
      <c r="I383" s="130"/>
      <c r="J383" s="130"/>
      <c r="K383" s="130"/>
      <c r="L383" s="130"/>
      <c r="M383" s="372" t="s">
        <v>254</v>
      </c>
      <c r="N383" s="86">
        <v>6</v>
      </c>
      <c r="Q383" t="s">
        <v>810</v>
      </c>
      <c r="R383" s="124" t="s">
        <v>1011</v>
      </c>
      <c r="AA383" s="130" t="s">
        <v>681</v>
      </c>
      <c r="AB383" s="130">
        <v>3</v>
      </c>
      <c r="AC383" s="130">
        <f t="shared" si="10"/>
        <v>70</v>
      </c>
      <c r="AD383" s="130">
        <f t="shared" si="11"/>
        <v>10</v>
      </c>
      <c r="AE383" s="130">
        <f t="shared" si="12"/>
        <v>20</v>
      </c>
      <c r="AF383" s="130">
        <f t="shared" si="13"/>
        <v>60</v>
      </c>
      <c r="AG383" s="130">
        <f t="shared" si="14"/>
        <v>10</v>
      </c>
      <c r="AH383" s="130">
        <f t="shared" si="15"/>
        <v>20</v>
      </c>
      <c r="AI383" s="130"/>
      <c r="AJ383" s="130"/>
      <c r="AK383" s="130"/>
      <c r="AL383" s="130"/>
      <c r="AM383" s="130"/>
      <c r="AN383" s="130"/>
      <c r="AO383" s="130"/>
      <c r="AP383" s="132"/>
    </row>
    <row r="384" spans="1:42" ht="15.75" hidden="1">
      <c r="A384" s="130"/>
      <c r="B384" s="130"/>
      <c r="C384" s="130"/>
      <c r="D384" s="130"/>
      <c r="E384" s="130"/>
      <c r="F384" s="130"/>
      <c r="G384" s="130"/>
      <c r="H384" s="130"/>
      <c r="I384" s="130"/>
      <c r="J384" s="130"/>
      <c r="K384" s="130"/>
      <c r="L384" s="130"/>
      <c r="M384" s="372" t="s">
        <v>273</v>
      </c>
      <c r="N384" s="86">
        <v>11</v>
      </c>
      <c r="Q384" t="s">
        <v>812</v>
      </c>
      <c r="R384" s="124" t="s">
        <v>1012</v>
      </c>
      <c r="AA384" s="130" t="s">
        <v>683</v>
      </c>
      <c r="AB384" s="130">
        <v>2</v>
      </c>
      <c r="AC384" s="130">
        <f t="shared" si="10"/>
        <v>90</v>
      </c>
      <c r="AD384" s="130">
        <f t="shared" si="11"/>
        <v>10</v>
      </c>
      <c r="AE384" s="130">
        <f t="shared" si="12"/>
        <v>20</v>
      </c>
      <c r="AF384" s="130">
        <f t="shared" si="13"/>
        <v>70</v>
      </c>
      <c r="AG384" s="130">
        <f t="shared" si="14"/>
        <v>10</v>
      </c>
      <c r="AH384" s="130">
        <f t="shared" si="15"/>
        <v>20</v>
      </c>
      <c r="AI384" s="130"/>
      <c r="AJ384" s="130"/>
      <c r="AK384" s="130"/>
      <c r="AL384" s="130"/>
      <c r="AM384" s="130"/>
      <c r="AN384" s="130"/>
      <c r="AO384" s="130"/>
      <c r="AP384" s="132"/>
    </row>
    <row r="385" spans="1:42" ht="12.75" hidden="1">
      <c r="A385" s="130"/>
      <c r="B385" s="130"/>
      <c r="C385" s="130"/>
      <c r="D385" s="130" t="s">
        <v>484</v>
      </c>
      <c r="E385" s="384">
        <f>VLOOKUP(H29,B388:E395,4)</f>
        <v>180</v>
      </c>
      <c r="F385" s="130" t="s">
        <v>862</v>
      </c>
      <c r="G385" s="130"/>
      <c r="H385" s="130"/>
      <c r="I385" s="130"/>
      <c r="J385" s="130"/>
      <c r="K385" s="130"/>
      <c r="L385" s="130"/>
      <c r="M385" s="130"/>
      <c r="Q385" t="s">
        <v>814</v>
      </c>
      <c r="R385" s="124" t="s">
        <v>1013</v>
      </c>
      <c r="AA385" s="130" t="s">
        <v>684</v>
      </c>
      <c r="AB385" s="130">
        <v>4</v>
      </c>
      <c r="AC385" s="130">
        <f t="shared" si="10"/>
        <v>50</v>
      </c>
      <c r="AD385" s="130">
        <f t="shared" si="11"/>
        <v>10</v>
      </c>
      <c r="AE385" s="130">
        <f t="shared" si="12"/>
        <v>20</v>
      </c>
      <c r="AF385" s="130">
        <f t="shared" si="13"/>
        <v>50</v>
      </c>
      <c r="AG385" s="130">
        <f t="shared" si="14"/>
        <v>10</v>
      </c>
      <c r="AH385" s="130">
        <f t="shared" si="15"/>
        <v>20</v>
      </c>
      <c r="AI385" s="130"/>
      <c r="AJ385" s="130"/>
      <c r="AK385" s="130"/>
      <c r="AL385" s="130"/>
      <c r="AM385" s="130"/>
      <c r="AN385" s="130"/>
      <c r="AO385" s="130"/>
      <c r="AP385" s="132"/>
    </row>
    <row r="386" spans="1:42" ht="12.75" hidden="1">
      <c r="A386" s="130"/>
      <c r="B386" s="130"/>
      <c r="C386" s="130"/>
      <c r="D386" s="130" t="s">
        <v>485</v>
      </c>
      <c r="E386" s="384">
        <f>VLOOKUP(P29,B388:E395,4)</f>
        <v>687</v>
      </c>
      <c r="F386" s="130" t="s">
        <v>37</v>
      </c>
      <c r="G386" s="130"/>
      <c r="H386" s="130"/>
      <c r="I386" s="130"/>
      <c r="J386" s="130"/>
      <c r="K386" s="130"/>
      <c r="L386" s="130"/>
      <c r="M386" s="130"/>
      <c r="Q386" t="s">
        <v>815</v>
      </c>
      <c r="R386" s="124" t="s">
        <v>1014</v>
      </c>
      <c r="AA386" s="130" t="s">
        <v>686</v>
      </c>
      <c r="AB386" s="130">
        <v>1</v>
      </c>
      <c r="AC386" s="130">
        <f t="shared" si="10"/>
        <v>115</v>
      </c>
      <c r="AD386" s="130">
        <f t="shared" si="11"/>
        <v>10</v>
      </c>
      <c r="AE386" s="130">
        <f t="shared" si="12"/>
        <v>20</v>
      </c>
      <c r="AF386" s="130">
        <f t="shared" si="13"/>
        <v>95</v>
      </c>
      <c r="AG386" s="130">
        <f t="shared" si="14"/>
        <v>10</v>
      </c>
      <c r="AH386" s="130">
        <f t="shared" si="15"/>
        <v>20</v>
      </c>
      <c r="AI386" s="130"/>
      <c r="AJ386" s="130"/>
      <c r="AK386" s="130"/>
      <c r="AL386" s="130"/>
      <c r="AM386" s="130"/>
      <c r="AN386" s="130"/>
      <c r="AO386" s="130"/>
      <c r="AP386" s="132"/>
    </row>
    <row r="387" spans="1:42" ht="12.75" hidden="1">
      <c r="A387" s="130"/>
      <c r="B387" s="130"/>
      <c r="C387" s="130"/>
      <c r="D387" s="130"/>
      <c r="E387" s="130"/>
      <c r="F387" s="130"/>
      <c r="G387" s="130"/>
      <c r="H387" s="130"/>
      <c r="I387" s="130"/>
      <c r="J387" s="130"/>
      <c r="K387" s="130"/>
      <c r="L387" s="130"/>
      <c r="M387" s="130"/>
      <c r="Q387" t="s">
        <v>817</v>
      </c>
      <c r="R387" s="124" t="s">
        <v>1015</v>
      </c>
      <c r="AA387" s="130" t="s">
        <v>688</v>
      </c>
      <c r="AB387" s="130">
        <v>4</v>
      </c>
      <c r="AC387" s="130">
        <f t="shared" si="10"/>
        <v>50</v>
      </c>
      <c r="AD387" s="130">
        <f t="shared" si="11"/>
        <v>10</v>
      </c>
      <c r="AE387" s="130">
        <f t="shared" si="12"/>
        <v>20</v>
      </c>
      <c r="AF387" s="130">
        <f t="shared" si="13"/>
        <v>50</v>
      </c>
      <c r="AG387" s="130">
        <f t="shared" si="14"/>
        <v>10</v>
      </c>
      <c r="AH387" s="130">
        <f t="shared" si="15"/>
        <v>20</v>
      </c>
      <c r="AI387" s="130"/>
      <c r="AJ387" s="130"/>
      <c r="AK387" s="130"/>
      <c r="AL387" s="130"/>
      <c r="AM387" s="130"/>
      <c r="AN387" s="130"/>
      <c r="AO387" s="130"/>
      <c r="AP387" s="132"/>
    </row>
    <row r="388" spans="1:42" ht="12.75" hidden="1">
      <c r="A388" s="130"/>
      <c r="B388" s="383" t="s">
        <v>47</v>
      </c>
      <c r="C388" s="130"/>
      <c r="D388" s="130"/>
      <c r="E388" s="130">
        <v>100</v>
      </c>
      <c r="F388" s="130"/>
      <c r="G388" s="130"/>
      <c r="H388" s="130"/>
      <c r="I388" s="130"/>
      <c r="J388" s="130"/>
      <c r="K388" s="130"/>
      <c r="L388" s="130"/>
      <c r="M388" s="130"/>
      <c r="Q388" t="s">
        <v>818</v>
      </c>
      <c r="R388" s="124" t="s">
        <v>1016</v>
      </c>
      <c r="AA388" s="130" t="s">
        <v>689</v>
      </c>
      <c r="AB388" s="130">
        <v>2</v>
      </c>
      <c r="AC388" s="130">
        <f t="shared" si="10"/>
        <v>90</v>
      </c>
      <c r="AD388" s="130">
        <f t="shared" si="11"/>
        <v>10</v>
      </c>
      <c r="AE388" s="130">
        <f t="shared" si="12"/>
        <v>20</v>
      </c>
      <c r="AF388" s="130">
        <f t="shared" si="13"/>
        <v>70</v>
      </c>
      <c r="AG388" s="130">
        <f t="shared" si="14"/>
        <v>10</v>
      </c>
      <c r="AH388" s="130">
        <f t="shared" si="15"/>
        <v>20</v>
      </c>
      <c r="AI388" s="130"/>
      <c r="AJ388" s="130"/>
      <c r="AK388" s="130"/>
      <c r="AL388" s="130"/>
      <c r="AM388" s="130"/>
      <c r="AN388" s="130"/>
      <c r="AO388" s="130"/>
      <c r="AP388" s="132"/>
    </row>
    <row r="389" spans="1:42" ht="12.75" hidden="1">
      <c r="A389" s="130"/>
      <c r="B389" s="383" t="s">
        <v>49</v>
      </c>
      <c r="C389" s="130"/>
      <c r="D389" s="130"/>
      <c r="E389" s="130">
        <v>150</v>
      </c>
      <c r="F389" s="130"/>
      <c r="G389" s="130"/>
      <c r="H389" s="130"/>
      <c r="I389" s="130"/>
      <c r="J389" s="130"/>
      <c r="K389" s="130"/>
      <c r="L389" s="130"/>
      <c r="M389" s="130"/>
      <c r="Q389" t="s">
        <v>819</v>
      </c>
      <c r="R389" s="124" t="s">
        <v>1017</v>
      </c>
      <c r="AA389" s="130" t="s">
        <v>690</v>
      </c>
      <c r="AB389" s="130">
        <v>4</v>
      </c>
      <c r="AC389" s="130">
        <f t="shared" si="10"/>
        <v>50</v>
      </c>
      <c r="AD389" s="130">
        <f t="shared" si="11"/>
        <v>10</v>
      </c>
      <c r="AE389" s="130">
        <f t="shared" si="12"/>
        <v>20</v>
      </c>
      <c r="AF389" s="130">
        <f t="shared" si="13"/>
        <v>50</v>
      </c>
      <c r="AG389" s="130">
        <f t="shared" si="14"/>
        <v>10</v>
      </c>
      <c r="AH389" s="130">
        <f t="shared" si="15"/>
        <v>20</v>
      </c>
      <c r="AI389" s="130"/>
      <c r="AJ389" s="130"/>
      <c r="AK389" s="130"/>
      <c r="AL389" s="130"/>
      <c r="AM389" s="130"/>
      <c r="AN389" s="130"/>
      <c r="AO389" s="130"/>
      <c r="AP389" s="132"/>
    </row>
    <row r="390" spans="1:42" ht="12.75" hidden="1">
      <c r="A390" s="130"/>
      <c r="B390" s="383" t="s">
        <v>48</v>
      </c>
      <c r="C390" s="130"/>
      <c r="D390" s="130"/>
      <c r="E390" s="130">
        <v>160</v>
      </c>
      <c r="F390" s="130"/>
      <c r="G390" s="130"/>
      <c r="H390" s="130"/>
      <c r="I390" s="130"/>
      <c r="J390" s="130"/>
      <c r="K390" s="130"/>
      <c r="L390" s="130"/>
      <c r="M390" s="130"/>
      <c r="Q390" t="s">
        <v>820</v>
      </c>
      <c r="R390" s="124" t="s">
        <v>1018</v>
      </c>
      <c r="AA390" s="130" t="s">
        <v>692</v>
      </c>
      <c r="AB390" s="130">
        <v>3</v>
      </c>
      <c r="AC390" s="130">
        <f t="shared" si="10"/>
        <v>70</v>
      </c>
      <c r="AD390" s="130">
        <f t="shared" si="11"/>
        <v>10</v>
      </c>
      <c r="AE390" s="130">
        <f t="shared" si="12"/>
        <v>20</v>
      </c>
      <c r="AF390" s="130">
        <f t="shared" si="13"/>
        <v>60</v>
      </c>
      <c r="AG390" s="130">
        <f t="shared" si="14"/>
        <v>10</v>
      </c>
      <c r="AH390" s="130">
        <f t="shared" si="15"/>
        <v>20</v>
      </c>
      <c r="AI390" s="130"/>
      <c r="AJ390" s="130"/>
      <c r="AK390" s="130"/>
      <c r="AL390" s="130"/>
      <c r="AM390" s="130"/>
      <c r="AN390" s="130"/>
      <c r="AO390" s="130"/>
      <c r="AP390" s="132"/>
    </row>
    <row r="391" spans="1:42" ht="12.75" hidden="1">
      <c r="A391" s="130"/>
      <c r="B391" s="383" t="s">
        <v>46</v>
      </c>
      <c r="E391">
        <v>180</v>
      </c>
      <c r="F391" s="382"/>
      <c r="G391" s="382"/>
      <c r="I391" s="130"/>
      <c r="J391" s="130"/>
      <c r="K391" s="130"/>
      <c r="L391" s="130"/>
      <c r="M391" s="130"/>
      <c r="Q391" t="s">
        <v>821</v>
      </c>
      <c r="R391" s="124" t="s">
        <v>1019</v>
      </c>
      <c r="AA391" s="130" t="s">
        <v>694</v>
      </c>
      <c r="AB391" s="130">
        <v>2</v>
      </c>
      <c r="AC391" s="130">
        <f t="shared" si="10"/>
        <v>90</v>
      </c>
      <c r="AD391" s="130">
        <f t="shared" si="11"/>
        <v>10</v>
      </c>
      <c r="AE391" s="130">
        <f t="shared" si="12"/>
        <v>20</v>
      </c>
      <c r="AF391" s="130">
        <f t="shared" si="13"/>
        <v>70</v>
      </c>
      <c r="AG391" s="130">
        <f t="shared" si="14"/>
        <v>10</v>
      </c>
      <c r="AH391" s="130">
        <f t="shared" si="15"/>
        <v>20</v>
      </c>
      <c r="AI391" s="130"/>
      <c r="AJ391" s="130"/>
      <c r="AK391" s="130"/>
      <c r="AL391" s="130"/>
      <c r="AM391" s="130"/>
      <c r="AN391" s="130"/>
      <c r="AO391" s="130"/>
      <c r="AP391" s="132"/>
    </row>
    <row r="392" spans="1:42" ht="12.75" hidden="1">
      <c r="A392" s="130"/>
      <c r="B392" s="383" t="s">
        <v>45</v>
      </c>
      <c r="C392" s="130"/>
      <c r="D392" s="130"/>
      <c r="E392">
        <v>458</v>
      </c>
      <c r="G392" s="382" t="s">
        <v>30</v>
      </c>
      <c r="H392" s="382"/>
      <c r="I392" s="130"/>
      <c r="J392" s="130"/>
      <c r="K392" s="130"/>
      <c r="L392" s="130"/>
      <c r="M392" s="130"/>
      <c r="Q392" t="s">
        <v>822</v>
      </c>
      <c r="R392" s="124" t="s">
        <v>1020</v>
      </c>
      <c r="AA392" s="130" t="s">
        <v>697</v>
      </c>
      <c r="AB392" s="130">
        <v>3</v>
      </c>
      <c r="AC392" s="130">
        <f aca="true" t="shared" si="16" ref="AC392:AC425">VLOOKUP(AB392,$AA$357:$AD$360,2)</f>
        <v>70</v>
      </c>
      <c r="AD392" s="130">
        <f aca="true" t="shared" si="17" ref="AD392:AD425">VLOOKUP(AC392,$AA$357:$AD$360,3)</f>
        <v>10</v>
      </c>
      <c r="AE392" s="130">
        <f aca="true" t="shared" si="18" ref="AE392:AE425">VLOOKUP(AD392,$AA$357:$AD$360,4)</f>
        <v>20</v>
      </c>
      <c r="AF392" s="130">
        <f aca="true" t="shared" si="19" ref="AF392:AF425">VLOOKUP($AB392,$AF$357:$AI$360,2)</f>
        <v>60</v>
      </c>
      <c r="AG392" s="130">
        <f aca="true" t="shared" si="20" ref="AG392:AG425">VLOOKUP($AB392,$AF$357:$AI$360,3)</f>
        <v>10</v>
      </c>
      <c r="AH392" s="130">
        <f aca="true" t="shared" si="21" ref="AH392:AH425">VLOOKUP($AB392,$AF$357:$AI$360,4)</f>
        <v>20</v>
      </c>
      <c r="AI392" s="130"/>
      <c r="AJ392" s="130"/>
      <c r="AK392" s="130"/>
      <c r="AL392" s="130"/>
      <c r="AM392" s="130"/>
      <c r="AN392" s="130"/>
      <c r="AO392" s="130"/>
      <c r="AP392" s="132"/>
    </row>
    <row r="393" spans="1:42" ht="12.75" hidden="1">
      <c r="A393" s="130"/>
      <c r="B393" s="383" t="s">
        <v>44</v>
      </c>
      <c r="C393" s="382"/>
      <c r="D393" s="382"/>
      <c r="E393">
        <v>573</v>
      </c>
      <c r="G393" s="130" t="s">
        <v>30</v>
      </c>
      <c r="H393" s="130"/>
      <c r="I393" s="130"/>
      <c r="J393" s="130"/>
      <c r="K393" s="130"/>
      <c r="L393" s="130"/>
      <c r="M393" s="130"/>
      <c r="Q393" t="s">
        <v>823</v>
      </c>
      <c r="R393" s="124" t="s">
        <v>1021</v>
      </c>
      <c r="AA393" s="130" t="s">
        <v>699</v>
      </c>
      <c r="AB393" s="130">
        <v>3</v>
      </c>
      <c r="AC393" s="130">
        <f t="shared" si="16"/>
        <v>70</v>
      </c>
      <c r="AD393" s="130">
        <f t="shared" si="17"/>
        <v>10</v>
      </c>
      <c r="AE393" s="130">
        <f t="shared" si="18"/>
        <v>20</v>
      </c>
      <c r="AF393" s="130">
        <f t="shared" si="19"/>
        <v>60</v>
      </c>
      <c r="AG393" s="130">
        <f t="shared" si="20"/>
        <v>10</v>
      </c>
      <c r="AH393" s="130">
        <f t="shared" si="21"/>
        <v>20</v>
      </c>
      <c r="AI393" s="130"/>
      <c r="AJ393" s="130"/>
      <c r="AK393" s="130"/>
      <c r="AL393" s="130"/>
      <c r="AM393" s="130"/>
      <c r="AN393" s="130"/>
      <c r="AO393" s="130"/>
      <c r="AP393" s="132"/>
    </row>
    <row r="394" spans="1:42" ht="12.75" hidden="1">
      <c r="A394" s="130"/>
      <c r="B394" s="130" t="s">
        <v>1515</v>
      </c>
      <c r="C394" s="130"/>
      <c r="D394" s="130"/>
      <c r="E394" s="130">
        <v>687</v>
      </c>
      <c r="G394" s="130" t="s">
        <v>30</v>
      </c>
      <c r="H394" s="130"/>
      <c r="I394" s="130"/>
      <c r="J394" s="130"/>
      <c r="K394" s="130"/>
      <c r="L394" s="130"/>
      <c r="M394" s="130"/>
      <c r="Q394" t="s">
        <v>824</v>
      </c>
      <c r="R394" s="124" t="s">
        <v>1022</v>
      </c>
      <c r="AA394" s="130" t="s">
        <v>701</v>
      </c>
      <c r="AB394" s="130">
        <v>3</v>
      </c>
      <c r="AC394" s="130">
        <f t="shared" si="16"/>
        <v>70</v>
      </c>
      <c r="AD394" s="130">
        <f t="shared" si="17"/>
        <v>10</v>
      </c>
      <c r="AE394" s="130">
        <f t="shared" si="18"/>
        <v>20</v>
      </c>
      <c r="AF394" s="130">
        <f t="shared" si="19"/>
        <v>60</v>
      </c>
      <c r="AG394" s="130">
        <f t="shared" si="20"/>
        <v>10</v>
      </c>
      <c r="AH394" s="130">
        <f t="shared" si="21"/>
        <v>20</v>
      </c>
      <c r="AI394" s="130"/>
      <c r="AJ394" s="130"/>
      <c r="AK394" s="130"/>
      <c r="AL394" s="130"/>
      <c r="AM394" s="130"/>
      <c r="AN394" s="130"/>
      <c r="AO394" s="130"/>
      <c r="AP394" s="132"/>
    </row>
    <row r="395" spans="1:42" ht="12.75" hidden="1">
      <c r="A395" s="130"/>
      <c r="B395" s="130" t="s">
        <v>493</v>
      </c>
      <c r="C395" s="130"/>
      <c r="D395" s="130"/>
      <c r="E395" s="130"/>
      <c r="F395" s="130"/>
      <c r="G395" s="130"/>
      <c r="H395" s="130"/>
      <c r="I395" s="130"/>
      <c r="J395" s="130"/>
      <c r="K395" s="130"/>
      <c r="L395" s="130"/>
      <c r="M395" s="130"/>
      <c r="Q395" t="s">
        <v>825</v>
      </c>
      <c r="R395" s="124" t="s">
        <v>1023</v>
      </c>
      <c r="AA395" s="130" t="s">
        <v>706</v>
      </c>
      <c r="AB395" s="130">
        <v>4</v>
      </c>
      <c r="AC395" s="130">
        <f t="shared" si="16"/>
        <v>50</v>
      </c>
      <c r="AD395" s="130">
        <f t="shared" si="17"/>
        <v>10</v>
      </c>
      <c r="AE395" s="130">
        <f t="shared" si="18"/>
        <v>20</v>
      </c>
      <c r="AF395" s="130">
        <f t="shared" si="19"/>
        <v>50</v>
      </c>
      <c r="AG395" s="130">
        <f t="shared" si="20"/>
        <v>10</v>
      </c>
      <c r="AH395" s="130">
        <f t="shared" si="21"/>
        <v>20</v>
      </c>
      <c r="AI395" s="130"/>
      <c r="AJ395" s="130"/>
      <c r="AK395" s="130"/>
      <c r="AL395" s="130"/>
      <c r="AM395" s="130"/>
      <c r="AN395" s="130"/>
      <c r="AO395" s="130"/>
      <c r="AP395" s="132"/>
    </row>
    <row r="396" spans="1:42" ht="12.75" hidden="1">
      <c r="A396" s="130"/>
      <c r="B396" s="130" t="s">
        <v>494</v>
      </c>
      <c r="C396" s="130"/>
      <c r="D396" s="130"/>
      <c r="E396" s="130"/>
      <c r="F396" s="130"/>
      <c r="G396" s="130"/>
      <c r="H396" s="130"/>
      <c r="I396" s="130"/>
      <c r="J396" s="130"/>
      <c r="K396" s="130"/>
      <c r="L396" s="130"/>
      <c r="M396" s="130"/>
      <c r="Q396" t="s">
        <v>826</v>
      </c>
      <c r="R396" s="124" t="s">
        <v>1024</v>
      </c>
      <c r="AA396" s="130" t="s">
        <v>708</v>
      </c>
      <c r="AB396" s="130">
        <v>3</v>
      </c>
      <c r="AC396" s="130">
        <f t="shared" si="16"/>
        <v>70</v>
      </c>
      <c r="AD396" s="130">
        <f t="shared" si="17"/>
        <v>10</v>
      </c>
      <c r="AE396" s="130">
        <f t="shared" si="18"/>
        <v>20</v>
      </c>
      <c r="AF396" s="130">
        <f t="shared" si="19"/>
        <v>60</v>
      </c>
      <c r="AG396" s="130">
        <f t="shared" si="20"/>
        <v>10</v>
      </c>
      <c r="AH396" s="130">
        <f t="shared" si="21"/>
        <v>20</v>
      </c>
      <c r="AI396" s="130"/>
      <c r="AJ396" s="130"/>
      <c r="AK396" s="130"/>
      <c r="AL396" s="130"/>
      <c r="AM396" s="130"/>
      <c r="AN396" s="130"/>
      <c r="AO396" s="130"/>
      <c r="AP396" s="132"/>
    </row>
    <row r="397" spans="1:42" ht="12.75" hidden="1">
      <c r="A397" s="130"/>
      <c r="B397" s="130" t="s">
        <v>496</v>
      </c>
      <c r="C397" s="130"/>
      <c r="D397" s="130"/>
      <c r="E397" s="130"/>
      <c r="F397" s="130"/>
      <c r="G397" s="130"/>
      <c r="H397" s="130"/>
      <c r="I397" s="130"/>
      <c r="J397" s="130"/>
      <c r="K397" s="130"/>
      <c r="L397" s="130"/>
      <c r="M397" s="130"/>
      <c r="Q397" t="s">
        <v>827</v>
      </c>
      <c r="R397" s="124" t="s">
        <v>1025</v>
      </c>
      <c r="AA397" s="130" t="s">
        <v>709</v>
      </c>
      <c r="AB397" s="130">
        <v>4</v>
      </c>
      <c r="AC397" s="130">
        <f t="shared" si="16"/>
        <v>50</v>
      </c>
      <c r="AD397" s="130">
        <f t="shared" si="17"/>
        <v>10</v>
      </c>
      <c r="AE397" s="130">
        <f t="shared" si="18"/>
        <v>20</v>
      </c>
      <c r="AF397" s="130">
        <f t="shared" si="19"/>
        <v>50</v>
      </c>
      <c r="AG397" s="130">
        <f t="shared" si="20"/>
        <v>10</v>
      </c>
      <c r="AH397" s="130">
        <f t="shared" si="21"/>
        <v>20</v>
      </c>
      <c r="AI397" s="130"/>
      <c r="AJ397" s="130"/>
      <c r="AK397" s="130"/>
      <c r="AL397" s="130"/>
      <c r="AM397" s="130"/>
      <c r="AN397" s="130"/>
      <c r="AO397" s="130"/>
      <c r="AP397" s="132"/>
    </row>
    <row r="398" spans="2:42" ht="12.75" hidden="1">
      <c r="B398" s="130" t="s">
        <v>497</v>
      </c>
      <c r="E398" s="130"/>
      <c r="F398" s="130"/>
      <c r="G398" s="130"/>
      <c r="H398" s="130"/>
      <c r="I398" s="130"/>
      <c r="J398" s="130"/>
      <c r="K398" s="130"/>
      <c r="L398" s="130"/>
      <c r="M398" s="130"/>
      <c r="Q398" t="s">
        <v>828</v>
      </c>
      <c r="R398" s="124" t="s">
        <v>1026</v>
      </c>
      <c r="AA398" s="130" t="s">
        <v>710</v>
      </c>
      <c r="AB398" s="130">
        <v>4</v>
      </c>
      <c r="AC398" s="130">
        <f t="shared" si="16"/>
        <v>50</v>
      </c>
      <c r="AD398" s="130">
        <f t="shared" si="17"/>
        <v>10</v>
      </c>
      <c r="AE398" s="130">
        <f t="shared" si="18"/>
        <v>20</v>
      </c>
      <c r="AF398" s="130">
        <f t="shared" si="19"/>
        <v>50</v>
      </c>
      <c r="AG398" s="130">
        <f t="shared" si="20"/>
        <v>10</v>
      </c>
      <c r="AH398" s="130">
        <f t="shared" si="21"/>
        <v>20</v>
      </c>
      <c r="AI398" s="130"/>
      <c r="AJ398" s="130"/>
      <c r="AK398" s="130"/>
      <c r="AL398" s="130"/>
      <c r="AM398" s="130"/>
      <c r="AN398" s="130"/>
      <c r="AO398" s="130"/>
      <c r="AP398" s="132"/>
    </row>
    <row r="399" spans="5:42" ht="12.75" hidden="1">
      <c r="E399" s="130"/>
      <c r="F399" s="130"/>
      <c r="G399" s="130"/>
      <c r="H399" s="130"/>
      <c r="I399" s="130"/>
      <c r="J399" s="130"/>
      <c r="K399" s="130"/>
      <c r="L399" s="130"/>
      <c r="M399" s="130"/>
      <c r="Q399" t="s">
        <v>829</v>
      </c>
      <c r="R399" s="124" t="s">
        <v>1027</v>
      </c>
      <c r="AA399" s="130" t="s">
        <v>711</v>
      </c>
      <c r="AB399" s="130">
        <v>4</v>
      </c>
      <c r="AC399" s="130">
        <f t="shared" si="16"/>
        <v>50</v>
      </c>
      <c r="AD399" s="130">
        <f t="shared" si="17"/>
        <v>10</v>
      </c>
      <c r="AE399" s="130">
        <f t="shared" si="18"/>
        <v>20</v>
      </c>
      <c r="AF399" s="130">
        <f t="shared" si="19"/>
        <v>50</v>
      </c>
      <c r="AG399" s="130">
        <f t="shared" si="20"/>
        <v>10</v>
      </c>
      <c r="AH399" s="130">
        <f t="shared" si="21"/>
        <v>20</v>
      </c>
      <c r="AI399" s="130"/>
      <c r="AJ399" s="130"/>
      <c r="AK399" s="130"/>
      <c r="AL399" s="130"/>
      <c r="AM399" s="130"/>
      <c r="AN399" s="130"/>
      <c r="AO399" s="130"/>
      <c r="AP399" s="132"/>
    </row>
    <row r="400" spans="5:42" ht="12.75" hidden="1">
      <c r="E400" s="130"/>
      <c r="F400" s="130"/>
      <c r="G400" s="130"/>
      <c r="H400" s="130"/>
      <c r="I400" s="130"/>
      <c r="J400" s="130"/>
      <c r="K400" s="130"/>
      <c r="L400" s="130"/>
      <c r="M400" s="130"/>
      <c r="Q400" t="s">
        <v>830</v>
      </c>
      <c r="R400" s="124" t="s">
        <v>1028</v>
      </c>
      <c r="AA400" s="130" t="s">
        <v>713</v>
      </c>
      <c r="AB400" s="130">
        <v>2</v>
      </c>
      <c r="AC400" s="130">
        <f t="shared" si="16"/>
        <v>90</v>
      </c>
      <c r="AD400" s="130">
        <f t="shared" si="17"/>
        <v>10</v>
      </c>
      <c r="AE400" s="130">
        <f t="shared" si="18"/>
        <v>20</v>
      </c>
      <c r="AF400" s="130">
        <f t="shared" si="19"/>
        <v>70</v>
      </c>
      <c r="AG400" s="130">
        <f t="shared" si="20"/>
        <v>10</v>
      </c>
      <c r="AH400" s="130">
        <f t="shared" si="21"/>
        <v>20</v>
      </c>
      <c r="AI400" s="130"/>
      <c r="AJ400" s="130"/>
      <c r="AK400" s="130"/>
      <c r="AL400" s="130"/>
      <c r="AM400" s="130"/>
      <c r="AN400" s="130"/>
      <c r="AO400" s="130"/>
      <c r="AP400" s="132"/>
    </row>
    <row r="401" spans="3:42" ht="12.75" hidden="1">
      <c r="C401" s="400"/>
      <c r="E401" s="130"/>
      <c r="F401" s="130"/>
      <c r="G401" s="130"/>
      <c r="H401" s="130"/>
      <c r="I401" s="130"/>
      <c r="J401" s="130"/>
      <c r="K401" s="130"/>
      <c r="L401" s="130"/>
      <c r="M401" s="130"/>
      <c r="Q401" t="s">
        <v>831</v>
      </c>
      <c r="R401" s="124" t="s">
        <v>1029</v>
      </c>
      <c r="AA401" s="130" t="s">
        <v>715</v>
      </c>
      <c r="AB401" s="130">
        <v>4</v>
      </c>
      <c r="AC401" s="130">
        <f t="shared" si="16"/>
        <v>50</v>
      </c>
      <c r="AD401" s="130">
        <f t="shared" si="17"/>
        <v>10</v>
      </c>
      <c r="AE401" s="130">
        <f t="shared" si="18"/>
        <v>20</v>
      </c>
      <c r="AF401" s="130">
        <f t="shared" si="19"/>
        <v>50</v>
      </c>
      <c r="AG401" s="130">
        <f t="shared" si="20"/>
        <v>10</v>
      </c>
      <c r="AH401" s="130">
        <f t="shared" si="21"/>
        <v>20</v>
      </c>
      <c r="AI401" s="130"/>
      <c r="AJ401" s="130"/>
      <c r="AK401" s="130"/>
      <c r="AL401" s="130"/>
      <c r="AM401" s="130"/>
      <c r="AN401" s="130"/>
      <c r="AO401" s="130"/>
      <c r="AP401" s="132"/>
    </row>
    <row r="402" spans="1:42" ht="12.75" hidden="1">
      <c r="A402" s="399"/>
      <c r="C402" s="400"/>
      <c r="D402" s="401"/>
      <c r="E402" s="401"/>
      <c r="F402" s="401"/>
      <c r="G402" s="401"/>
      <c r="H402" s="401"/>
      <c r="I402" s="130"/>
      <c r="J402" s="130"/>
      <c r="K402" s="130"/>
      <c r="L402" s="130"/>
      <c r="M402" s="130"/>
      <c r="Q402" t="s">
        <v>832</v>
      </c>
      <c r="R402" s="124" t="s">
        <v>1030</v>
      </c>
      <c r="AA402" s="130" t="s">
        <v>717</v>
      </c>
      <c r="AB402" s="130">
        <v>1</v>
      </c>
      <c r="AC402" s="130">
        <f t="shared" si="16"/>
        <v>115</v>
      </c>
      <c r="AD402" s="130">
        <f t="shared" si="17"/>
        <v>10</v>
      </c>
      <c r="AE402" s="130">
        <f t="shared" si="18"/>
        <v>20</v>
      </c>
      <c r="AF402" s="130">
        <f t="shared" si="19"/>
        <v>95</v>
      </c>
      <c r="AG402" s="130">
        <f t="shared" si="20"/>
        <v>10</v>
      </c>
      <c r="AH402" s="130">
        <f t="shared" si="21"/>
        <v>20</v>
      </c>
      <c r="AI402" s="130"/>
      <c r="AJ402" s="130"/>
      <c r="AK402" s="130"/>
      <c r="AL402" s="130"/>
      <c r="AM402" s="130"/>
      <c r="AN402" s="130"/>
      <c r="AO402" s="130"/>
      <c r="AP402" s="132"/>
    </row>
    <row r="403" spans="1:42" ht="12.75" hidden="1">
      <c r="A403" s="399"/>
      <c r="C403" s="400"/>
      <c r="D403" s="401"/>
      <c r="E403" s="401"/>
      <c r="F403" s="401"/>
      <c r="G403" s="401"/>
      <c r="I403" s="130"/>
      <c r="J403" s="130"/>
      <c r="K403" s="130"/>
      <c r="L403" s="130"/>
      <c r="M403" s="130"/>
      <c r="Q403" t="s">
        <v>833</v>
      </c>
      <c r="R403" s="124" t="s">
        <v>1031</v>
      </c>
      <c r="AA403" s="130" t="s">
        <v>751</v>
      </c>
      <c r="AB403" s="130">
        <v>3</v>
      </c>
      <c r="AC403" s="130">
        <f t="shared" si="16"/>
        <v>70</v>
      </c>
      <c r="AD403" s="130">
        <f t="shared" si="17"/>
        <v>10</v>
      </c>
      <c r="AE403" s="130">
        <f t="shared" si="18"/>
        <v>20</v>
      </c>
      <c r="AF403" s="130">
        <f t="shared" si="19"/>
        <v>60</v>
      </c>
      <c r="AG403" s="130">
        <f t="shared" si="20"/>
        <v>10</v>
      </c>
      <c r="AH403" s="130">
        <f t="shared" si="21"/>
        <v>20</v>
      </c>
      <c r="AI403" s="130"/>
      <c r="AJ403" s="130"/>
      <c r="AK403" s="130"/>
      <c r="AL403" s="130"/>
      <c r="AM403" s="130"/>
      <c r="AN403" s="130"/>
      <c r="AO403" s="130"/>
      <c r="AP403" s="132"/>
    </row>
    <row r="404" spans="1:42" ht="12.75" hidden="1">
      <c r="A404" s="399"/>
      <c r="D404" s="400"/>
      <c r="E404" s="400"/>
      <c r="F404" s="400"/>
      <c r="G404" s="400"/>
      <c r="I404" s="130"/>
      <c r="J404" s="130"/>
      <c r="K404" s="130"/>
      <c r="L404" s="130"/>
      <c r="M404" s="130"/>
      <c r="Q404" t="s">
        <v>834</v>
      </c>
      <c r="R404" s="124" t="s">
        <v>1032</v>
      </c>
      <c r="AA404" s="130" t="s">
        <v>752</v>
      </c>
      <c r="AB404" s="130">
        <v>2</v>
      </c>
      <c r="AC404" s="130">
        <f t="shared" si="16"/>
        <v>90</v>
      </c>
      <c r="AD404" s="130">
        <f t="shared" si="17"/>
        <v>10</v>
      </c>
      <c r="AE404" s="130">
        <f t="shared" si="18"/>
        <v>20</v>
      </c>
      <c r="AF404" s="130">
        <f t="shared" si="19"/>
        <v>70</v>
      </c>
      <c r="AG404" s="130">
        <f t="shared" si="20"/>
        <v>10</v>
      </c>
      <c r="AH404" s="130">
        <f t="shared" si="21"/>
        <v>20</v>
      </c>
      <c r="AI404" s="130"/>
      <c r="AJ404" s="130"/>
      <c r="AK404" s="130"/>
      <c r="AL404" s="130"/>
      <c r="AM404" s="130"/>
      <c r="AN404" s="130"/>
      <c r="AO404" s="130"/>
      <c r="AP404" s="132"/>
    </row>
    <row r="405" spans="1:42" ht="12.75" hidden="1">
      <c r="A405" s="399"/>
      <c r="C405" s="400"/>
      <c r="D405" s="402"/>
      <c r="E405" s="402"/>
      <c r="F405" s="402"/>
      <c r="G405" s="400"/>
      <c r="I405" s="130"/>
      <c r="J405" s="130"/>
      <c r="K405" s="130"/>
      <c r="L405" s="130"/>
      <c r="M405" s="130"/>
      <c r="Q405" t="s">
        <v>1034</v>
      </c>
      <c r="R405" s="124" t="s">
        <v>1035</v>
      </c>
      <c r="AA405" s="130" t="s">
        <v>754</v>
      </c>
      <c r="AB405" s="130">
        <v>2</v>
      </c>
      <c r="AC405" s="130">
        <f t="shared" si="16"/>
        <v>90</v>
      </c>
      <c r="AD405" s="130">
        <f t="shared" si="17"/>
        <v>10</v>
      </c>
      <c r="AE405" s="130">
        <f t="shared" si="18"/>
        <v>20</v>
      </c>
      <c r="AF405" s="130">
        <f t="shared" si="19"/>
        <v>70</v>
      </c>
      <c r="AG405" s="130">
        <f t="shared" si="20"/>
        <v>10</v>
      </c>
      <c r="AH405" s="130">
        <f t="shared" si="21"/>
        <v>20</v>
      </c>
      <c r="AI405" s="130"/>
      <c r="AJ405" s="130"/>
      <c r="AK405" s="130"/>
      <c r="AL405" s="130"/>
      <c r="AM405" s="130"/>
      <c r="AN405" s="130"/>
      <c r="AO405" s="130"/>
      <c r="AP405" s="132"/>
    </row>
    <row r="406" spans="1:42" ht="12.75" hidden="1">
      <c r="A406" s="399"/>
      <c r="C406" s="400"/>
      <c r="D406" s="402"/>
      <c r="E406" s="402"/>
      <c r="F406" s="402"/>
      <c r="G406" s="400"/>
      <c r="I406" s="130"/>
      <c r="J406" s="130"/>
      <c r="K406" s="130"/>
      <c r="L406" s="130"/>
      <c r="M406" s="130"/>
      <c r="Q406" s="124" t="s">
        <v>836</v>
      </c>
      <c r="R406" s="124" t="s">
        <v>1033</v>
      </c>
      <c r="AA406" s="130" t="s">
        <v>756</v>
      </c>
      <c r="AB406" s="130">
        <v>3</v>
      </c>
      <c r="AC406" s="130">
        <f t="shared" si="16"/>
        <v>70</v>
      </c>
      <c r="AD406" s="130">
        <f t="shared" si="17"/>
        <v>10</v>
      </c>
      <c r="AE406" s="130">
        <f t="shared" si="18"/>
        <v>20</v>
      </c>
      <c r="AF406" s="130">
        <f t="shared" si="19"/>
        <v>60</v>
      </c>
      <c r="AG406" s="130">
        <f t="shared" si="20"/>
        <v>10</v>
      </c>
      <c r="AH406" s="130">
        <f t="shared" si="21"/>
        <v>20</v>
      </c>
      <c r="AI406" s="130"/>
      <c r="AJ406" s="130"/>
      <c r="AK406" s="130"/>
      <c r="AL406" s="130"/>
      <c r="AM406" s="130"/>
      <c r="AN406" s="130"/>
      <c r="AO406" s="130"/>
      <c r="AP406" s="132"/>
    </row>
    <row r="407" spans="1:42" ht="12.75" hidden="1">
      <c r="A407" s="399"/>
      <c r="C407" s="400"/>
      <c r="D407" s="402"/>
      <c r="E407" s="402"/>
      <c r="F407" s="402"/>
      <c r="G407" s="400"/>
      <c r="I407" s="130"/>
      <c r="J407" s="130"/>
      <c r="K407" s="130"/>
      <c r="L407" s="130"/>
      <c r="M407" s="130"/>
      <c r="Q407" t="s">
        <v>837</v>
      </c>
      <c r="R407" s="124" t="s">
        <v>1036</v>
      </c>
      <c r="AA407" s="130" t="s">
        <v>760</v>
      </c>
      <c r="AB407" s="130">
        <v>1</v>
      </c>
      <c r="AC407" s="130">
        <f t="shared" si="16"/>
        <v>115</v>
      </c>
      <c r="AD407" s="130">
        <f t="shared" si="17"/>
        <v>10</v>
      </c>
      <c r="AE407" s="130">
        <f t="shared" si="18"/>
        <v>20</v>
      </c>
      <c r="AF407" s="130">
        <f t="shared" si="19"/>
        <v>95</v>
      </c>
      <c r="AG407" s="130">
        <f t="shared" si="20"/>
        <v>10</v>
      </c>
      <c r="AH407" s="130">
        <f t="shared" si="21"/>
        <v>20</v>
      </c>
      <c r="AI407" s="130"/>
      <c r="AJ407" s="130"/>
      <c r="AK407" s="130"/>
      <c r="AL407" s="130"/>
      <c r="AM407" s="130"/>
      <c r="AN407" s="130"/>
      <c r="AO407" s="130"/>
      <c r="AP407" s="132"/>
    </row>
    <row r="408" spans="5:42" ht="12.75" hidden="1">
      <c r="E408" s="130"/>
      <c r="F408" s="130"/>
      <c r="G408" s="130"/>
      <c r="H408" s="130"/>
      <c r="I408" s="130"/>
      <c r="J408" s="130"/>
      <c r="K408" s="130"/>
      <c r="L408" s="130"/>
      <c r="M408" s="130"/>
      <c r="Q408" t="s">
        <v>838</v>
      </c>
      <c r="R408" s="124" t="s">
        <v>1037</v>
      </c>
      <c r="AA408" s="130" t="s">
        <v>764</v>
      </c>
      <c r="AB408" s="130">
        <v>3</v>
      </c>
      <c r="AC408" s="130">
        <f t="shared" si="16"/>
        <v>70</v>
      </c>
      <c r="AD408" s="130">
        <f t="shared" si="17"/>
        <v>10</v>
      </c>
      <c r="AE408" s="130">
        <f t="shared" si="18"/>
        <v>20</v>
      </c>
      <c r="AF408" s="130">
        <f t="shared" si="19"/>
        <v>60</v>
      </c>
      <c r="AG408" s="130">
        <f t="shared" si="20"/>
        <v>10</v>
      </c>
      <c r="AH408" s="130">
        <f t="shared" si="21"/>
        <v>20</v>
      </c>
      <c r="AI408" s="130"/>
      <c r="AJ408" s="130"/>
      <c r="AK408" s="130"/>
      <c r="AL408" s="130"/>
      <c r="AM408" s="130"/>
      <c r="AN408" s="130"/>
      <c r="AO408" s="130"/>
      <c r="AP408" s="132"/>
    </row>
    <row r="409" spans="3:42" ht="12.75" hidden="1">
      <c r="C409" s="401"/>
      <c r="E409" s="401"/>
      <c r="G409" s="130"/>
      <c r="H409" s="130"/>
      <c r="I409" s="130"/>
      <c r="J409" s="130"/>
      <c r="K409" s="130"/>
      <c r="L409" s="130"/>
      <c r="M409" s="130"/>
      <c r="Q409" t="s">
        <v>839</v>
      </c>
      <c r="R409" s="124" t="s">
        <v>1038</v>
      </c>
      <c r="AA409" s="130" t="s">
        <v>766</v>
      </c>
      <c r="AB409" s="130">
        <v>2</v>
      </c>
      <c r="AC409" s="130">
        <f t="shared" si="16"/>
        <v>90</v>
      </c>
      <c r="AD409" s="130">
        <f t="shared" si="17"/>
        <v>10</v>
      </c>
      <c r="AE409" s="130">
        <f t="shared" si="18"/>
        <v>20</v>
      </c>
      <c r="AF409" s="130">
        <f t="shared" si="19"/>
        <v>70</v>
      </c>
      <c r="AG409" s="130">
        <f t="shared" si="20"/>
        <v>10</v>
      </c>
      <c r="AH409" s="130">
        <f t="shared" si="21"/>
        <v>20</v>
      </c>
      <c r="AI409" s="130"/>
      <c r="AJ409" s="130"/>
      <c r="AK409" s="130"/>
      <c r="AL409" s="130"/>
      <c r="AM409" s="130"/>
      <c r="AN409" s="130"/>
      <c r="AO409" s="130"/>
      <c r="AP409" s="132"/>
    </row>
    <row r="410" spans="2:42" ht="12.75" hidden="1">
      <c r="B410" t="s">
        <v>169</v>
      </c>
      <c r="C410" s="406">
        <v>0.9</v>
      </c>
      <c r="E410" s="73" t="s">
        <v>160</v>
      </c>
      <c r="F410" s="131" t="e">
        <f>VLOOKUP(K58,B409:C418,2)</f>
        <v>#N/A</v>
      </c>
      <c r="G410" s="130"/>
      <c r="H410" s="130"/>
      <c r="I410" s="130"/>
      <c r="J410" s="130"/>
      <c r="K410" s="130"/>
      <c r="L410" s="130"/>
      <c r="M410" s="130"/>
      <c r="Q410" t="s">
        <v>840</v>
      </c>
      <c r="R410" s="124" t="s">
        <v>1039</v>
      </c>
      <c r="AA410" s="130" t="s">
        <v>767</v>
      </c>
      <c r="AB410" s="130">
        <v>3</v>
      </c>
      <c r="AC410" s="130">
        <f t="shared" si="16"/>
        <v>70</v>
      </c>
      <c r="AD410" s="130">
        <f t="shared" si="17"/>
        <v>10</v>
      </c>
      <c r="AE410" s="130">
        <f t="shared" si="18"/>
        <v>20</v>
      </c>
      <c r="AF410" s="130">
        <f t="shared" si="19"/>
        <v>60</v>
      </c>
      <c r="AG410" s="130">
        <f t="shared" si="20"/>
        <v>10</v>
      </c>
      <c r="AH410" s="130">
        <f t="shared" si="21"/>
        <v>20</v>
      </c>
      <c r="AI410" s="130"/>
      <c r="AJ410" s="130"/>
      <c r="AK410" s="130"/>
      <c r="AL410" s="130"/>
      <c r="AM410" s="130"/>
      <c r="AN410" s="130"/>
      <c r="AO410" s="130"/>
      <c r="AP410" s="132"/>
    </row>
    <row r="411" spans="2:42" ht="12.75" hidden="1">
      <c r="B411" t="s">
        <v>161</v>
      </c>
      <c r="C411">
        <v>1</v>
      </c>
      <c r="E411" s="130"/>
      <c r="F411" s="130"/>
      <c r="G411" s="130"/>
      <c r="H411" s="130"/>
      <c r="I411" s="130"/>
      <c r="J411" s="130"/>
      <c r="K411" s="130"/>
      <c r="L411" s="130"/>
      <c r="M411" s="130"/>
      <c r="Q411" t="s">
        <v>841</v>
      </c>
      <c r="R411" s="124" t="s">
        <v>1040</v>
      </c>
      <c r="AA411" s="130" t="s">
        <v>769</v>
      </c>
      <c r="AB411" s="130">
        <v>4</v>
      </c>
      <c r="AC411" s="130">
        <f t="shared" si="16"/>
        <v>50</v>
      </c>
      <c r="AD411" s="130">
        <f t="shared" si="17"/>
        <v>10</v>
      </c>
      <c r="AE411" s="130">
        <f t="shared" si="18"/>
        <v>20</v>
      </c>
      <c r="AF411" s="130">
        <f t="shared" si="19"/>
        <v>50</v>
      </c>
      <c r="AG411" s="130">
        <f t="shared" si="20"/>
        <v>10</v>
      </c>
      <c r="AH411" s="130">
        <f t="shared" si="21"/>
        <v>20</v>
      </c>
      <c r="AI411" s="130"/>
      <c r="AJ411" s="130"/>
      <c r="AK411" s="130"/>
      <c r="AL411" s="130"/>
      <c r="AM411" s="130"/>
      <c r="AN411" s="130"/>
      <c r="AO411" s="130"/>
      <c r="AP411" s="132"/>
    </row>
    <row r="412" spans="2:42" ht="12.75" hidden="1">
      <c r="B412" t="s">
        <v>162</v>
      </c>
      <c r="C412">
        <v>1</v>
      </c>
      <c r="E412" s="130"/>
      <c r="F412" s="130"/>
      <c r="G412" s="403"/>
      <c r="H412" s="130"/>
      <c r="I412" s="130"/>
      <c r="J412" s="130"/>
      <c r="K412" s="130"/>
      <c r="L412" s="130"/>
      <c r="M412" s="130"/>
      <c r="Q412" t="s">
        <v>842</v>
      </c>
      <c r="R412" s="124" t="s">
        <v>1041</v>
      </c>
      <c r="AA412" s="130" t="s">
        <v>771</v>
      </c>
      <c r="AB412" s="130">
        <v>4</v>
      </c>
      <c r="AC412" s="130">
        <f t="shared" si="16"/>
        <v>50</v>
      </c>
      <c r="AD412" s="130">
        <f t="shared" si="17"/>
        <v>10</v>
      </c>
      <c r="AE412" s="130">
        <f t="shared" si="18"/>
        <v>20</v>
      </c>
      <c r="AF412" s="130">
        <f t="shared" si="19"/>
        <v>50</v>
      </c>
      <c r="AG412" s="130">
        <f t="shared" si="20"/>
        <v>10</v>
      </c>
      <c r="AH412" s="130">
        <f t="shared" si="21"/>
        <v>20</v>
      </c>
      <c r="AI412" s="130"/>
      <c r="AJ412" s="130"/>
      <c r="AK412" s="130"/>
      <c r="AL412" s="130"/>
      <c r="AM412" s="130"/>
      <c r="AN412" s="130"/>
      <c r="AO412" s="130"/>
      <c r="AP412" s="132"/>
    </row>
    <row r="413" spans="2:42" ht="12.75" hidden="1">
      <c r="B413" t="s">
        <v>165</v>
      </c>
      <c r="C413">
        <v>0.5</v>
      </c>
      <c r="E413" s="130"/>
      <c r="F413" s="130"/>
      <c r="G413" s="130"/>
      <c r="H413" s="130"/>
      <c r="I413" s="130"/>
      <c r="J413" s="130"/>
      <c r="K413" s="130"/>
      <c r="L413" s="130"/>
      <c r="M413" s="130"/>
      <c r="AA413" s="130" t="s">
        <v>773</v>
      </c>
      <c r="AB413" s="130">
        <v>4</v>
      </c>
      <c r="AC413" s="130">
        <f t="shared" si="16"/>
        <v>50</v>
      </c>
      <c r="AD413" s="130">
        <f t="shared" si="17"/>
        <v>10</v>
      </c>
      <c r="AE413" s="130">
        <f t="shared" si="18"/>
        <v>20</v>
      </c>
      <c r="AF413" s="130">
        <f t="shared" si="19"/>
        <v>50</v>
      </c>
      <c r="AG413" s="130">
        <f t="shared" si="20"/>
        <v>10</v>
      </c>
      <c r="AH413" s="130">
        <f t="shared" si="21"/>
        <v>20</v>
      </c>
      <c r="AI413" s="130"/>
      <c r="AJ413" s="130"/>
      <c r="AK413" s="130"/>
      <c r="AL413" s="130"/>
      <c r="AM413" s="130"/>
      <c r="AN413" s="130"/>
      <c r="AO413" s="130"/>
      <c r="AP413" s="132"/>
    </row>
    <row r="414" spans="2:42" ht="12.75" hidden="1">
      <c r="B414" t="s">
        <v>163</v>
      </c>
      <c r="C414">
        <v>0.7</v>
      </c>
      <c r="E414" s="130"/>
      <c r="F414" s="130"/>
      <c r="G414" s="130"/>
      <c r="H414" s="130"/>
      <c r="I414" s="130"/>
      <c r="J414" s="130"/>
      <c r="K414" s="130"/>
      <c r="L414" s="130"/>
      <c r="M414" s="130"/>
      <c r="AA414" s="130" t="s">
        <v>775</v>
      </c>
      <c r="AB414" s="130">
        <v>3</v>
      </c>
      <c r="AC414" s="130">
        <f t="shared" si="16"/>
        <v>70</v>
      </c>
      <c r="AD414" s="130">
        <f t="shared" si="17"/>
        <v>10</v>
      </c>
      <c r="AE414" s="130">
        <f t="shared" si="18"/>
        <v>20</v>
      </c>
      <c r="AF414" s="130">
        <f t="shared" si="19"/>
        <v>60</v>
      </c>
      <c r="AG414" s="130">
        <f t="shared" si="20"/>
        <v>10</v>
      </c>
      <c r="AH414" s="130">
        <f t="shared" si="21"/>
        <v>20</v>
      </c>
      <c r="AI414" s="130"/>
      <c r="AJ414" s="130"/>
      <c r="AK414" s="130"/>
      <c r="AL414" s="130"/>
      <c r="AM414" s="130"/>
      <c r="AN414" s="130"/>
      <c r="AO414" s="130"/>
      <c r="AP414" s="132"/>
    </row>
    <row r="415" spans="2:42" ht="12.75" hidden="1">
      <c r="B415" t="s">
        <v>164</v>
      </c>
      <c r="C415">
        <v>0.6</v>
      </c>
      <c r="E415" s="130"/>
      <c r="F415" s="130"/>
      <c r="G415" s="130"/>
      <c r="H415" s="130"/>
      <c r="I415" s="130"/>
      <c r="J415" s="130"/>
      <c r="K415" s="130"/>
      <c r="L415" s="130"/>
      <c r="M415" s="130"/>
      <c r="AA415" s="130" t="s">
        <v>777</v>
      </c>
      <c r="AB415" s="130">
        <v>2</v>
      </c>
      <c r="AC415" s="130">
        <f t="shared" si="16"/>
        <v>90</v>
      </c>
      <c r="AD415" s="130">
        <f t="shared" si="17"/>
        <v>10</v>
      </c>
      <c r="AE415" s="130">
        <f t="shared" si="18"/>
        <v>20</v>
      </c>
      <c r="AF415" s="130">
        <f t="shared" si="19"/>
        <v>70</v>
      </c>
      <c r="AG415" s="130">
        <f t="shared" si="20"/>
        <v>10</v>
      </c>
      <c r="AH415" s="130">
        <f t="shared" si="21"/>
        <v>20</v>
      </c>
      <c r="AI415" s="130"/>
      <c r="AJ415" s="130"/>
      <c r="AK415" s="130"/>
      <c r="AL415" s="130"/>
      <c r="AM415" s="130"/>
      <c r="AN415" s="130"/>
      <c r="AO415" s="130"/>
      <c r="AP415" s="132"/>
    </row>
    <row r="416" spans="2:42" ht="12.75" hidden="1">
      <c r="B416" t="s">
        <v>168</v>
      </c>
      <c r="C416">
        <v>0.7</v>
      </c>
      <c r="E416" s="130"/>
      <c r="F416" s="130"/>
      <c r="G416" s="130"/>
      <c r="H416" s="130"/>
      <c r="I416" s="130"/>
      <c r="J416" s="130"/>
      <c r="K416" s="130"/>
      <c r="L416" s="130"/>
      <c r="M416" s="130"/>
      <c r="AA416" s="130" t="s">
        <v>778</v>
      </c>
      <c r="AB416" s="130">
        <v>2</v>
      </c>
      <c r="AC416" s="130">
        <f t="shared" si="16"/>
        <v>90</v>
      </c>
      <c r="AD416" s="130">
        <f t="shared" si="17"/>
        <v>10</v>
      </c>
      <c r="AE416" s="130">
        <f t="shared" si="18"/>
        <v>20</v>
      </c>
      <c r="AF416" s="130">
        <f t="shared" si="19"/>
        <v>70</v>
      </c>
      <c r="AG416" s="130">
        <f t="shared" si="20"/>
        <v>10</v>
      </c>
      <c r="AH416" s="130">
        <f t="shared" si="21"/>
        <v>20</v>
      </c>
      <c r="AI416" s="130"/>
      <c r="AJ416" s="130"/>
      <c r="AK416" s="130"/>
      <c r="AL416" s="130"/>
      <c r="AM416" s="130"/>
      <c r="AN416" s="130"/>
      <c r="AO416" s="130"/>
      <c r="AP416" s="132"/>
    </row>
    <row r="417" spans="2:42" ht="12.75" hidden="1">
      <c r="B417" t="s">
        <v>167</v>
      </c>
      <c r="C417">
        <v>0.9</v>
      </c>
      <c r="E417" s="130"/>
      <c r="F417" s="130"/>
      <c r="G417" s="130"/>
      <c r="H417" s="130"/>
      <c r="I417" s="130"/>
      <c r="J417" s="130"/>
      <c r="K417" s="130"/>
      <c r="L417" s="130"/>
      <c r="M417" s="130"/>
      <c r="AA417" s="130" t="s">
        <v>779</v>
      </c>
      <c r="AB417" s="130">
        <v>1</v>
      </c>
      <c r="AC417" s="130">
        <f t="shared" si="16"/>
        <v>115</v>
      </c>
      <c r="AD417" s="130">
        <f t="shared" si="17"/>
        <v>10</v>
      </c>
      <c r="AE417" s="130">
        <f t="shared" si="18"/>
        <v>20</v>
      </c>
      <c r="AF417" s="130">
        <f t="shared" si="19"/>
        <v>95</v>
      </c>
      <c r="AG417" s="130">
        <f t="shared" si="20"/>
        <v>10</v>
      </c>
      <c r="AH417" s="130">
        <f t="shared" si="21"/>
        <v>20</v>
      </c>
      <c r="AI417" s="130"/>
      <c r="AJ417" s="130"/>
      <c r="AK417" s="130"/>
      <c r="AL417" s="130"/>
      <c r="AM417" s="130"/>
      <c r="AN417" s="130"/>
      <c r="AO417" s="130"/>
      <c r="AP417" s="132"/>
    </row>
    <row r="418" spans="2:42" ht="12.75" hidden="1">
      <c r="B418" t="s">
        <v>166</v>
      </c>
      <c r="C418">
        <v>0.8</v>
      </c>
      <c r="E418" s="130"/>
      <c r="F418" s="130"/>
      <c r="G418" s="130"/>
      <c r="H418" s="130"/>
      <c r="I418" s="130"/>
      <c r="J418" s="130"/>
      <c r="K418" s="130"/>
      <c r="L418" s="130"/>
      <c r="M418" s="130"/>
      <c r="AA418" s="130" t="s">
        <v>780</v>
      </c>
      <c r="AB418" s="130">
        <v>1</v>
      </c>
      <c r="AC418" s="130">
        <f t="shared" si="16"/>
        <v>115</v>
      </c>
      <c r="AD418" s="130">
        <f t="shared" si="17"/>
        <v>10</v>
      </c>
      <c r="AE418" s="130">
        <f t="shared" si="18"/>
        <v>20</v>
      </c>
      <c r="AF418" s="130">
        <f t="shared" si="19"/>
        <v>95</v>
      </c>
      <c r="AG418" s="130">
        <f t="shared" si="20"/>
        <v>10</v>
      </c>
      <c r="AH418" s="130">
        <f t="shared" si="21"/>
        <v>20</v>
      </c>
      <c r="AI418" s="130"/>
      <c r="AJ418" s="130"/>
      <c r="AK418" s="130"/>
      <c r="AL418" s="130"/>
      <c r="AM418" s="130"/>
      <c r="AN418" s="130"/>
      <c r="AO418" s="130"/>
      <c r="AP418" s="132"/>
    </row>
    <row r="419" spans="5:42" ht="12.75" hidden="1">
      <c r="E419" s="130"/>
      <c r="F419" s="130"/>
      <c r="G419" s="130"/>
      <c r="H419" s="130"/>
      <c r="I419" s="130"/>
      <c r="J419" s="130"/>
      <c r="K419" s="130"/>
      <c r="L419" s="130"/>
      <c r="M419" s="130"/>
      <c r="AA419" s="130" t="s">
        <v>781</v>
      </c>
      <c r="AB419" s="130">
        <v>3</v>
      </c>
      <c r="AC419" s="130">
        <f t="shared" si="16"/>
        <v>70</v>
      </c>
      <c r="AD419" s="130">
        <f t="shared" si="17"/>
        <v>10</v>
      </c>
      <c r="AE419" s="130">
        <f t="shared" si="18"/>
        <v>20</v>
      </c>
      <c r="AF419" s="130">
        <f t="shared" si="19"/>
        <v>60</v>
      </c>
      <c r="AG419" s="130">
        <f t="shared" si="20"/>
        <v>10</v>
      </c>
      <c r="AH419" s="130">
        <f t="shared" si="21"/>
        <v>20</v>
      </c>
      <c r="AI419" s="130"/>
      <c r="AJ419" s="130"/>
      <c r="AK419" s="130"/>
      <c r="AL419" s="130"/>
      <c r="AM419" s="130"/>
      <c r="AN419" s="130"/>
      <c r="AO419" s="130"/>
      <c r="AP419" s="132"/>
    </row>
    <row r="420" spans="5:42" ht="12.75" hidden="1">
      <c r="E420" s="130"/>
      <c r="F420" s="130"/>
      <c r="G420" s="130"/>
      <c r="H420" s="130"/>
      <c r="I420" s="130"/>
      <c r="J420" s="130"/>
      <c r="K420" s="130"/>
      <c r="L420" s="130"/>
      <c r="M420" s="130"/>
      <c r="AA420" s="130" t="s">
        <v>782</v>
      </c>
      <c r="AB420" s="130">
        <v>2</v>
      </c>
      <c r="AC420" s="130">
        <f t="shared" si="16"/>
        <v>90</v>
      </c>
      <c r="AD420" s="130">
        <f t="shared" si="17"/>
        <v>10</v>
      </c>
      <c r="AE420" s="130">
        <f t="shared" si="18"/>
        <v>20</v>
      </c>
      <c r="AF420" s="130">
        <f t="shared" si="19"/>
        <v>70</v>
      </c>
      <c r="AG420" s="130">
        <f t="shared" si="20"/>
        <v>10</v>
      </c>
      <c r="AH420" s="130">
        <f t="shared" si="21"/>
        <v>20</v>
      </c>
      <c r="AI420" s="130"/>
      <c r="AJ420" s="130"/>
      <c r="AK420" s="130"/>
      <c r="AL420" s="130"/>
      <c r="AM420" s="130"/>
      <c r="AN420" s="130"/>
      <c r="AO420" s="130"/>
      <c r="AP420" s="132"/>
    </row>
    <row r="421" spans="5:42" ht="12.75" hidden="1">
      <c r="E421" s="130"/>
      <c r="F421" s="130"/>
      <c r="G421" s="130"/>
      <c r="H421" s="130"/>
      <c r="I421" s="130"/>
      <c r="J421" s="130"/>
      <c r="K421" s="130"/>
      <c r="L421" s="130"/>
      <c r="M421" s="130"/>
      <c r="AA421" s="130" t="s">
        <v>783</v>
      </c>
      <c r="AB421" s="130">
        <v>4</v>
      </c>
      <c r="AC421" s="130">
        <f t="shared" si="16"/>
        <v>50</v>
      </c>
      <c r="AD421" s="130">
        <f t="shared" si="17"/>
        <v>10</v>
      </c>
      <c r="AE421" s="130">
        <f t="shared" si="18"/>
        <v>20</v>
      </c>
      <c r="AF421" s="130">
        <f t="shared" si="19"/>
        <v>50</v>
      </c>
      <c r="AG421" s="130">
        <f t="shared" si="20"/>
        <v>10</v>
      </c>
      <c r="AH421" s="130">
        <f t="shared" si="21"/>
        <v>20</v>
      </c>
      <c r="AI421" s="130"/>
      <c r="AJ421" s="130"/>
      <c r="AK421" s="130"/>
      <c r="AL421" s="130"/>
      <c r="AM421" s="130"/>
      <c r="AN421" s="130"/>
      <c r="AO421" s="130"/>
      <c r="AP421" s="132"/>
    </row>
    <row r="422" spans="5:42" ht="12.75" hidden="1">
      <c r="E422" s="130"/>
      <c r="F422" s="130"/>
      <c r="G422" s="130"/>
      <c r="H422" s="130"/>
      <c r="I422" s="130"/>
      <c r="J422" s="130"/>
      <c r="K422" s="130"/>
      <c r="L422" s="130"/>
      <c r="M422" s="130"/>
      <c r="AA422" s="130" t="s">
        <v>784</v>
      </c>
      <c r="AB422" s="130">
        <v>4</v>
      </c>
      <c r="AC422" s="130">
        <f t="shared" si="16"/>
        <v>50</v>
      </c>
      <c r="AD422" s="130">
        <f t="shared" si="17"/>
        <v>10</v>
      </c>
      <c r="AE422" s="130">
        <f t="shared" si="18"/>
        <v>20</v>
      </c>
      <c r="AF422" s="130">
        <f t="shared" si="19"/>
        <v>50</v>
      </c>
      <c r="AG422" s="130">
        <f t="shared" si="20"/>
        <v>10</v>
      </c>
      <c r="AH422" s="130">
        <f t="shared" si="21"/>
        <v>20</v>
      </c>
      <c r="AI422" s="130"/>
      <c r="AJ422" s="130"/>
      <c r="AK422" s="130"/>
      <c r="AL422" s="130"/>
      <c r="AM422" s="130"/>
      <c r="AN422" s="130"/>
      <c r="AO422" s="130"/>
      <c r="AP422" s="132"/>
    </row>
    <row r="423" spans="5:42" ht="12.75" hidden="1">
      <c r="E423" s="130"/>
      <c r="F423" s="130"/>
      <c r="G423" s="130"/>
      <c r="H423" s="130"/>
      <c r="I423" s="130"/>
      <c r="J423" s="130"/>
      <c r="K423" s="130"/>
      <c r="L423" s="130"/>
      <c r="M423" s="130"/>
      <c r="AA423" s="130" t="s">
        <v>785</v>
      </c>
      <c r="AB423" s="130">
        <v>2</v>
      </c>
      <c r="AC423" s="130">
        <f t="shared" si="16"/>
        <v>90</v>
      </c>
      <c r="AD423" s="130">
        <f t="shared" si="17"/>
        <v>10</v>
      </c>
      <c r="AE423" s="130">
        <f t="shared" si="18"/>
        <v>20</v>
      </c>
      <c r="AF423" s="130">
        <f t="shared" si="19"/>
        <v>70</v>
      </c>
      <c r="AG423" s="130">
        <f t="shared" si="20"/>
        <v>10</v>
      </c>
      <c r="AH423" s="130">
        <f t="shared" si="21"/>
        <v>20</v>
      </c>
      <c r="AI423" s="130"/>
      <c r="AJ423" s="130"/>
      <c r="AK423" s="130"/>
      <c r="AL423" s="130"/>
      <c r="AM423" s="130"/>
      <c r="AN423" s="130"/>
      <c r="AO423" s="130"/>
      <c r="AP423" s="132"/>
    </row>
    <row r="424" spans="5:42" ht="12.75" hidden="1">
      <c r="E424" s="130"/>
      <c r="F424" s="130"/>
      <c r="G424" s="130"/>
      <c r="H424" s="130"/>
      <c r="I424" s="130"/>
      <c r="J424" s="130"/>
      <c r="K424" s="130"/>
      <c r="L424" s="130"/>
      <c r="M424" s="130"/>
      <c r="AA424" s="130" t="s">
        <v>786</v>
      </c>
      <c r="AB424" s="130">
        <v>2</v>
      </c>
      <c r="AC424" s="130">
        <f t="shared" si="16"/>
        <v>90</v>
      </c>
      <c r="AD424" s="130">
        <f t="shared" si="17"/>
        <v>10</v>
      </c>
      <c r="AE424" s="130">
        <f t="shared" si="18"/>
        <v>20</v>
      </c>
      <c r="AF424" s="130">
        <f t="shared" si="19"/>
        <v>70</v>
      </c>
      <c r="AG424" s="130">
        <f t="shared" si="20"/>
        <v>10</v>
      </c>
      <c r="AH424" s="130">
        <f t="shared" si="21"/>
        <v>20</v>
      </c>
      <c r="AI424" s="130"/>
      <c r="AJ424" s="130"/>
      <c r="AK424" s="130"/>
      <c r="AL424" s="130"/>
      <c r="AM424" s="130"/>
      <c r="AN424" s="130"/>
      <c r="AO424" s="130"/>
      <c r="AP424" s="132"/>
    </row>
    <row r="425" spans="5:42" ht="12.75" hidden="1">
      <c r="E425" s="130"/>
      <c r="F425" s="130"/>
      <c r="G425" s="130"/>
      <c r="H425" s="130"/>
      <c r="I425" s="130"/>
      <c r="J425" s="130"/>
      <c r="K425" s="130"/>
      <c r="L425" s="130"/>
      <c r="M425" s="130"/>
      <c r="AA425" s="130" t="s">
        <v>787</v>
      </c>
      <c r="AB425" s="130">
        <v>4</v>
      </c>
      <c r="AC425" s="130">
        <f t="shared" si="16"/>
        <v>50</v>
      </c>
      <c r="AD425" s="130">
        <f t="shared" si="17"/>
        <v>10</v>
      </c>
      <c r="AE425" s="130">
        <f t="shared" si="18"/>
        <v>20</v>
      </c>
      <c r="AF425" s="130">
        <f t="shared" si="19"/>
        <v>50</v>
      </c>
      <c r="AG425" s="130">
        <f t="shared" si="20"/>
        <v>10</v>
      </c>
      <c r="AH425" s="130">
        <f t="shared" si="21"/>
        <v>20</v>
      </c>
      <c r="AI425" s="130"/>
      <c r="AJ425" s="130"/>
      <c r="AK425" s="130"/>
      <c r="AL425" s="130"/>
      <c r="AM425" s="130"/>
      <c r="AN425" s="130"/>
      <c r="AO425" s="130"/>
      <c r="AP425" s="132"/>
    </row>
    <row r="426" spans="5:42" ht="12.75" hidden="1">
      <c r="E426" s="130"/>
      <c r="F426" s="130"/>
      <c r="G426" s="130"/>
      <c r="H426" s="130"/>
      <c r="I426" s="130"/>
      <c r="J426" s="130"/>
      <c r="K426" s="130"/>
      <c r="L426" s="130"/>
      <c r="M426" s="130"/>
      <c r="AA426" s="130" t="s">
        <v>788</v>
      </c>
      <c r="AB426" s="130">
        <v>3</v>
      </c>
      <c r="AC426" s="130">
        <f aca="true" t="shared" si="22" ref="AC426:AC489">VLOOKUP(AB426,$AA$357:$AD$360,2)</f>
        <v>70</v>
      </c>
      <c r="AD426" s="130">
        <f aca="true" t="shared" si="23" ref="AD426:AD489">VLOOKUP(AC426,$AA$357:$AD$360,3)</f>
        <v>10</v>
      </c>
      <c r="AE426" s="130">
        <f aca="true" t="shared" si="24" ref="AE426:AE489">VLOOKUP(AD426,$AA$357:$AD$360,4)</f>
        <v>20</v>
      </c>
      <c r="AF426" s="130">
        <f aca="true" t="shared" si="25" ref="AF426:AF489">VLOOKUP($AB426,$AF$357:$AI$360,2)</f>
        <v>60</v>
      </c>
      <c r="AG426" s="130">
        <f aca="true" t="shared" si="26" ref="AG426:AG489">VLOOKUP($AB426,$AF$357:$AI$360,3)</f>
        <v>10</v>
      </c>
      <c r="AH426" s="130">
        <f aca="true" t="shared" si="27" ref="AH426:AH489">VLOOKUP($AB426,$AF$357:$AI$360,4)</f>
        <v>20</v>
      </c>
      <c r="AI426" s="130"/>
      <c r="AJ426" s="130"/>
      <c r="AK426" s="130"/>
      <c r="AL426" s="130"/>
      <c r="AM426" s="130"/>
      <c r="AN426" s="130"/>
      <c r="AO426" s="130"/>
      <c r="AP426" s="132"/>
    </row>
    <row r="427" spans="5:42" ht="12.75" hidden="1">
      <c r="E427" s="130"/>
      <c r="F427" s="130"/>
      <c r="G427" s="130"/>
      <c r="H427" s="130"/>
      <c r="I427" s="130"/>
      <c r="J427" s="130"/>
      <c r="K427" s="130"/>
      <c r="L427" s="130"/>
      <c r="M427" s="130"/>
      <c r="AA427" s="130" t="s">
        <v>789</v>
      </c>
      <c r="AB427" s="130">
        <v>4</v>
      </c>
      <c r="AC427" s="130">
        <f t="shared" si="22"/>
        <v>50</v>
      </c>
      <c r="AD427" s="130">
        <f t="shared" si="23"/>
        <v>10</v>
      </c>
      <c r="AE427" s="130">
        <f t="shared" si="24"/>
        <v>20</v>
      </c>
      <c r="AF427" s="130">
        <f t="shared" si="25"/>
        <v>50</v>
      </c>
      <c r="AG427" s="130">
        <f t="shared" si="26"/>
        <v>10</v>
      </c>
      <c r="AH427" s="130">
        <f t="shared" si="27"/>
        <v>20</v>
      </c>
      <c r="AI427" s="130"/>
      <c r="AJ427" s="130"/>
      <c r="AK427" s="130"/>
      <c r="AL427" s="130"/>
      <c r="AM427" s="130"/>
      <c r="AN427" s="130"/>
      <c r="AO427" s="130"/>
      <c r="AP427" s="132"/>
    </row>
    <row r="428" spans="5:42" ht="12.75" hidden="1">
      <c r="E428" s="130"/>
      <c r="F428" s="130"/>
      <c r="G428" s="130"/>
      <c r="H428" s="130"/>
      <c r="I428" s="130"/>
      <c r="J428" s="130"/>
      <c r="K428" s="130"/>
      <c r="L428" s="130"/>
      <c r="M428" s="130"/>
      <c r="AA428" s="130" t="s">
        <v>790</v>
      </c>
      <c r="AB428" s="130">
        <v>4</v>
      </c>
      <c r="AC428" s="130">
        <f t="shared" si="22"/>
        <v>50</v>
      </c>
      <c r="AD428" s="130">
        <f t="shared" si="23"/>
        <v>10</v>
      </c>
      <c r="AE428" s="130">
        <f t="shared" si="24"/>
        <v>20</v>
      </c>
      <c r="AF428" s="130">
        <f t="shared" si="25"/>
        <v>50</v>
      </c>
      <c r="AG428" s="130">
        <f t="shared" si="26"/>
        <v>10</v>
      </c>
      <c r="AH428" s="130">
        <f t="shared" si="27"/>
        <v>20</v>
      </c>
      <c r="AI428" s="130"/>
      <c r="AJ428" s="130"/>
      <c r="AK428" s="130"/>
      <c r="AL428" s="130"/>
      <c r="AM428" s="130"/>
      <c r="AN428" s="130"/>
      <c r="AO428" s="130"/>
      <c r="AP428" s="132"/>
    </row>
    <row r="429" spans="27:42" ht="12.75" hidden="1">
      <c r="AA429" s="130" t="s">
        <v>791</v>
      </c>
      <c r="AB429" s="130">
        <v>3</v>
      </c>
      <c r="AC429" s="130">
        <f t="shared" si="22"/>
        <v>70</v>
      </c>
      <c r="AD429" s="130">
        <f t="shared" si="23"/>
        <v>10</v>
      </c>
      <c r="AE429" s="130">
        <f t="shared" si="24"/>
        <v>20</v>
      </c>
      <c r="AF429" s="130">
        <f t="shared" si="25"/>
        <v>60</v>
      </c>
      <c r="AG429" s="130">
        <f t="shared" si="26"/>
        <v>10</v>
      </c>
      <c r="AH429" s="130">
        <f t="shared" si="27"/>
        <v>20</v>
      </c>
      <c r="AI429" s="130"/>
      <c r="AJ429" s="130"/>
      <c r="AK429" s="130"/>
      <c r="AL429" s="130"/>
      <c r="AM429" s="130"/>
      <c r="AN429" s="130"/>
      <c r="AO429" s="130"/>
      <c r="AP429" s="132"/>
    </row>
    <row r="430" spans="27:42" ht="12.75" hidden="1">
      <c r="AA430" s="130" t="s">
        <v>792</v>
      </c>
      <c r="AB430" s="130">
        <v>1</v>
      </c>
      <c r="AC430" s="130">
        <f t="shared" si="22"/>
        <v>115</v>
      </c>
      <c r="AD430" s="130">
        <f t="shared" si="23"/>
        <v>10</v>
      </c>
      <c r="AE430" s="130">
        <f t="shared" si="24"/>
        <v>20</v>
      </c>
      <c r="AF430" s="130">
        <f t="shared" si="25"/>
        <v>95</v>
      </c>
      <c r="AG430" s="130">
        <f t="shared" si="26"/>
        <v>10</v>
      </c>
      <c r="AH430" s="130">
        <f t="shared" si="27"/>
        <v>20</v>
      </c>
      <c r="AI430" s="130"/>
      <c r="AJ430" s="130"/>
      <c r="AK430" s="130"/>
      <c r="AL430" s="130"/>
      <c r="AM430" s="130"/>
      <c r="AN430" s="130"/>
      <c r="AO430" s="130"/>
      <c r="AP430" s="132"/>
    </row>
    <row r="431" spans="27:42" ht="12.75" hidden="1">
      <c r="AA431" s="130" t="s">
        <v>793</v>
      </c>
      <c r="AB431" s="130">
        <v>2</v>
      </c>
      <c r="AC431" s="130">
        <f t="shared" si="22"/>
        <v>90</v>
      </c>
      <c r="AD431" s="130">
        <f t="shared" si="23"/>
        <v>10</v>
      </c>
      <c r="AE431" s="130">
        <f t="shared" si="24"/>
        <v>20</v>
      </c>
      <c r="AF431" s="130">
        <f t="shared" si="25"/>
        <v>70</v>
      </c>
      <c r="AG431" s="130">
        <f t="shared" si="26"/>
        <v>10</v>
      </c>
      <c r="AH431" s="130">
        <f t="shared" si="27"/>
        <v>20</v>
      </c>
      <c r="AI431" s="130"/>
      <c r="AJ431" s="130"/>
      <c r="AK431" s="130"/>
      <c r="AL431" s="130"/>
      <c r="AM431" s="130"/>
      <c r="AN431" s="130"/>
      <c r="AO431" s="130"/>
      <c r="AP431" s="132"/>
    </row>
    <row r="432" spans="27:42" ht="12.75" hidden="1">
      <c r="AA432" s="130" t="s">
        <v>794</v>
      </c>
      <c r="AB432" s="130">
        <v>2</v>
      </c>
      <c r="AC432" s="130">
        <f t="shared" si="22"/>
        <v>90</v>
      </c>
      <c r="AD432" s="130">
        <f t="shared" si="23"/>
        <v>10</v>
      </c>
      <c r="AE432" s="130">
        <f t="shared" si="24"/>
        <v>20</v>
      </c>
      <c r="AF432" s="130">
        <f t="shared" si="25"/>
        <v>70</v>
      </c>
      <c r="AG432" s="130">
        <f t="shared" si="26"/>
        <v>10</v>
      </c>
      <c r="AH432" s="130">
        <f t="shared" si="27"/>
        <v>20</v>
      </c>
      <c r="AI432" s="130"/>
      <c r="AJ432" s="130"/>
      <c r="AK432" s="130"/>
      <c r="AL432" s="130"/>
      <c r="AM432" s="130"/>
      <c r="AN432" s="130"/>
      <c r="AO432" s="130"/>
      <c r="AP432" s="132"/>
    </row>
    <row r="433" spans="27:42" ht="12.75" hidden="1">
      <c r="AA433" s="130" t="s">
        <v>795</v>
      </c>
      <c r="AB433" s="130">
        <v>4</v>
      </c>
      <c r="AC433" s="130">
        <f t="shared" si="22"/>
        <v>50</v>
      </c>
      <c r="AD433" s="130">
        <f t="shared" si="23"/>
        <v>10</v>
      </c>
      <c r="AE433" s="130">
        <f t="shared" si="24"/>
        <v>20</v>
      </c>
      <c r="AF433" s="130">
        <f t="shared" si="25"/>
        <v>50</v>
      </c>
      <c r="AG433" s="130">
        <f t="shared" si="26"/>
        <v>10</v>
      </c>
      <c r="AH433" s="130">
        <f t="shared" si="27"/>
        <v>20</v>
      </c>
      <c r="AI433" s="130"/>
      <c r="AJ433" s="130"/>
      <c r="AK433" s="130"/>
      <c r="AL433" s="130"/>
      <c r="AM433" s="130"/>
      <c r="AN433" s="130"/>
      <c r="AO433" s="130"/>
      <c r="AP433" s="132"/>
    </row>
    <row r="434" spans="27:42" ht="12.75" hidden="1">
      <c r="AA434" s="130" t="s">
        <v>796</v>
      </c>
      <c r="AB434" s="130">
        <v>4</v>
      </c>
      <c r="AC434" s="130">
        <f t="shared" si="22"/>
        <v>50</v>
      </c>
      <c r="AD434" s="130">
        <f t="shared" si="23"/>
        <v>10</v>
      </c>
      <c r="AE434" s="130">
        <f t="shared" si="24"/>
        <v>20</v>
      </c>
      <c r="AF434" s="130">
        <f t="shared" si="25"/>
        <v>50</v>
      </c>
      <c r="AG434" s="130">
        <f t="shared" si="26"/>
        <v>10</v>
      </c>
      <c r="AH434" s="130">
        <f t="shared" si="27"/>
        <v>20</v>
      </c>
      <c r="AI434" s="130"/>
      <c r="AJ434" s="130"/>
      <c r="AK434" s="130"/>
      <c r="AL434" s="130"/>
      <c r="AM434" s="130"/>
      <c r="AN434" s="130"/>
      <c r="AO434" s="130"/>
      <c r="AP434" s="132"/>
    </row>
    <row r="435" spans="27:42" ht="12.75" hidden="1">
      <c r="AA435" s="130" t="s">
        <v>797</v>
      </c>
      <c r="AB435" s="130">
        <v>2</v>
      </c>
      <c r="AC435" s="130">
        <f t="shared" si="22"/>
        <v>90</v>
      </c>
      <c r="AD435" s="130">
        <f t="shared" si="23"/>
        <v>10</v>
      </c>
      <c r="AE435" s="130">
        <f t="shared" si="24"/>
        <v>20</v>
      </c>
      <c r="AF435" s="130">
        <f t="shared" si="25"/>
        <v>70</v>
      </c>
      <c r="AG435" s="130">
        <f t="shared" si="26"/>
        <v>10</v>
      </c>
      <c r="AH435" s="130">
        <f t="shared" si="27"/>
        <v>20</v>
      </c>
      <c r="AI435" s="130"/>
      <c r="AJ435" s="130"/>
      <c r="AK435" s="130"/>
      <c r="AL435" s="130"/>
      <c r="AM435" s="130"/>
      <c r="AN435" s="130"/>
      <c r="AO435" s="130"/>
      <c r="AP435" s="132"/>
    </row>
    <row r="436" spans="27:42" ht="12.75" hidden="1">
      <c r="AA436" s="130" t="s">
        <v>798</v>
      </c>
      <c r="AB436" s="130">
        <v>3</v>
      </c>
      <c r="AC436" s="130">
        <f t="shared" si="22"/>
        <v>70</v>
      </c>
      <c r="AD436" s="130">
        <f t="shared" si="23"/>
        <v>10</v>
      </c>
      <c r="AE436" s="130">
        <f t="shared" si="24"/>
        <v>20</v>
      </c>
      <c r="AF436" s="130">
        <f t="shared" si="25"/>
        <v>60</v>
      </c>
      <c r="AG436" s="130">
        <f t="shared" si="26"/>
        <v>10</v>
      </c>
      <c r="AH436" s="130">
        <f t="shared" si="27"/>
        <v>20</v>
      </c>
      <c r="AI436" s="130"/>
      <c r="AJ436" s="130"/>
      <c r="AK436" s="130"/>
      <c r="AL436" s="130"/>
      <c r="AM436" s="130"/>
      <c r="AN436" s="130"/>
      <c r="AO436" s="130"/>
      <c r="AP436" s="132"/>
    </row>
    <row r="437" spans="27:42" ht="12.75" hidden="1">
      <c r="AA437" s="130" t="s">
        <v>799</v>
      </c>
      <c r="AB437" s="130">
        <v>2</v>
      </c>
      <c r="AC437" s="130">
        <f t="shared" si="22"/>
        <v>90</v>
      </c>
      <c r="AD437" s="130">
        <f t="shared" si="23"/>
        <v>10</v>
      </c>
      <c r="AE437" s="130">
        <f t="shared" si="24"/>
        <v>20</v>
      </c>
      <c r="AF437" s="130">
        <f t="shared" si="25"/>
        <v>70</v>
      </c>
      <c r="AG437" s="130">
        <f t="shared" si="26"/>
        <v>10</v>
      </c>
      <c r="AH437" s="130">
        <f t="shared" si="27"/>
        <v>20</v>
      </c>
      <c r="AI437" s="130"/>
      <c r="AJ437" s="130"/>
      <c r="AK437" s="130"/>
      <c r="AL437" s="130"/>
      <c r="AM437" s="130"/>
      <c r="AN437" s="130"/>
      <c r="AO437" s="130"/>
      <c r="AP437" s="132"/>
    </row>
    <row r="438" spans="27:42" ht="12.75" hidden="1">
      <c r="AA438" s="130" t="s">
        <v>800</v>
      </c>
      <c r="AB438" s="130">
        <v>4</v>
      </c>
      <c r="AC438" s="130">
        <f t="shared" si="22"/>
        <v>50</v>
      </c>
      <c r="AD438" s="130">
        <f t="shared" si="23"/>
        <v>10</v>
      </c>
      <c r="AE438" s="130">
        <f t="shared" si="24"/>
        <v>20</v>
      </c>
      <c r="AF438" s="130">
        <f t="shared" si="25"/>
        <v>50</v>
      </c>
      <c r="AG438" s="130">
        <f t="shared" si="26"/>
        <v>10</v>
      </c>
      <c r="AH438" s="130">
        <f t="shared" si="27"/>
        <v>20</v>
      </c>
      <c r="AI438" s="130"/>
      <c r="AJ438" s="130"/>
      <c r="AK438" s="130"/>
      <c r="AL438" s="130"/>
      <c r="AM438" s="130"/>
      <c r="AN438" s="130"/>
      <c r="AO438" s="130"/>
      <c r="AP438" s="132"/>
    </row>
    <row r="439" spans="27:42" ht="12.75" hidden="1">
      <c r="AA439" s="130" t="s">
        <v>801</v>
      </c>
      <c r="AB439" s="130">
        <v>1</v>
      </c>
      <c r="AC439" s="130">
        <f t="shared" si="22"/>
        <v>115</v>
      </c>
      <c r="AD439" s="130">
        <f t="shared" si="23"/>
        <v>10</v>
      </c>
      <c r="AE439" s="130">
        <f t="shared" si="24"/>
        <v>20</v>
      </c>
      <c r="AF439" s="130">
        <f t="shared" si="25"/>
        <v>95</v>
      </c>
      <c r="AG439" s="130">
        <f t="shared" si="26"/>
        <v>10</v>
      </c>
      <c r="AH439" s="130">
        <f t="shared" si="27"/>
        <v>20</v>
      </c>
      <c r="AI439" s="130"/>
      <c r="AJ439" s="130"/>
      <c r="AK439" s="130"/>
      <c r="AL439" s="130"/>
      <c r="AM439" s="130"/>
      <c r="AN439" s="130"/>
      <c r="AO439" s="130"/>
      <c r="AP439" s="132"/>
    </row>
    <row r="440" spans="27:42" ht="12.75" hidden="1">
      <c r="AA440" s="130" t="s">
        <v>802</v>
      </c>
      <c r="AB440" s="130">
        <v>4</v>
      </c>
      <c r="AC440" s="130">
        <f t="shared" si="22"/>
        <v>50</v>
      </c>
      <c r="AD440" s="130">
        <f t="shared" si="23"/>
        <v>10</v>
      </c>
      <c r="AE440" s="130">
        <f t="shared" si="24"/>
        <v>20</v>
      </c>
      <c r="AF440" s="130">
        <f t="shared" si="25"/>
        <v>50</v>
      </c>
      <c r="AG440" s="130">
        <f t="shared" si="26"/>
        <v>10</v>
      </c>
      <c r="AH440" s="130">
        <f t="shared" si="27"/>
        <v>20</v>
      </c>
      <c r="AI440" s="130"/>
      <c r="AJ440" s="130"/>
      <c r="AK440" s="130"/>
      <c r="AL440" s="130"/>
      <c r="AM440" s="130"/>
      <c r="AN440" s="130"/>
      <c r="AO440" s="130"/>
      <c r="AP440" s="132"/>
    </row>
    <row r="441" spans="27:42" ht="12.75" hidden="1">
      <c r="AA441" s="130" t="s">
        <v>803</v>
      </c>
      <c r="AB441" s="130">
        <v>2</v>
      </c>
      <c r="AC441" s="130">
        <f t="shared" si="22"/>
        <v>90</v>
      </c>
      <c r="AD441" s="130">
        <f t="shared" si="23"/>
        <v>10</v>
      </c>
      <c r="AE441" s="130">
        <f t="shared" si="24"/>
        <v>20</v>
      </c>
      <c r="AF441" s="130">
        <f t="shared" si="25"/>
        <v>70</v>
      </c>
      <c r="AG441" s="130">
        <f t="shared" si="26"/>
        <v>10</v>
      </c>
      <c r="AH441" s="130">
        <f t="shared" si="27"/>
        <v>20</v>
      </c>
      <c r="AI441" s="130"/>
      <c r="AJ441" s="130"/>
      <c r="AK441" s="130"/>
      <c r="AL441" s="130"/>
      <c r="AM441" s="130"/>
      <c r="AN441" s="130"/>
      <c r="AO441" s="130"/>
      <c r="AP441" s="132"/>
    </row>
    <row r="442" spans="27:42" ht="12.75" hidden="1">
      <c r="AA442" s="130" t="s">
        <v>804</v>
      </c>
      <c r="AB442" s="130">
        <v>4</v>
      </c>
      <c r="AC442" s="130">
        <f t="shared" si="22"/>
        <v>50</v>
      </c>
      <c r="AD442" s="130">
        <f t="shared" si="23"/>
        <v>10</v>
      </c>
      <c r="AE442" s="130">
        <f t="shared" si="24"/>
        <v>20</v>
      </c>
      <c r="AF442" s="130">
        <f t="shared" si="25"/>
        <v>50</v>
      </c>
      <c r="AG442" s="130">
        <f t="shared" si="26"/>
        <v>10</v>
      </c>
      <c r="AH442" s="130">
        <f t="shared" si="27"/>
        <v>20</v>
      </c>
      <c r="AI442" s="130"/>
      <c r="AJ442" s="130"/>
      <c r="AK442" s="130"/>
      <c r="AL442" s="130"/>
      <c r="AM442" s="130"/>
      <c r="AN442" s="130"/>
      <c r="AO442" s="130"/>
      <c r="AP442" s="132"/>
    </row>
    <row r="443" spans="27:42" ht="12.75" hidden="1">
      <c r="AA443" s="130" t="s">
        <v>807</v>
      </c>
      <c r="AB443" s="130">
        <v>3</v>
      </c>
      <c r="AC443" s="130">
        <f t="shared" si="22"/>
        <v>70</v>
      </c>
      <c r="AD443" s="130">
        <f t="shared" si="23"/>
        <v>10</v>
      </c>
      <c r="AE443" s="130">
        <f t="shared" si="24"/>
        <v>20</v>
      </c>
      <c r="AF443" s="130">
        <f t="shared" si="25"/>
        <v>60</v>
      </c>
      <c r="AG443" s="130">
        <f t="shared" si="26"/>
        <v>10</v>
      </c>
      <c r="AH443" s="130">
        <f t="shared" si="27"/>
        <v>20</v>
      </c>
      <c r="AI443" s="130"/>
      <c r="AJ443" s="130"/>
      <c r="AK443" s="130"/>
      <c r="AL443" s="130"/>
      <c r="AM443" s="130"/>
      <c r="AN443" s="130"/>
      <c r="AO443" s="130"/>
      <c r="AP443" s="132"/>
    </row>
    <row r="444" spans="27:42" ht="12.75" hidden="1">
      <c r="AA444" s="130" t="s">
        <v>224</v>
      </c>
      <c r="AB444" s="130">
        <v>2</v>
      </c>
      <c r="AC444" s="130">
        <f t="shared" si="22"/>
        <v>90</v>
      </c>
      <c r="AD444" s="130">
        <f t="shared" si="23"/>
        <v>10</v>
      </c>
      <c r="AE444" s="130">
        <f t="shared" si="24"/>
        <v>20</v>
      </c>
      <c r="AF444" s="130">
        <f t="shared" si="25"/>
        <v>70</v>
      </c>
      <c r="AG444" s="130">
        <f t="shared" si="26"/>
        <v>10</v>
      </c>
      <c r="AH444" s="130">
        <f t="shared" si="27"/>
        <v>20</v>
      </c>
      <c r="AI444" s="130"/>
      <c r="AJ444" s="130"/>
      <c r="AK444" s="130"/>
      <c r="AL444" s="130"/>
      <c r="AM444" s="130"/>
      <c r="AN444" s="130"/>
      <c r="AO444" s="130"/>
      <c r="AP444" s="132"/>
    </row>
    <row r="445" spans="27:42" ht="12.75" hidden="1">
      <c r="AA445" s="130" t="s">
        <v>810</v>
      </c>
      <c r="AB445" s="130">
        <v>3</v>
      </c>
      <c r="AC445" s="130">
        <f t="shared" si="22"/>
        <v>70</v>
      </c>
      <c r="AD445" s="130">
        <f t="shared" si="23"/>
        <v>10</v>
      </c>
      <c r="AE445" s="130">
        <f t="shared" si="24"/>
        <v>20</v>
      </c>
      <c r="AF445" s="130">
        <f t="shared" si="25"/>
        <v>60</v>
      </c>
      <c r="AG445" s="130">
        <f t="shared" si="26"/>
        <v>10</v>
      </c>
      <c r="AH445" s="130">
        <f t="shared" si="27"/>
        <v>20</v>
      </c>
      <c r="AI445" s="130"/>
      <c r="AJ445" s="130"/>
      <c r="AK445" s="130"/>
      <c r="AL445" s="130"/>
      <c r="AM445" s="130"/>
      <c r="AN445" s="130"/>
      <c r="AO445" s="130"/>
      <c r="AP445" s="132"/>
    </row>
    <row r="446" spans="27:42" ht="12.75" hidden="1">
      <c r="AA446" s="130" t="s">
        <v>812</v>
      </c>
      <c r="AB446" s="130">
        <v>3</v>
      </c>
      <c r="AC446" s="130">
        <f t="shared" si="22"/>
        <v>70</v>
      </c>
      <c r="AD446" s="130">
        <f t="shared" si="23"/>
        <v>10</v>
      </c>
      <c r="AE446" s="130">
        <f t="shared" si="24"/>
        <v>20</v>
      </c>
      <c r="AF446" s="130">
        <f t="shared" si="25"/>
        <v>60</v>
      </c>
      <c r="AG446" s="130">
        <f t="shared" si="26"/>
        <v>10</v>
      </c>
      <c r="AH446" s="130">
        <f t="shared" si="27"/>
        <v>20</v>
      </c>
      <c r="AI446" s="130"/>
      <c r="AJ446" s="130"/>
      <c r="AK446" s="130"/>
      <c r="AL446" s="130"/>
      <c r="AM446" s="130"/>
      <c r="AN446" s="130"/>
      <c r="AO446" s="130"/>
      <c r="AP446" s="132"/>
    </row>
    <row r="447" spans="27:42" ht="12.75" hidden="1">
      <c r="AA447" s="130" t="s">
        <v>814</v>
      </c>
      <c r="AB447" s="130">
        <v>3</v>
      </c>
      <c r="AC447" s="130">
        <f t="shared" si="22"/>
        <v>70</v>
      </c>
      <c r="AD447" s="130">
        <f t="shared" si="23"/>
        <v>10</v>
      </c>
      <c r="AE447" s="130">
        <f t="shared" si="24"/>
        <v>20</v>
      </c>
      <c r="AF447" s="130">
        <f t="shared" si="25"/>
        <v>60</v>
      </c>
      <c r="AG447" s="130">
        <f t="shared" si="26"/>
        <v>10</v>
      </c>
      <c r="AH447" s="130">
        <f t="shared" si="27"/>
        <v>20</v>
      </c>
      <c r="AI447" s="130"/>
      <c r="AJ447" s="130"/>
      <c r="AK447" s="130"/>
      <c r="AL447" s="130"/>
      <c r="AM447" s="130"/>
      <c r="AN447" s="130"/>
      <c r="AO447" s="130"/>
      <c r="AP447" s="132"/>
    </row>
    <row r="448" spans="27:42" ht="12.75" hidden="1">
      <c r="AA448" s="130" t="s">
        <v>815</v>
      </c>
      <c r="AB448" s="130">
        <v>4</v>
      </c>
      <c r="AC448" s="130">
        <f t="shared" si="22"/>
        <v>50</v>
      </c>
      <c r="AD448" s="130">
        <f t="shared" si="23"/>
        <v>10</v>
      </c>
      <c r="AE448" s="130">
        <f t="shared" si="24"/>
        <v>20</v>
      </c>
      <c r="AF448" s="130">
        <f t="shared" si="25"/>
        <v>50</v>
      </c>
      <c r="AG448" s="130">
        <f t="shared" si="26"/>
        <v>10</v>
      </c>
      <c r="AH448" s="130">
        <f t="shared" si="27"/>
        <v>20</v>
      </c>
      <c r="AI448" s="130"/>
      <c r="AJ448" s="130"/>
      <c r="AK448" s="130"/>
      <c r="AL448" s="130"/>
      <c r="AM448" s="130"/>
      <c r="AN448" s="130"/>
      <c r="AO448" s="130"/>
      <c r="AP448" s="132"/>
    </row>
    <row r="449" spans="27:42" ht="12.75" hidden="1">
      <c r="AA449" s="130" t="s">
        <v>817</v>
      </c>
      <c r="AB449" s="130">
        <v>3</v>
      </c>
      <c r="AC449" s="130">
        <f t="shared" si="22"/>
        <v>70</v>
      </c>
      <c r="AD449" s="130">
        <f t="shared" si="23"/>
        <v>10</v>
      </c>
      <c r="AE449" s="130">
        <f t="shared" si="24"/>
        <v>20</v>
      </c>
      <c r="AF449" s="130">
        <f t="shared" si="25"/>
        <v>60</v>
      </c>
      <c r="AG449" s="130">
        <f t="shared" si="26"/>
        <v>10</v>
      </c>
      <c r="AH449" s="130">
        <f t="shared" si="27"/>
        <v>20</v>
      </c>
      <c r="AI449" s="130"/>
      <c r="AJ449" s="130"/>
      <c r="AK449" s="130"/>
      <c r="AL449" s="130"/>
      <c r="AM449" s="130"/>
      <c r="AN449" s="130"/>
      <c r="AO449" s="130"/>
      <c r="AP449" s="132"/>
    </row>
    <row r="450" spans="27:42" ht="12.75" hidden="1">
      <c r="AA450" s="130" t="s">
        <v>818</v>
      </c>
      <c r="AB450" s="130">
        <v>4</v>
      </c>
      <c r="AC450" s="130">
        <f t="shared" si="22"/>
        <v>50</v>
      </c>
      <c r="AD450" s="130">
        <f t="shared" si="23"/>
        <v>10</v>
      </c>
      <c r="AE450" s="130">
        <f t="shared" si="24"/>
        <v>20</v>
      </c>
      <c r="AF450" s="130">
        <f t="shared" si="25"/>
        <v>50</v>
      </c>
      <c r="AG450" s="130">
        <f t="shared" si="26"/>
        <v>10</v>
      </c>
      <c r="AH450" s="130">
        <f t="shared" si="27"/>
        <v>20</v>
      </c>
      <c r="AI450" s="130"/>
      <c r="AJ450" s="130"/>
      <c r="AK450" s="130"/>
      <c r="AL450" s="130"/>
      <c r="AM450" s="130"/>
      <c r="AN450" s="130"/>
      <c r="AO450" s="130"/>
      <c r="AP450" s="132"/>
    </row>
    <row r="451" spans="27:42" ht="12.75">
      <c r="AA451" s="130" t="s">
        <v>819</v>
      </c>
      <c r="AB451" s="130">
        <v>4</v>
      </c>
      <c r="AC451" s="130">
        <f t="shared" si="22"/>
        <v>50</v>
      </c>
      <c r="AD451" s="130">
        <f t="shared" si="23"/>
        <v>10</v>
      </c>
      <c r="AE451" s="130">
        <f t="shared" si="24"/>
        <v>20</v>
      </c>
      <c r="AF451" s="130">
        <f t="shared" si="25"/>
        <v>50</v>
      </c>
      <c r="AG451" s="130">
        <f t="shared" si="26"/>
        <v>10</v>
      </c>
      <c r="AH451" s="130">
        <f t="shared" si="27"/>
        <v>20</v>
      </c>
      <c r="AI451" s="130"/>
      <c r="AJ451" s="130"/>
      <c r="AK451" s="130"/>
      <c r="AL451" s="130"/>
      <c r="AM451" s="130"/>
      <c r="AN451" s="130"/>
      <c r="AO451" s="130"/>
      <c r="AP451" s="132"/>
    </row>
    <row r="452" spans="27:42" ht="12.75">
      <c r="AA452" s="130" t="s">
        <v>820</v>
      </c>
      <c r="AB452" s="130">
        <v>4</v>
      </c>
      <c r="AC452" s="130">
        <f t="shared" si="22"/>
        <v>50</v>
      </c>
      <c r="AD452" s="130">
        <f t="shared" si="23"/>
        <v>10</v>
      </c>
      <c r="AE452" s="130">
        <f t="shared" si="24"/>
        <v>20</v>
      </c>
      <c r="AF452" s="130">
        <f t="shared" si="25"/>
        <v>50</v>
      </c>
      <c r="AG452" s="130">
        <f t="shared" si="26"/>
        <v>10</v>
      </c>
      <c r="AH452" s="130">
        <f t="shared" si="27"/>
        <v>20</v>
      </c>
      <c r="AI452" s="130"/>
      <c r="AJ452" s="130"/>
      <c r="AK452" s="130"/>
      <c r="AL452" s="130"/>
      <c r="AM452" s="130"/>
      <c r="AN452" s="130"/>
      <c r="AO452" s="130"/>
      <c r="AP452" s="132"/>
    </row>
    <row r="453" spans="27:42" ht="12.75">
      <c r="AA453" s="130" t="s">
        <v>821</v>
      </c>
      <c r="AB453" s="130">
        <v>2</v>
      </c>
      <c r="AC453" s="130">
        <f t="shared" si="22"/>
        <v>90</v>
      </c>
      <c r="AD453" s="130">
        <f t="shared" si="23"/>
        <v>10</v>
      </c>
      <c r="AE453" s="130">
        <f t="shared" si="24"/>
        <v>20</v>
      </c>
      <c r="AF453" s="130">
        <f t="shared" si="25"/>
        <v>70</v>
      </c>
      <c r="AG453" s="130">
        <f t="shared" si="26"/>
        <v>10</v>
      </c>
      <c r="AH453" s="130">
        <f t="shared" si="27"/>
        <v>20</v>
      </c>
      <c r="AI453" s="130"/>
      <c r="AJ453" s="130"/>
      <c r="AK453" s="130"/>
      <c r="AL453" s="130"/>
      <c r="AM453" s="130"/>
      <c r="AN453" s="130"/>
      <c r="AO453" s="130"/>
      <c r="AP453" s="132"/>
    </row>
    <row r="454" spans="27:42" ht="12.75">
      <c r="AA454" s="130" t="s">
        <v>822</v>
      </c>
      <c r="AB454" s="130">
        <v>4</v>
      </c>
      <c r="AC454" s="130">
        <f t="shared" si="22"/>
        <v>50</v>
      </c>
      <c r="AD454" s="130">
        <f t="shared" si="23"/>
        <v>10</v>
      </c>
      <c r="AE454" s="130">
        <f t="shared" si="24"/>
        <v>20</v>
      </c>
      <c r="AF454" s="130">
        <f t="shared" si="25"/>
        <v>50</v>
      </c>
      <c r="AG454" s="130">
        <f t="shared" si="26"/>
        <v>10</v>
      </c>
      <c r="AH454" s="130">
        <f t="shared" si="27"/>
        <v>20</v>
      </c>
      <c r="AI454" s="130"/>
      <c r="AJ454" s="130"/>
      <c r="AK454" s="130"/>
      <c r="AL454" s="130"/>
      <c r="AM454" s="130"/>
      <c r="AN454" s="130"/>
      <c r="AO454" s="130"/>
      <c r="AP454" s="132"/>
    </row>
    <row r="455" spans="27:42" ht="12.75">
      <c r="AA455" s="130" t="s">
        <v>823</v>
      </c>
      <c r="AB455" s="130">
        <v>1</v>
      </c>
      <c r="AC455" s="130">
        <f t="shared" si="22"/>
        <v>115</v>
      </c>
      <c r="AD455" s="130">
        <f t="shared" si="23"/>
        <v>10</v>
      </c>
      <c r="AE455" s="130">
        <f t="shared" si="24"/>
        <v>20</v>
      </c>
      <c r="AF455" s="130">
        <f t="shared" si="25"/>
        <v>95</v>
      </c>
      <c r="AG455" s="130">
        <f t="shared" si="26"/>
        <v>10</v>
      </c>
      <c r="AH455" s="130">
        <f t="shared" si="27"/>
        <v>20</v>
      </c>
      <c r="AI455" s="130"/>
      <c r="AJ455" s="130"/>
      <c r="AK455" s="130"/>
      <c r="AL455" s="130"/>
      <c r="AM455" s="130"/>
      <c r="AN455" s="130"/>
      <c r="AO455" s="130"/>
      <c r="AP455" s="132"/>
    </row>
    <row r="456" spans="27:42" ht="12.75">
      <c r="AA456" s="130" t="s">
        <v>824</v>
      </c>
      <c r="AB456" s="130">
        <v>3</v>
      </c>
      <c r="AC456" s="130">
        <f t="shared" si="22"/>
        <v>70</v>
      </c>
      <c r="AD456" s="130">
        <f t="shared" si="23"/>
        <v>10</v>
      </c>
      <c r="AE456" s="130">
        <f t="shared" si="24"/>
        <v>20</v>
      </c>
      <c r="AF456" s="130">
        <f t="shared" si="25"/>
        <v>60</v>
      </c>
      <c r="AG456" s="130">
        <f t="shared" si="26"/>
        <v>10</v>
      </c>
      <c r="AH456" s="130">
        <f t="shared" si="27"/>
        <v>20</v>
      </c>
      <c r="AI456" s="130"/>
      <c r="AJ456" s="130"/>
      <c r="AK456" s="130"/>
      <c r="AL456" s="130"/>
      <c r="AM456" s="130"/>
      <c r="AN456" s="130"/>
      <c r="AO456" s="130"/>
      <c r="AP456" s="132"/>
    </row>
    <row r="457" spans="27:42" ht="12.75">
      <c r="AA457" s="130" t="s">
        <v>825</v>
      </c>
      <c r="AB457" s="130">
        <v>2</v>
      </c>
      <c r="AC457" s="130">
        <f t="shared" si="22"/>
        <v>90</v>
      </c>
      <c r="AD457" s="130">
        <f t="shared" si="23"/>
        <v>10</v>
      </c>
      <c r="AE457" s="130">
        <f t="shared" si="24"/>
        <v>20</v>
      </c>
      <c r="AF457" s="130">
        <f t="shared" si="25"/>
        <v>70</v>
      </c>
      <c r="AG457" s="130">
        <f t="shared" si="26"/>
        <v>10</v>
      </c>
      <c r="AH457" s="130">
        <f t="shared" si="27"/>
        <v>20</v>
      </c>
      <c r="AI457" s="130"/>
      <c r="AJ457" s="130"/>
      <c r="AK457" s="130"/>
      <c r="AL457" s="130"/>
      <c r="AM457" s="130"/>
      <c r="AN457" s="130"/>
      <c r="AO457" s="130"/>
      <c r="AP457" s="132"/>
    </row>
    <row r="458" spans="27:42" ht="12.75">
      <c r="AA458" s="130" t="s">
        <v>826</v>
      </c>
      <c r="AB458" s="130">
        <v>2</v>
      </c>
      <c r="AC458" s="130">
        <f t="shared" si="22"/>
        <v>90</v>
      </c>
      <c r="AD458" s="130">
        <f t="shared" si="23"/>
        <v>10</v>
      </c>
      <c r="AE458" s="130">
        <f t="shared" si="24"/>
        <v>20</v>
      </c>
      <c r="AF458" s="130">
        <f t="shared" si="25"/>
        <v>70</v>
      </c>
      <c r="AG458" s="130">
        <f t="shared" si="26"/>
        <v>10</v>
      </c>
      <c r="AH458" s="130">
        <f t="shared" si="27"/>
        <v>20</v>
      </c>
      <c r="AI458" s="130"/>
      <c r="AJ458" s="130"/>
      <c r="AK458" s="130"/>
      <c r="AL458" s="130"/>
      <c r="AM458" s="130"/>
      <c r="AN458" s="130"/>
      <c r="AO458" s="130"/>
      <c r="AP458" s="132"/>
    </row>
    <row r="459" spans="27:42" ht="12.75">
      <c r="AA459" s="130" t="s">
        <v>827</v>
      </c>
      <c r="AB459" s="130">
        <v>3</v>
      </c>
      <c r="AC459" s="130">
        <f t="shared" si="22"/>
        <v>70</v>
      </c>
      <c r="AD459" s="130">
        <f t="shared" si="23"/>
        <v>10</v>
      </c>
      <c r="AE459" s="130">
        <f t="shared" si="24"/>
        <v>20</v>
      </c>
      <c r="AF459" s="130">
        <f t="shared" si="25"/>
        <v>60</v>
      </c>
      <c r="AG459" s="130">
        <f t="shared" si="26"/>
        <v>10</v>
      </c>
      <c r="AH459" s="130">
        <f t="shared" si="27"/>
        <v>20</v>
      </c>
      <c r="AI459" s="130"/>
      <c r="AJ459" s="130"/>
      <c r="AK459" s="130"/>
      <c r="AL459" s="130"/>
      <c r="AM459" s="130"/>
      <c r="AN459" s="130"/>
      <c r="AO459" s="130"/>
      <c r="AP459" s="132"/>
    </row>
    <row r="460" spans="27:42" ht="12.75">
      <c r="AA460" s="130" t="s">
        <v>828</v>
      </c>
      <c r="AB460" s="130">
        <v>1</v>
      </c>
      <c r="AC460" s="130">
        <f t="shared" si="22"/>
        <v>115</v>
      </c>
      <c r="AD460" s="130">
        <f t="shared" si="23"/>
        <v>10</v>
      </c>
      <c r="AE460" s="130">
        <f t="shared" si="24"/>
        <v>20</v>
      </c>
      <c r="AF460" s="130">
        <f t="shared" si="25"/>
        <v>95</v>
      </c>
      <c r="AG460" s="130">
        <f t="shared" si="26"/>
        <v>10</v>
      </c>
      <c r="AH460" s="130">
        <f t="shared" si="27"/>
        <v>20</v>
      </c>
      <c r="AI460" s="130"/>
      <c r="AJ460" s="130"/>
      <c r="AK460" s="130"/>
      <c r="AL460" s="130"/>
      <c r="AM460" s="130"/>
      <c r="AN460" s="130"/>
      <c r="AO460" s="130"/>
      <c r="AP460" s="132"/>
    </row>
    <row r="461" spans="27:42" ht="12.75">
      <c r="AA461" s="130" t="s">
        <v>829</v>
      </c>
      <c r="AB461" s="130">
        <v>3</v>
      </c>
      <c r="AC461" s="130">
        <f t="shared" si="22"/>
        <v>70</v>
      </c>
      <c r="AD461" s="130">
        <f t="shared" si="23"/>
        <v>10</v>
      </c>
      <c r="AE461" s="130">
        <f t="shared" si="24"/>
        <v>20</v>
      </c>
      <c r="AF461" s="130">
        <f t="shared" si="25"/>
        <v>60</v>
      </c>
      <c r="AG461" s="130">
        <f t="shared" si="26"/>
        <v>10</v>
      </c>
      <c r="AH461" s="130">
        <f t="shared" si="27"/>
        <v>20</v>
      </c>
      <c r="AI461" s="130"/>
      <c r="AJ461" s="130"/>
      <c r="AK461" s="130"/>
      <c r="AL461" s="130"/>
      <c r="AM461" s="130"/>
      <c r="AN461" s="130"/>
      <c r="AO461" s="130"/>
      <c r="AP461" s="132"/>
    </row>
    <row r="462" spans="27:42" ht="12.75">
      <c r="AA462" s="130" t="s">
        <v>830</v>
      </c>
      <c r="AB462" s="130">
        <v>2</v>
      </c>
      <c r="AC462" s="130">
        <f t="shared" si="22"/>
        <v>90</v>
      </c>
      <c r="AD462" s="130">
        <f t="shared" si="23"/>
        <v>10</v>
      </c>
      <c r="AE462" s="130">
        <f t="shared" si="24"/>
        <v>20</v>
      </c>
      <c r="AF462" s="130">
        <f t="shared" si="25"/>
        <v>70</v>
      </c>
      <c r="AG462" s="130">
        <f t="shared" si="26"/>
        <v>10</v>
      </c>
      <c r="AH462" s="130">
        <f t="shared" si="27"/>
        <v>20</v>
      </c>
      <c r="AI462" s="130"/>
      <c r="AJ462" s="130"/>
      <c r="AK462" s="130"/>
      <c r="AL462" s="130"/>
      <c r="AM462" s="130"/>
      <c r="AN462" s="130"/>
      <c r="AO462" s="130"/>
      <c r="AP462" s="132"/>
    </row>
    <row r="463" spans="27:42" ht="12.75">
      <c r="AA463" s="130" t="s">
        <v>831</v>
      </c>
      <c r="AB463" s="130">
        <v>3</v>
      </c>
      <c r="AC463" s="130">
        <f t="shared" si="22"/>
        <v>70</v>
      </c>
      <c r="AD463" s="130">
        <f t="shared" si="23"/>
        <v>10</v>
      </c>
      <c r="AE463" s="130">
        <f t="shared" si="24"/>
        <v>20</v>
      </c>
      <c r="AF463" s="130">
        <f t="shared" si="25"/>
        <v>60</v>
      </c>
      <c r="AG463" s="130">
        <f t="shared" si="26"/>
        <v>10</v>
      </c>
      <c r="AH463" s="130">
        <f t="shared" si="27"/>
        <v>20</v>
      </c>
      <c r="AI463" s="130"/>
      <c r="AJ463" s="130"/>
      <c r="AK463" s="130"/>
      <c r="AL463" s="130"/>
      <c r="AM463" s="130"/>
      <c r="AN463" s="130"/>
      <c r="AO463" s="130"/>
      <c r="AP463" s="132"/>
    </row>
    <row r="464" spans="27:42" ht="12.75">
      <c r="AA464" s="130" t="s">
        <v>832</v>
      </c>
      <c r="AB464" s="130">
        <v>4</v>
      </c>
      <c r="AC464" s="130">
        <f t="shared" si="22"/>
        <v>50</v>
      </c>
      <c r="AD464" s="130">
        <f t="shared" si="23"/>
        <v>10</v>
      </c>
      <c r="AE464" s="130">
        <f t="shared" si="24"/>
        <v>20</v>
      </c>
      <c r="AF464" s="130">
        <f t="shared" si="25"/>
        <v>50</v>
      </c>
      <c r="AG464" s="130">
        <f t="shared" si="26"/>
        <v>10</v>
      </c>
      <c r="AH464" s="130">
        <f t="shared" si="27"/>
        <v>20</v>
      </c>
      <c r="AI464" s="130"/>
      <c r="AJ464" s="130"/>
      <c r="AK464" s="130"/>
      <c r="AL464" s="130"/>
      <c r="AM464" s="130"/>
      <c r="AN464" s="130"/>
      <c r="AO464" s="130"/>
      <c r="AP464" s="132"/>
    </row>
    <row r="465" spans="27:42" ht="12.75">
      <c r="AA465" s="130" t="s">
        <v>833</v>
      </c>
      <c r="AB465" s="130">
        <v>4</v>
      </c>
      <c r="AC465" s="130">
        <f t="shared" si="22"/>
        <v>50</v>
      </c>
      <c r="AD465" s="130">
        <f t="shared" si="23"/>
        <v>10</v>
      </c>
      <c r="AE465" s="130">
        <f t="shared" si="24"/>
        <v>20</v>
      </c>
      <c r="AF465" s="130">
        <f t="shared" si="25"/>
        <v>50</v>
      </c>
      <c r="AG465" s="130">
        <f t="shared" si="26"/>
        <v>10</v>
      </c>
      <c r="AH465" s="130">
        <f t="shared" si="27"/>
        <v>20</v>
      </c>
      <c r="AI465" s="130"/>
      <c r="AJ465" s="130"/>
      <c r="AK465" s="130"/>
      <c r="AL465" s="130"/>
      <c r="AM465" s="130"/>
      <c r="AN465" s="130"/>
      <c r="AO465" s="130"/>
      <c r="AP465" s="132"/>
    </row>
    <row r="466" spans="27:42" ht="12.75">
      <c r="AA466" s="130" t="s">
        <v>834</v>
      </c>
      <c r="AB466" s="130">
        <v>4</v>
      </c>
      <c r="AC466" s="130">
        <f t="shared" si="22"/>
        <v>50</v>
      </c>
      <c r="AD466" s="130">
        <f t="shared" si="23"/>
        <v>10</v>
      </c>
      <c r="AE466" s="130">
        <f t="shared" si="24"/>
        <v>20</v>
      </c>
      <c r="AF466" s="130">
        <f t="shared" si="25"/>
        <v>50</v>
      </c>
      <c r="AG466" s="130">
        <f t="shared" si="26"/>
        <v>10</v>
      </c>
      <c r="AH466" s="130">
        <f t="shared" si="27"/>
        <v>20</v>
      </c>
      <c r="AI466" s="130"/>
      <c r="AJ466" s="130"/>
      <c r="AK466" s="130"/>
      <c r="AL466" s="130"/>
      <c r="AM466" s="130"/>
      <c r="AN466" s="130"/>
      <c r="AO466" s="130"/>
      <c r="AP466" s="132"/>
    </row>
    <row r="467" spans="27:42" ht="12.75">
      <c r="AA467" s="130" t="s">
        <v>835</v>
      </c>
      <c r="AB467" s="130">
        <v>3</v>
      </c>
      <c r="AC467" s="130">
        <f t="shared" si="22"/>
        <v>70</v>
      </c>
      <c r="AD467" s="130">
        <f t="shared" si="23"/>
        <v>10</v>
      </c>
      <c r="AE467" s="130">
        <f t="shared" si="24"/>
        <v>20</v>
      </c>
      <c r="AF467" s="130">
        <f t="shared" si="25"/>
        <v>60</v>
      </c>
      <c r="AG467" s="130">
        <f t="shared" si="26"/>
        <v>10</v>
      </c>
      <c r="AH467" s="130">
        <f t="shared" si="27"/>
        <v>20</v>
      </c>
      <c r="AI467" s="130"/>
      <c r="AJ467" s="130"/>
      <c r="AK467" s="130"/>
      <c r="AL467" s="130"/>
      <c r="AM467" s="130"/>
      <c r="AN467" s="130"/>
      <c r="AO467" s="130"/>
      <c r="AP467" s="132"/>
    </row>
    <row r="468" spans="27:42" ht="12.75">
      <c r="AA468" s="130" t="s">
        <v>836</v>
      </c>
      <c r="AB468" s="130">
        <v>2</v>
      </c>
      <c r="AC468" s="130">
        <f t="shared" si="22"/>
        <v>90</v>
      </c>
      <c r="AD468" s="130">
        <f t="shared" si="23"/>
        <v>10</v>
      </c>
      <c r="AE468" s="130">
        <f t="shared" si="24"/>
        <v>20</v>
      </c>
      <c r="AF468" s="130">
        <f t="shared" si="25"/>
        <v>70</v>
      </c>
      <c r="AG468" s="130">
        <f t="shared" si="26"/>
        <v>10</v>
      </c>
      <c r="AH468" s="130">
        <f t="shared" si="27"/>
        <v>20</v>
      </c>
      <c r="AI468" s="130"/>
      <c r="AJ468" s="130"/>
      <c r="AK468" s="130"/>
      <c r="AL468" s="130"/>
      <c r="AM468" s="130"/>
      <c r="AN468" s="130"/>
      <c r="AO468" s="130"/>
      <c r="AP468" s="132"/>
    </row>
    <row r="469" spans="27:42" ht="12.75">
      <c r="AA469" s="130" t="s">
        <v>837</v>
      </c>
      <c r="AB469" s="130">
        <v>2</v>
      </c>
      <c r="AC469" s="130">
        <f t="shared" si="22"/>
        <v>90</v>
      </c>
      <c r="AD469" s="130">
        <f t="shared" si="23"/>
        <v>10</v>
      </c>
      <c r="AE469" s="130">
        <f t="shared" si="24"/>
        <v>20</v>
      </c>
      <c r="AF469" s="130">
        <f t="shared" si="25"/>
        <v>70</v>
      </c>
      <c r="AG469" s="130">
        <f t="shared" si="26"/>
        <v>10</v>
      </c>
      <c r="AH469" s="130">
        <f t="shared" si="27"/>
        <v>20</v>
      </c>
      <c r="AI469" s="130"/>
      <c r="AJ469" s="130"/>
      <c r="AK469" s="130"/>
      <c r="AL469" s="130"/>
      <c r="AM469" s="130"/>
      <c r="AN469" s="130"/>
      <c r="AO469" s="130"/>
      <c r="AP469" s="132"/>
    </row>
    <row r="470" spans="27:42" ht="12.75">
      <c r="AA470" s="130" t="s">
        <v>838</v>
      </c>
      <c r="AB470" s="130">
        <v>1</v>
      </c>
      <c r="AC470" s="130">
        <f t="shared" si="22"/>
        <v>115</v>
      </c>
      <c r="AD470" s="130">
        <f t="shared" si="23"/>
        <v>10</v>
      </c>
      <c r="AE470" s="130">
        <f t="shared" si="24"/>
        <v>20</v>
      </c>
      <c r="AF470" s="130">
        <f t="shared" si="25"/>
        <v>95</v>
      </c>
      <c r="AG470" s="130">
        <f t="shared" si="26"/>
        <v>10</v>
      </c>
      <c r="AH470" s="130">
        <f t="shared" si="27"/>
        <v>20</v>
      </c>
      <c r="AI470" s="130"/>
      <c r="AJ470" s="130"/>
      <c r="AK470" s="130"/>
      <c r="AL470" s="130"/>
      <c r="AM470" s="130"/>
      <c r="AN470" s="130"/>
      <c r="AO470" s="130"/>
      <c r="AP470" s="132"/>
    </row>
    <row r="471" spans="27:42" ht="12.75">
      <c r="AA471" s="130" t="s">
        <v>839</v>
      </c>
      <c r="AB471" s="130">
        <v>1</v>
      </c>
      <c r="AC471" s="130">
        <f t="shared" si="22"/>
        <v>115</v>
      </c>
      <c r="AD471" s="130">
        <f t="shared" si="23"/>
        <v>10</v>
      </c>
      <c r="AE471" s="130">
        <f t="shared" si="24"/>
        <v>20</v>
      </c>
      <c r="AF471" s="130">
        <f t="shared" si="25"/>
        <v>95</v>
      </c>
      <c r="AG471" s="130">
        <f t="shared" si="26"/>
        <v>10</v>
      </c>
      <c r="AH471" s="130">
        <f t="shared" si="27"/>
        <v>20</v>
      </c>
      <c r="AI471" s="130"/>
      <c r="AJ471" s="130"/>
      <c r="AK471" s="130"/>
      <c r="AL471" s="130"/>
      <c r="AM471" s="130"/>
      <c r="AN471" s="130"/>
      <c r="AO471" s="130"/>
      <c r="AP471" s="132"/>
    </row>
    <row r="472" spans="27:42" ht="12.75">
      <c r="AA472" s="130" t="s">
        <v>840</v>
      </c>
      <c r="AB472" s="130">
        <v>3</v>
      </c>
      <c r="AC472" s="130">
        <f t="shared" si="22"/>
        <v>70</v>
      </c>
      <c r="AD472" s="130">
        <f t="shared" si="23"/>
        <v>10</v>
      </c>
      <c r="AE472" s="130">
        <f t="shared" si="24"/>
        <v>20</v>
      </c>
      <c r="AF472" s="130">
        <f t="shared" si="25"/>
        <v>60</v>
      </c>
      <c r="AG472" s="130">
        <f t="shared" si="26"/>
        <v>10</v>
      </c>
      <c r="AH472" s="130">
        <f t="shared" si="27"/>
        <v>20</v>
      </c>
      <c r="AI472" s="130"/>
      <c r="AJ472" s="130"/>
      <c r="AK472" s="130"/>
      <c r="AL472" s="130"/>
      <c r="AM472" s="130"/>
      <c r="AN472" s="130"/>
      <c r="AO472" s="130"/>
      <c r="AP472" s="132"/>
    </row>
    <row r="473" spans="27:42" ht="12.75">
      <c r="AA473" s="130" t="s">
        <v>841</v>
      </c>
      <c r="AB473" s="130">
        <v>2</v>
      </c>
      <c r="AC473" s="130">
        <f t="shared" si="22"/>
        <v>90</v>
      </c>
      <c r="AD473" s="130">
        <f t="shared" si="23"/>
        <v>10</v>
      </c>
      <c r="AE473" s="130">
        <f t="shared" si="24"/>
        <v>20</v>
      </c>
      <c r="AF473" s="130">
        <f t="shared" si="25"/>
        <v>70</v>
      </c>
      <c r="AG473" s="130">
        <f t="shared" si="26"/>
        <v>10</v>
      </c>
      <c r="AH473" s="130">
        <f t="shared" si="27"/>
        <v>20</v>
      </c>
      <c r="AI473" s="130"/>
      <c r="AJ473" s="130"/>
      <c r="AK473" s="130"/>
      <c r="AL473" s="130"/>
      <c r="AM473" s="130"/>
      <c r="AN473" s="130"/>
      <c r="AO473" s="130"/>
      <c r="AP473" s="132"/>
    </row>
    <row r="474" spans="27:42" ht="12.75">
      <c r="AA474" s="130" t="s">
        <v>842</v>
      </c>
      <c r="AB474" s="130">
        <v>4</v>
      </c>
      <c r="AC474" s="130">
        <f t="shared" si="22"/>
        <v>50</v>
      </c>
      <c r="AD474" s="130">
        <f t="shared" si="23"/>
        <v>10</v>
      </c>
      <c r="AE474" s="130">
        <f t="shared" si="24"/>
        <v>20</v>
      </c>
      <c r="AF474" s="130">
        <f t="shared" si="25"/>
        <v>50</v>
      </c>
      <c r="AG474" s="130">
        <f t="shared" si="26"/>
        <v>10</v>
      </c>
      <c r="AH474" s="130">
        <f t="shared" si="27"/>
        <v>20</v>
      </c>
      <c r="AI474" s="130"/>
      <c r="AJ474" s="130"/>
      <c r="AK474" s="130"/>
      <c r="AL474" s="130"/>
      <c r="AM474" s="130"/>
      <c r="AN474" s="130"/>
      <c r="AO474" s="130"/>
      <c r="AP474" s="132"/>
    </row>
    <row r="475" spans="27:42" ht="12.75">
      <c r="AA475" s="130" t="s">
        <v>843</v>
      </c>
      <c r="AB475" s="130">
        <v>4</v>
      </c>
      <c r="AC475" s="130">
        <f t="shared" si="22"/>
        <v>50</v>
      </c>
      <c r="AD475" s="130">
        <f t="shared" si="23"/>
        <v>10</v>
      </c>
      <c r="AE475" s="130">
        <f t="shared" si="24"/>
        <v>20</v>
      </c>
      <c r="AF475" s="130">
        <f t="shared" si="25"/>
        <v>50</v>
      </c>
      <c r="AG475" s="130">
        <f t="shared" si="26"/>
        <v>10</v>
      </c>
      <c r="AH475" s="130">
        <f t="shared" si="27"/>
        <v>20</v>
      </c>
      <c r="AI475" s="130"/>
      <c r="AJ475" s="130"/>
      <c r="AK475" s="130"/>
      <c r="AL475" s="130"/>
      <c r="AM475" s="130"/>
      <c r="AN475" s="130"/>
      <c r="AO475" s="130"/>
      <c r="AP475" s="132"/>
    </row>
    <row r="476" spans="27:42" ht="12.75">
      <c r="AA476" s="130" t="s">
        <v>844</v>
      </c>
      <c r="AB476" s="130">
        <v>2</v>
      </c>
      <c r="AC476" s="130">
        <f t="shared" si="22"/>
        <v>90</v>
      </c>
      <c r="AD476" s="130">
        <f t="shared" si="23"/>
        <v>10</v>
      </c>
      <c r="AE476" s="130">
        <f t="shared" si="24"/>
        <v>20</v>
      </c>
      <c r="AF476" s="130">
        <f t="shared" si="25"/>
        <v>70</v>
      </c>
      <c r="AG476" s="130">
        <f t="shared" si="26"/>
        <v>10</v>
      </c>
      <c r="AH476" s="130">
        <f t="shared" si="27"/>
        <v>20</v>
      </c>
      <c r="AI476" s="130"/>
      <c r="AJ476" s="130"/>
      <c r="AK476" s="130"/>
      <c r="AL476" s="130"/>
      <c r="AM476" s="130"/>
      <c r="AN476" s="130"/>
      <c r="AO476" s="130"/>
      <c r="AP476" s="132"/>
    </row>
    <row r="477" spans="27:42" ht="12.75">
      <c r="AA477" s="130" t="s">
        <v>845</v>
      </c>
      <c r="AB477" s="130">
        <v>2</v>
      </c>
      <c r="AC477" s="130">
        <f t="shared" si="22"/>
        <v>90</v>
      </c>
      <c r="AD477" s="130">
        <f t="shared" si="23"/>
        <v>10</v>
      </c>
      <c r="AE477" s="130">
        <f t="shared" si="24"/>
        <v>20</v>
      </c>
      <c r="AF477" s="130">
        <f t="shared" si="25"/>
        <v>70</v>
      </c>
      <c r="AG477" s="130">
        <f t="shared" si="26"/>
        <v>10</v>
      </c>
      <c r="AH477" s="130">
        <f t="shared" si="27"/>
        <v>20</v>
      </c>
      <c r="AI477" s="130"/>
      <c r="AJ477" s="130"/>
      <c r="AK477" s="130"/>
      <c r="AL477" s="130"/>
      <c r="AM477" s="130"/>
      <c r="AN477" s="130"/>
      <c r="AO477" s="130"/>
      <c r="AP477" s="132"/>
    </row>
    <row r="478" spans="27:42" ht="12.75">
      <c r="AA478" s="130" t="s">
        <v>846</v>
      </c>
      <c r="AB478" s="130">
        <v>4</v>
      </c>
      <c r="AC478" s="130">
        <f t="shared" si="22"/>
        <v>50</v>
      </c>
      <c r="AD478" s="130">
        <f t="shared" si="23"/>
        <v>10</v>
      </c>
      <c r="AE478" s="130">
        <f t="shared" si="24"/>
        <v>20</v>
      </c>
      <c r="AF478" s="130">
        <f t="shared" si="25"/>
        <v>50</v>
      </c>
      <c r="AG478" s="130">
        <f t="shared" si="26"/>
        <v>10</v>
      </c>
      <c r="AH478" s="130">
        <f t="shared" si="27"/>
        <v>20</v>
      </c>
      <c r="AI478" s="130"/>
      <c r="AJ478" s="130"/>
      <c r="AK478" s="130"/>
      <c r="AL478" s="130"/>
      <c r="AM478" s="130"/>
      <c r="AN478" s="130"/>
      <c r="AO478" s="130"/>
      <c r="AP478" s="132"/>
    </row>
    <row r="479" spans="27:42" ht="12.75">
      <c r="AA479" s="130" t="s">
        <v>847</v>
      </c>
      <c r="AB479" s="130">
        <v>3</v>
      </c>
      <c r="AC479" s="130">
        <f t="shared" si="22"/>
        <v>70</v>
      </c>
      <c r="AD479" s="130">
        <f t="shared" si="23"/>
        <v>10</v>
      </c>
      <c r="AE479" s="130">
        <f t="shared" si="24"/>
        <v>20</v>
      </c>
      <c r="AF479" s="130">
        <f t="shared" si="25"/>
        <v>60</v>
      </c>
      <c r="AG479" s="130">
        <f t="shared" si="26"/>
        <v>10</v>
      </c>
      <c r="AH479" s="130">
        <f t="shared" si="27"/>
        <v>20</v>
      </c>
      <c r="AI479" s="130"/>
      <c r="AJ479" s="130"/>
      <c r="AK479" s="130"/>
      <c r="AL479" s="130"/>
      <c r="AM479" s="130"/>
      <c r="AN479" s="130"/>
      <c r="AO479" s="130"/>
      <c r="AP479" s="132"/>
    </row>
    <row r="480" spans="27:42" ht="12.75">
      <c r="AA480" s="130" t="s">
        <v>848</v>
      </c>
      <c r="AB480" s="130">
        <v>4</v>
      </c>
      <c r="AC480" s="130">
        <f t="shared" si="22"/>
        <v>50</v>
      </c>
      <c r="AD480" s="130">
        <f t="shared" si="23"/>
        <v>10</v>
      </c>
      <c r="AE480" s="130">
        <f t="shared" si="24"/>
        <v>20</v>
      </c>
      <c r="AF480" s="130">
        <f t="shared" si="25"/>
        <v>50</v>
      </c>
      <c r="AG480" s="130">
        <f t="shared" si="26"/>
        <v>10</v>
      </c>
      <c r="AH480" s="130">
        <f t="shared" si="27"/>
        <v>20</v>
      </c>
      <c r="AI480" s="130"/>
      <c r="AJ480" s="130"/>
      <c r="AK480" s="130"/>
      <c r="AL480" s="130"/>
      <c r="AM480" s="130"/>
      <c r="AN480" s="130"/>
      <c r="AO480" s="130"/>
      <c r="AP480" s="132"/>
    </row>
    <row r="481" spans="27:42" ht="12.75">
      <c r="AA481" s="130" t="s">
        <v>849</v>
      </c>
      <c r="AB481" s="130">
        <v>4</v>
      </c>
      <c r="AC481" s="130">
        <f t="shared" si="22"/>
        <v>50</v>
      </c>
      <c r="AD481" s="130">
        <f t="shared" si="23"/>
        <v>10</v>
      </c>
      <c r="AE481" s="130">
        <f t="shared" si="24"/>
        <v>20</v>
      </c>
      <c r="AF481" s="130">
        <f t="shared" si="25"/>
        <v>50</v>
      </c>
      <c r="AG481" s="130">
        <f t="shared" si="26"/>
        <v>10</v>
      </c>
      <c r="AH481" s="130">
        <f t="shared" si="27"/>
        <v>20</v>
      </c>
      <c r="AI481" s="130"/>
      <c r="AJ481" s="130"/>
      <c r="AK481" s="130"/>
      <c r="AL481" s="130"/>
      <c r="AM481" s="130"/>
      <c r="AN481" s="130"/>
      <c r="AO481" s="130"/>
      <c r="AP481" s="132"/>
    </row>
    <row r="482" spans="27:42" ht="12.75">
      <c r="AA482" s="130" t="s">
        <v>850</v>
      </c>
      <c r="AB482" s="130">
        <v>3</v>
      </c>
      <c r="AC482" s="130">
        <f t="shared" si="22"/>
        <v>70</v>
      </c>
      <c r="AD482" s="130">
        <f t="shared" si="23"/>
        <v>10</v>
      </c>
      <c r="AE482" s="130">
        <f t="shared" si="24"/>
        <v>20</v>
      </c>
      <c r="AF482" s="130">
        <f t="shared" si="25"/>
        <v>60</v>
      </c>
      <c r="AG482" s="130">
        <f t="shared" si="26"/>
        <v>10</v>
      </c>
      <c r="AH482" s="130">
        <f t="shared" si="27"/>
        <v>20</v>
      </c>
      <c r="AI482" s="130"/>
      <c r="AJ482" s="130"/>
      <c r="AK482" s="130"/>
      <c r="AL482" s="130"/>
      <c r="AM482" s="130"/>
      <c r="AN482" s="130"/>
      <c r="AO482" s="130"/>
      <c r="AP482" s="132"/>
    </row>
    <row r="483" spans="27:42" ht="12.75">
      <c r="AA483" s="130" t="s">
        <v>851</v>
      </c>
      <c r="AB483" s="130">
        <v>1</v>
      </c>
      <c r="AC483" s="130">
        <f t="shared" si="22"/>
        <v>115</v>
      </c>
      <c r="AD483" s="130">
        <f t="shared" si="23"/>
        <v>10</v>
      </c>
      <c r="AE483" s="130">
        <f t="shared" si="24"/>
        <v>20</v>
      </c>
      <c r="AF483" s="130">
        <f t="shared" si="25"/>
        <v>95</v>
      </c>
      <c r="AG483" s="130">
        <f t="shared" si="26"/>
        <v>10</v>
      </c>
      <c r="AH483" s="130">
        <f t="shared" si="27"/>
        <v>20</v>
      </c>
      <c r="AI483" s="130"/>
      <c r="AJ483" s="130"/>
      <c r="AK483" s="130"/>
      <c r="AL483" s="130"/>
      <c r="AM483" s="130"/>
      <c r="AN483" s="130"/>
      <c r="AO483" s="130"/>
      <c r="AP483" s="132"/>
    </row>
    <row r="484" spans="27:42" ht="12.75">
      <c r="AA484" s="130" t="s">
        <v>852</v>
      </c>
      <c r="AB484" s="130">
        <v>2</v>
      </c>
      <c r="AC484" s="130">
        <f t="shared" si="22"/>
        <v>90</v>
      </c>
      <c r="AD484" s="130">
        <f t="shared" si="23"/>
        <v>10</v>
      </c>
      <c r="AE484" s="130">
        <f t="shared" si="24"/>
        <v>20</v>
      </c>
      <c r="AF484" s="130">
        <f t="shared" si="25"/>
        <v>70</v>
      </c>
      <c r="AG484" s="130">
        <f t="shared" si="26"/>
        <v>10</v>
      </c>
      <c r="AH484" s="130">
        <f t="shared" si="27"/>
        <v>20</v>
      </c>
      <c r="AI484" s="130"/>
      <c r="AJ484" s="130"/>
      <c r="AK484" s="130"/>
      <c r="AL484" s="130"/>
      <c r="AM484" s="130"/>
      <c r="AN484" s="130"/>
      <c r="AO484" s="130"/>
      <c r="AP484" s="132"/>
    </row>
    <row r="485" spans="27:42" ht="12.75">
      <c r="AA485" s="130" t="s">
        <v>853</v>
      </c>
      <c r="AB485" s="130">
        <v>2</v>
      </c>
      <c r="AC485" s="130">
        <f t="shared" si="22"/>
        <v>90</v>
      </c>
      <c r="AD485" s="130">
        <f t="shared" si="23"/>
        <v>10</v>
      </c>
      <c r="AE485" s="130">
        <f t="shared" si="24"/>
        <v>20</v>
      </c>
      <c r="AF485" s="130">
        <f t="shared" si="25"/>
        <v>70</v>
      </c>
      <c r="AG485" s="130">
        <f t="shared" si="26"/>
        <v>10</v>
      </c>
      <c r="AH485" s="130">
        <f t="shared" si="27"/>
        <v>20</v>
      </c>
      <c r="AI485" s="130"/>
      <c r="AJ485" s="130"/>
      <c r="AK485" s="130"/>
      <c r="AL485" s="130"/>
      <c r="AM485" s="130"/>
      <c r="AN485" s="130"/>
      <c r="AO485" s="130"/>
      <c r="AP485" s="132"/>
    </row>
    <row r="486" spans="27:42" ht="12.75">
      <c r="AA486" s="130" t="s">
        <v>899</v>
      </c>
      <c r="AB486" s="130">
        <v>4</v>
      </c>
      <c r="AC486" s="130">
        <f t="shared" si="22"/>
        <v>50</v>
      </c>
      <c r="AD486" s="130">
        <f t="shared" si="23"/>
        <v>10</v>
      </c>
      <c r="AE486" s="130">
        <f t="shared" si="24"/>
        <v>20</v>
      </c>
      <c r="AF486" s="130">
        <f t="shared" si="25"/>
        <v>50</v>
      </c>
      <c r="AG486" s="130">
        <f t="shared" si="26"/>
        <v>10</v>
      </c>
      <c r="AH486" s="130">
        <f t="shared" si="27"/>
        <v>20</v>
      </c>
      <c r="AI486" s="130"/>
      <c r="AJ486" s="130"/>
      <c r="AK486" s="130"/>
      <c r="AL486" s="130"/>
      <c r="AM486" s="130"/>
      <c r="AN486" s="130"/>
      <c r="AO486" s="130"/>
      <c r="AP486" s="132"/>
    </row>
    <row r="487" spans="27:42" ht="12.75">
      <c r="AA487" s="130" t="s">
        <v>900</v>
      </c>
      <c r="AB487" s="130">
        <v>4</v>
      </c>
      <c r="AC487" s="130">
        <f t="shared" si="22"/>
        <v>50</v>
      </c>
      <c r="AD487" s="130">
        <f t="shared" si="23"/>
        <v>10</v>
      </c>
      <c r="AE487" s="130">
        <f t="shared" si="24"/>
        <v>20</v>
      </c>
      <c r="AF487" s="130">
        <f t="shared" si="25"/>
        <v>50</v>
      </c>
      <c r="AG487" s="130">
        <f t="shared" si="26"/>
        <v>10</v>
      </c>
      <c r="AH487" s="130">
        <f t="shared" si="27"/>
        <v>20</v>
      </c>
      <c r="AI487" s="130"/>
      <c r="AJ487" s="130"/>
      <c r="AK487" s="130"/>
      <c r="AL487" s="130"/>
      <c r="AM487" s="130"/>
      <c r="AN487" s="130"/>
      <c r="AO487" s="130"/>
      <c r="AP487" s="132"/>
    </row>
    <row r="488" spans="27:42" ht="12.75">
      <c r="AA488" s="130" t="s">
        <v>901</v>
      </c>
      <c r="AB488" s="130">
        <v>2</v>
      </c>
      <c r="AC488" s="130">
        <f t="shared" si="22"/>
        <v>90</v>
      </c>
      <c r="AD488" s="130">
        <f t="shared" si="23"/>
        <v>10</v>
      </c>
      <c r="AE488" s="130">
        <f t="shared" si="24"/>
        <v>20</v>
      </c>
      <c r="AF488" s="130">
        <f t="shared" si="25"/>
        <v>70</v>
      </c>
      <c r="AG488" s="130">
        <f t="shared" si="26"/>
        <v>10</v>
      </c>
      <c r="AH488" s="130">
        <f t="shared" si="27"/>
        <v>20</v>
      </c>
      <c r="AI488" s="130"/>
      <c r="AJ488" s="130"/>
      <c r="AK488" s="130"/>
      <c r="AL488" s="130"/>
      <c r="AM488" s="130"/>
      <c r="AN488" s="130"/>
      <c r="AO488" s="130"/>
      <c r="AP488" s="132"/>
    </row>
    <row r="489" spans="27:42" ht="12.75">
      <c r="AA489" s="130" t="s">
        <v>903</v>
      </c>
      <c r="AB489" s="130">
        <v>3</v>
      </c>
      <c r="AC489" s="130">
        <f t="shared" si="22"/>
        <v>70</v>
      </c>
      <c r="AD489" s="130">
        <f t="shared" si="23"/>
        <v>10</v>
      </c>
      <c r="AE489" s="130">
        <f t="shared" si="24"/>
        <v>20</v>
      </c>
      <c r="AF489" s="130">
        <f t="shared" si="25"/>
        <v>60</v>
      </c>
      <c r="AG489" s="130">
        <f t="shared" si="26"/>
        <v>10</v>
      </c>
      <c r="AH489" s="130">
        <f t="shared" si="27"/>
        <v>20</v>
      </c>
      <c r="AI489" s="130"/>
      <c r="AJ489" s="130"/>
      <c r="AK489" s="130"/>
      <c r="AL489" s="130"/>
      <c r="AM489" s="130"/>
      <c r="AN489" s="130"/>
      <c r="AO489" s="130"/>
      <c r="AP489" s="132"/>
    </row>
    <row r="490" spans="27:42" ht="12.75">
      <c r="AA490" s="130" t="s">
        <v>904</v>
      </c>
      <c r="AB490" s="130">
        <v>2</v>
      </c>
      <c r="AC490" s="130">
        <f aca="true" t="shared" si="28" ref="AC490:AC531">VLOOKUP(AB490,$AA$357:$AD$360,2)</f>
        <v>90</v>
      </c>
      <c r="AD490" s="130">
        <f aca="true" t="shared" si="29" ref="AD490:AD531">VLOOKUP(AC490,$AA$357:$AD$360,3)</f>
        <v>10</v>
      </c>
      <c r="AE490" s="130">
        <f aca="true" t="shared" si="30" ref="AE490:AE531">VLOOKUP(AD490,$AA$357:$AD$360,4)</f>
        <v>20</v>
      </c>
      <c r="AF490" s="130">
        <f aca="true" t="shared" si="31" ref="AF490:AF531">VLOOKUP($AB490,$AF$357:$AI$360,2)</f>
        <v>70</v>
      </c>
      <c r="AG490" s="130">
        <f aca="true" t="shared" si="32" ref="AG490:AG531">VLOOKUP($AB490,$AF$357:$AI$360,3)</f>
        <v>10</v>
      </c>
      <c r="AH490" s="130">
        <f aca="true" t="shared" si="33" ref="AH490:AH531">VLOOKUP($AB490,$AF$357:$AI$360,4)</f>
        <v>20</v>
      </c>
      <c r="AI490" s="130"/>
      <c r="AJ490" s="130"/>
      <c r="AK490" s="130"/>
      <c r="AL490" s="130"/>
      <c r="AM490" s="130"/>
      <c r="AN490" s="130"/>
      <c r="AO490" s="130"/>
      <c r="AP490" s="132"/>
    </row>
    <row r="491" spans="27:42" ht="12.75">
      <c r="AA491" s="130" t="s">
        <v>905</v>
      </c>
      <c r="AB491" s="130">
        <v>4</v>
      </c>
      <c r="AC491" s="130">
        <f t="shared" si="28"/>
        <v>50</v>
      </c>
      <c r="AD491" s="130">
        <f t="shared" si="29"/>
        <v>10</v>
      </c>
      <c r="AE491" s="130">
        <f t="shared" si="30"/>
        <v>20</v>
      </c>
      <c r="AF491" s="130">
        <f t="shared" si="31"/>
        <v>50</v>
      </c>
      <c r="AG491" s="130">
        <f t="shared" si="32"/>
        <v>10</v>
      </c>
      <c r="AH491" s="130">
        <f t="shared" si="33"/>
        <v>20</v>
      </c>
      <c r="AI491" s="130"/>
      <c r="AJ491" s="130"/>
      <c r="AK491" s="130"/>
      <c r="AL491" s="130"/>
      <c r="AM491" s="130"/>
      <c r="AN491" s="130"/>
      <c r="AO491" s="130"/>
      <c r="AP491" s="132"/>
    </row>
    <row r="492" spans="27:42" ht="12.75">
      <c r="AA492" s="130" t="s">
        <v>906</v>
      </c>
      <c r="AB492" s="130">
        <v>1</v>
      </c>
      <c r="AC492" s="130">
        <f t="shared" si="28"/>
        <v>115</v>
      </c>
      <c r="AD492" s="130">
        <f t="shared" si="29"/>
        <v>10</v>
      </c>
      <c r="AE492" s="130">
        <f t="shared" si="30"/>
        <v>20</v>
      </c>
      <c r="AF492" s="130">
        <f t="shared" si="31"/>
        <v>95</v>
      </c>
      <c r="AG492" s="130">
        <f t="shared" si="32"/>
        <v>10</v>
      </c>
      <c r="AH492" s="130">
        <f t="shared" si="33"/>
        <v>20</v>
      </c>
      <c r="AI492" s="130"/>
      <c r="AJ492" s="130"/>
      <c r="AK492" s="130"/>
      <c r="AL492" s="130"/>
      <c r="AM492" s="130"/>
      <c r="AN492" s="130"/>
      <c r="AO492" s="130"/>
      <c r="AP492" s="132"/>
    </row>
    <row r="493" spans="27:42" ht="12.75">
      <c r="AA493" s="130" t="s">
        <v>907</v>
      </c>
      <c r="AB493" s="130">
        <v>4</v>
      </c>
      <c r="AC493" s="130">
        <f t="shared" si="28"/>
        <v>50</v>
      </c>
      <c r="AD493" s="130">
        <f t="shared" si="29"/>
        <v>10</v>
      </c>
      <c r="AE493" s="130">
        <f t="shared" si="30"/>
        <v>20</v>
      </c>
      <c r="AF493" s="130">
        <f t="shared" si="31"/>
        <v>50</v>
      </c>
      <c r="AG493" s="130">
        <f t="shared" si="32"/>
        <v>10</v>
      </c>
      <c r="AH493" s="130">
        <f t="shared" si="33"/>
        <v>20</v>
      </c>
      <c r="AI493" s="130"/>
      <c r="AJ493" s="130"/>
      <c r="AK493" s="130"/>
      <c r="AL493" s="130"/>
      <c r="AM493" s="130"/>
      <c r="AN493" s="130"/>
      <c r="AO493" s="130"/>
      <c r="AP493" s="132"/>
    </row>
    <row r="494" spans="27:42" ht="12.75">
      <c r="AA494" s="130" t="s">
        <v>908</v>
      </c>
      <c r="AB494" s="130">
        <v>2</v>
      </c>
      <c r="AC494" s="130">
        <f t="shared" si="28"/>
        <v>90</v>
      </c>
      <c r="AD494" s="130">
        <f t="shared" si="29"/>
        <v>10</v>
      </c>
      <c r="AE494" s="130">
        <f t="shared" si="30"/>
        <v>20</v>
      </c>
      <c r="AF494" s="130">
        <f t="shared" si="31"/>
        <v>70</v>
      </c>
      <c r="AG494" s="130">
        <f t="shared" si="32"/>
        <v>10</v>
      </c>
      <c r="AH494" s="130">
        <f t="shared" si="33"/>
        <v>20</v>
      </c>
      <c r="AI494" s="130"/>
      <c r="AJ494" s="130"/>
      <c r="AK494" s="130"/>
      <c r="AL494" s="130"/>
      <c r="AM494" s="130"/>
      <c r="AN494" s="130"/>
      <c r="AO494" s="130"/>
      <c r="AP494" s="132"/>
    </row>
    <row r="495" spans="27:42" ht="12.75">
      <c r="AA495" s="130" t="s">
        <v>912</v>
      </c>
      <c r="AB495" s="130">
        <v>4</v>
      </c>
      <c r="AC495" s="130">
        <f t="shared" si="28"/>
        <v>50</v>
      </c>
      <c r="AD495" s="130">
        <f t="shared" si="29"/>
        <v>10</v>
      </c>
      <c r="AE495" s="130">
        <f t="shared" si="30"/>
        <v>20</v>
      </c>
      <c r="AF495" s="130">
        <f t="shared" si="31"/>
        <v>50</v>
      </c>
      <c r="AG495" s="130">
        <f t="shared" si="32"/>
        <v>10</v>
      </c>
      <c r="AH495" s="130">
        <f t="shared" si="33"/>
        <v>20</v>
      </c>
      <c r="AI495" s="130"/>
      <c r="AJ495" s="130"/>
      <c r="AK495" s="130"/>
      <c r="AL495" s="130"/>
      <c r="AM495" s="130"/>
      <c r="AN495" s="130"/>
      <c r="AO495" s="130"/>
      <c r="AP495" s="132"/>
    </row>
    <row r="496" spans="27:42" ht="12.75">
      <c r="AA496" s="130" t="s">
        <v>913</v>
      </c>
      <c r="AB496" s="130">
        <v>3</v>
      </c>
      <c r="AC496" s="130">
        <f t="shared" si="28"/>
        <v>70</v>
      </c>
      <c r="AD496" s="130">
        <f t="shared" si="29"/>
        <v>10</v>
      </c>
      <c r="AE496" s="130">
        <f t="shared" si="30"/>
        <v>20</v>
      </c>
      <c r="AF496" s="130">
        <f t="shared" si="31"/>
        <v>60</v>
      </c>
      <c r="AG496" s="130">
        <f t="shared" si="32"/>
        <v>10</v>
      </c>
      <c r="AH496" s="130">
        <f t="shared" si="33"/>
        <v>20</v>
      </c>
      <c r="AI496" s="130"/>
      <c r="AJ496" s="130"/>
      <c r="AK496" s="130"/>
      <c r="AL496" s="130"/>
      <c r="AM496" s="130"/>
      <c r="AN496" s="130"/>
      <c r="AO496" s="130"/>
      <c r="AP496" s="132"/>
    </row>
    <row r="497" spans="27:42" ht="12.75">
      <c r="AA497" s="130" t="s">
        <v>914</v>
      </c>
      <c r="AB497" s="130">
        <v>2</v>
      </c>
      <c r="AC497" s="130">
        <f t="shared" si="28"/>
        <v>90</v>
      </c>
      <c r="AD497" s="130">
        <f t="shared" si="29"/>
        <v>10</v>
      </c>
      <c r="AE497" s="130">
        <f t="shared" si="30"/>
        <v>20</v>
      </c>
      <c r="AF497" s="130">
        <f t="shared" si="31"/>
        <v>70</v>
      </c>
      <c r="AG497" s="130">
        <f t="shared" si="32"/>
        <v>10</v>
      </c>
      <c r="AH497" s="130">
        <f t="shared" si="33"/>
        <v>20</v>
      </c>
      <c r="AI497" s="130"/>
      <c r="AJ497" s="130"/>
      <c r="AK497" s="130"/>
      <c r="AL497" s="130"/>
      <c r="AM497" s="130"/>
      <c r="AN497" s="130"/>
      <c r="AO497" s="130"/>
      <c r="AP497" s="132"/>
    </row>
    <row r="498" spans="27:42" ht="12.75">
      <c r="AA498" s="130" t="s">
        <v>915</v>
      </c>
      <c r="AB498" s="130">
        <v>3</v>
      </c>
      <c r="AC498" s="130">
        <f t="shared" si="28"/>
        <v>70</v>
      </c>
      <c r="AD498" s="130">
        <f t="shared" si="29"/>
        <v>10</v>
      </c>
      <c r="AE498" s="130">
        <f t="shared" si="30"/>
        <v>20</v>
      </c>
      <c r="AF498" s="130">
        <f t="shared" si="31"/>
        <v>60</v>
      </c>
      <c r="AG498" s="130">
        <f t="shared" si="32"/>
        <v>10</v>
      </c>
      <c r="AH498" s="130">
        <f t="shared" si="33"/>
        <v>20</v>
      </c>
      <c r="AI498" s="130"/>
      <c r="AJ498" s="130"/>
      <c r="AK498" s="130"/>
      <c r="AL498" s="130"/>
      <c r="AM498" s="130"/>
      <c r="AN498" s="130"/>
      <c r="AO498" s="130"/>
      <c r="AP498" s="132"/>
    </row>
    <row r="499" spans="27:42" ht="12.75">
      <c r="AA499" s="130" t="s">
        <v>916</v>
      </c>
      <c r="AB499" s="130">
        <v>3</v>
      </c>
      <c r="AC499" s="130">
        <f t="shared" si="28"/>
        <v>70</v>
      </c>
      <c r="AD499" s="130">
        <f t="shared" si="29"/>
        <v>10</v>
      </c>
      <c r="AE499" s="130">
        <f t="shared" si="30"/>
        <v>20</v>
      </c>
      <c r="AF499" s="130">
        <f t="shared" si="31"/>
        <v>60</v>
      </c>
      <c r="AG499" s="130">
        <f t="shared" si="32"/>
        <v>10</v>
      </c>
      <c r="AH499" s="130">
        <f t="shared" si="33"/>
        <v>20</v>
      </c>
      <c r="AI499" s="130"/>
      <c r="AJ499" s="130"/>
      <c r="AK499" s="130"/>
      <c r="AL499" s="130"/>
      <c r="AM499" s="130"/>
      <c r="AN499" s="130"/>
      <c r="AO499" s="130"/>
      <c r="AP499" s="132"/>
    </row>
    <row r="500" spans="27:42" ht="12.75">
      <c r="AA500" s="130" t="s">
        <v>917</v>
      </c>
      <c r="AB500" s="130">
        <v>3</v>
      </c>
      <c r="AC500" s="130">
        <f t="shared" si="28"/>
        <v>70</v>
      </c>
      <c r="AD500" s="130">
        <f t="shared" si="29"/>
        <v>10</v>
      </c>
      <c r="AE500" s="130">
        <f t="shared" si="30"/>
        <v>20</v>
      </c>
      <c r="AF500" s="130">
        <f t="shared" si="31"/>
        <v>60</v>
      </c>
      <c r="AG500" s="130">
        <f t="shared" si="32"/>
        <v>10</v>
      </c>
      <c r="AH500" s="130">
        <f t="shared" si="33"/>
        <v>20</v>
      </c>
      <c r="AI500" s="130"/>
      <c r="AJ500" s="130"/>
      <c r="AK500" s="130"/>
      <c r="AL500" s="130"/>
      <c r="AM500" s="130"/>
      <c r="AN500" s="130"/>
      <c r="AO500" s="130"/>
      <c r="AP500" s="132"/>
    </row>
    <row r="501" spans="27:42" ht="12.75">
      <c r="AA501" s="130" t="s">
        <v>918</v>
      </c>
      <c r="AB501" s="130">
        <v>4</v>
      </c>
      <c r="AC501" s="130">
        <f t="shared" si="28"/>
        <v>50</v>
      </c>
      <c r="AD501" s="130">
        <f t="shared" si="29"/>
        <v>10</v>
      </c>
      <c r="AE501" s="130">
        <f t="shared" si="30"/>
        <v>20</v>
      </c>
      <c r="AF501" s="130">
        <f t="shared" si="31"/>
        <v>50</v>
      </c>
      <c r="AG501" s="130">
        <f t="shared" si="32"/>
        <v>10</v>
      </c>
      <c r="AH501" s="130">
        <f t="shared" si="33"/>
        <v>20</v>
      </c>
      <c r="AI501" s="130"/>
      <c r="AJ501" s="130"/>
      <c r="AK501" s="130"/>
      <c r="AL501" s="130"/>
      <c r="AM501" s="130"/>
      <c r="AN501" s="130"/>
      <c r="AO501" s="130"/>
      <c r="AP501" s="132"/>
    </row>
    <row r="502" spans="27:42" ht="12.75">
      <c r="AA502" s="130" t="s">
        <v>919</v>
      </c>
      <c r="AB502" s="130">
        <v>3</v>
      </c>
      <c r="AC502" s="130">
        <f t="shared" si="28"/>
        <v>70</v>
      </c>
      <c r="AD502" s="130">
        <f t="shared" si="29"/>
        <v>10</v>
      </c>
      <c r="AE502" s="130">
        <f t="shared" si="30"/>
        <v>20</v>
      </c>
      <c r="AF502" s="130">
        <f t="shared" si="31"/>
        <v>60</v>
      </c>
      <c r="AG502" s="130">
        <f t="shared" si="32"/>
        <v>10</v>
      </c>
      <c r="AH502" s="130">
        <f t="shared" si="33"/>
        <v>20</v>
      </c>
      <c r="AI502" s="130"/>
      <c r="AJ502" s="130"/>
      <c r="AK502" s="130"/>
      <c r="AL502" s="130"/>
      <c r="AM502" s="130"/>
      <c r="AN502" s="130"/>
      <c r="AO502" s="130"/>
      <c r="AP502" s="132"/>
    </row>
    <row r="503" spans="27:42" ht="12.75">
      <c r="AA503" s="130" t="s">
        <v>920</v>
      </c>
      <c r="AB503" s="130">
        <v>4</v>
      </c>
      <c r="AC503" s="130">
        <f t="shared" si="28"/>
        <v>50</v>
      </c>
      <c r="AD503" s="130">
        <f t="shared" si="29"/>
        <v>10</v>
      </c>
      <c r="AE503" s="130">
        <f t="shared" si="30"/>
        <v>20</v>
      </c>
      <c r="AF503" s="130">
        <f t="shared" si="31"/>
        <v>50</v>
      </c>
      <c r="AG503" s="130">
        <f t="shared" si="32"/>
        <v>10</v>
      </c>
      <c r="AH503" s="130">
        <f t="shared" si="33"/>
        <v>20</v>
      </c>
      <c r="AI503" s="130"/>
      <c r="AJ503" s="130"/>
      <c r="AK503" s="130"/>
      <c r="AL503" s="130"/>
      <c r="AM503" s="130"/>
      <c r="AN503" s="130"/>
      <c r="AO503" s="130"/>
      <c r="AP503" s="132"/>
    </row>
    <row r="504" spans="27:42" ht="12.75">
      <c r="AA504" s="130" t="s">
        <v>921</v>
      </c>
      <c r="AB504" s="130">
        <v>4</v>
      </c>
      <c r="AC504" s="130">
        <f t="shared" si="28"/>
        <v>50</v>
      </c>
      <c r="AD504" s="130">
        <f t="shared" si="29"/>
        <v>10</v>
      </c>
      <c r="AE504" s="130">
        <f t="shared" si="30"/>
        <v>20</v>
      </c>
      <c r="AF504" s="130">
        <f t="shared" si="31"/>
        <v>50</v>
      </c>
      <c r="AG504" s="130">
        <f t="shared" si="32"/>
        <v>10</v>
      </c>
      <c r="AH504" s="130">
        <f t="shared" si="33"/>
        <v>20</v>
      </c>
      <c r="AI504" s="130"/>
      <c r="AJ504" s="130"/>
      <c r="AK504" s="130"/>
      <c r="AL504" s="130"/>
      <c r="AM504" s="130"/>
      <c r="AN504" s="130"/>
      <c r="AO504" s="130"/>
      <c r="AP504" s="132"/>
    </row>
    <row r="505" spans="27:42" ht="12.75">
      <c r="AA505" s="130" t="s">
        <v>922</v>
      </c>
      <c r="AB505" s="130">
        <v>4</v>
      </c>
      <c r="AC505" s="130">
        <f t="shared" si="28"/>
        <v>50</v>
      </c>
      <c r="AD505" s="130">
        <f t="shared" si="29"/>
        <v>10</v>
      </c>
      <c r="AE505" s="130">
        <f t="shared" si="30"/>
        <v>20</v>
      </c>
      <c r="AF505" s="130">
        <f t="shared" si="31"/>
        <v>50</v>
      </c>
      <c r="AG505" s="130">
        <f t="shared" si="32"/>
        <v>10</v>
      </c>
      <c r="AH505" s="130">
        <f t="shared" si="33"/>
        <v>20</v>
      </c>
      <c r="AI505" s="130"/>
      <c r="AJ505" s="130"/>
      <c r="AK505" s="130"/>
      <c r="AL505" s="130"/>
      <c r="AM505" s="130"/>
      <c r="AN505" s="130"/>
      <c r="AO505" s="130"/>
      <c r="AP505" s="132"/>
    </row>
    <row r="506" spans="27:42" ht="12.75">
      <c r="AA506" s="130" t="s">
        <v>923</v>
      </c>
      <c r="AB506" s="130">
        <v>2</v>
      </c>
      <c r="AC506" s="130">
        <f t="shared" si="28"/>
        <v>90</v>
      </c>
      <c r="AD506" s="130">
        <f t="shared" si="29"/>
        <v>10</v>
      </c>
      <c r="AE506" s="130">
        <f t="shared" si="30"/>
        <v>20</v>
      </c>
      <c r="AF506" s="130">
        <f t="shared" si="31"/>
        <v>70</v>
      </c>
      <c r="AG506" s="130">
        <f t="shared" si="32"/>
        <v>10</v>
      </c>
      <c r="AH506" s="130">
        <f t="shared" si="33"/>
        <v>20</v>
      </c>
      <c r="AI506" s="130"/>
      <c r="AJ506" s="130"/>
      <c r="AK506" s="130"/>
      <c r="AL506" s="130"/>
      <c r="AM506" s="130"/>
      <c r="AN506" s="130"/>
      <c r="AO506" s="130"/>
      <c r="AP506" s="132"/>
    </row>
    <row r="507" spans="27:42" ht="12.75">
      <c r="AA507" s="130" t="s">
        <v>924</v>
      </c>
      <c r="AB507" s="130">
        <v>4</v>
      </c>
      <c r="AC507" s="130">
        <f t="shared" si="28"/>
        <v>50</v>
      </c>
      <c r="AD507" s="130">
        <f t="shared" si="29"/>
        <v>10</v>
      </c>
      <c r="AE507" s="130">
        <f t="shared" si="30"/>
        <v>20</v>
      </c>
      <c r="AF507" s="130">
        <f t="shared" si="31"/>
        <v>50</v>
      </c>
      <c r="AG507" s="130">
        <f t="shared" si="32"/>
        <v>10</v>
      </c>
      <c r="AH507" s="130">
        <f t="shared" si="33"/>
        <v>20</v>
      </c>
      <c r="AI507" s="130"/>
      <c r="AJ507" s="130"/>
      <c r="AK507" s="130"/>
      <c r="AL507" s="130"/>
      <c r="AM507" s="130"/>
      <c r="AN507" s="130"/>
      <c r="AO507" s="130"/>
      <c r="AP507" s="132"/>
    </row>
    <row r="508" spans="27:42" ht="12.75">
      <c r="AA508" s="130" t="s">
        <v>925</v>
      </c>
      <c r="AB508" s="130">
        <v>1</v>
      </c>
      <c r="AC508" s="130">
        <f t="shared" si="28"/>
        <v>115</v>
      </c>
      <c r="AD508" s="130">
        <f t="shared" si="29"/>
        <v>10</v>
      </c>
      <c r="AE508" s="130">
        <f t="shared" si="30"/>
        <v>20</v>
      </c>
      <c r="AF508" s="130">
        <f t="shared" si="31"/>
        <v>95</v>
      </c>
      <c r="AG508" s="130">
        <f t="shared" si="32"/>
        <v>10</v>
      </c>
      <c r="AH508" s="130">
        <f t="shared" si="33"/>
        <v>20</v>
      </c>
      <c r="AI508" s="130"/>
      <c r="AJ508" s="130"/>
      <c r="AK508" s="130"/>
      <c r="AL508" s="130"/>
      <c r="AM508" s="130"/>
      <c r="AN508" s="130"/>
      <c r="AO508" s="130"/>
      <c r="AP508" s="132"/>
    </row>
    <row r="509" spans="27:42" ht="12.75">
      <c r="AA509" s="130" t="s">
        <v>934</v>
      </c>
      <c r="AB509" s="130">
        <v>3</v>
      </c>
      <c r="AC509" s="130">
        <f t="shared" si="28"/>
        <v>70</v>
      </c>
      <c r="AD509" s="130">
        <f t="shared" si="29"/>
        <v>10</v>
      </c>
      <c r="AE509" s="130">
        <f t="shared" si="30"/>
        <v>20</v>
      </c>
      <c r="AF509" s="130">
        <f t="shared" si="31"/>
        <v>60</v>
      </c>
      <c r="AG509" s="130">
        <f t="shared" si="32"/>
        <v>10</v>
      </c>
      <c r="AH509" s="130">
        <f t="shared" si="33"/>
        <v>20</v>
      </c>
      <c r="AI509" s="130"/>
      <c r="AJ509" s="130"/>
      <c r="AK509" s="130"/>
      <c r="AL509" s="130"/>
      <c r="AM509" s="130"/>
      <c r="AN509" s="130"/>
      <c r="AO509" s="130"/>
      <c r="AP509" s="132"/>
    </row>
    <row r="510" spans="27:42" ht="12.75">
      <c r="AA510" s="130" t="s">
        <v>935</v>
      </c>
      <c r="AB510" s="130">
        <v>2</v>
      </c>
      <c r="AC510" s="130">
        <f t="shared" si="28"/>
        <v>90</v>
      </c>
      <c r="AD510" s="130">
        <f t="shared" si="29"/>
        <v>10</v>
      </c>
      <c r="AE510" s="130">
        <f t="shared" si="30"/>
        <v>20</v>
      </c>
      <c r="AF510" s="130">
        <f t="shared" si="31"/>
        <v>70</v>
      </c>
      <c r="AG510" s="130">
        <f t="shared" si="32"/>
        <v>10</v>
      </c>
      <c r="AH510" s="130">
        <f t="shared" si="33"/>
        <v>20</v>
      </c>
      <c r="AI510" s="130"/>
      <c r="AJ510" s="130"/>
      <c r="AK510" s="130"/>
      <c r="AL510" s="130"/>
      <c r="AM510" s="130"/>
      <c r="AN510" s="130"/>
      <c r="AO510" s="130"/>
      <c r="AP510" s="132"/>
    </row>
    <row r="511" spans="27:42" ht="12.75">
      <c r="AA511" s="130" t="s">
        <v>936</v>
      </c>
      <c r="AB511" s="130">
        <v>2</v>
      </c>
      <c r="AC511" s="130">
        <f t="shared" si="28"/>
        <v>90</v>
      </c>
      <c r="AD511" s="130">
        <f t="shared" si="29"/>
        <v>10</v>
      </c>
      <c r="AE511" s="130">
        <f t="shared" si="30"/>
        <v>20</v>
      </c>
      <c r="AF511" s="130">
        <f t="shared" si="31"/>
        <v>70</v>
      </c>
      <c r="AG511" s="130">
        <f t="shared" si="32"/>
        <v>10</v>
      </c>
      <c r="AH511" s="130">
        <f t="shared" si="33"/>
        <v>20</v>
      </c>
      <c r="AI511" s="130"/>
      <c r="AJ511" s="130"/>
      <c r="AK511" s="130"/>
      <c r="AL511" s="130"/>
      <c r="AM511" s="130"/>
      <c r="AN511" s="130"/>
      <c r="AO511" s="130"/>
      <c r="AP511" s="132"/>
    </row>
    <row r="512" spans="27:42" ht="12.75">
      <c r="AA512" s="130" t="s">
        <v>937</v>
      </c>
      <c r="AB512" s="130">
        <v>3</v>
      </c>
      <c r="AC512" s="130">
        <f t="shared" si="28"/>
        <v>70</v>
      </c>
      <c r="AD512" s="130">
        <f t="shared" si="29"/>
        <v>10</v>
      </c>
      <c r="AE512" s="130">
        <f t="shared" si="30"/>
        <v>20</v>
      </c>
      <c r="AF512" s="130">
        <f t="shared" si="31"/>
        <v>60</v>
      </c>
      <c r="AG512" s="130">
        <f t="shared" si="32"/>
        <v>10</v>
      </c>
      <c r="AH512" s="130">
        <f t="shared" si="33"/>
        <v>20</v>
      </c>
      <c r="AI512" s="130"/>
      <c r="AJ512" s="130"/>
      <c r="AK512" s="130"/>
      <c r="AL512" s="130"/>
      <c r="AM512" s="130"/>
      <c r="AN512" s="130"/>
      <c r="AO512" s="130"/>
      <c r="AP512" s="132"/>
    </row>
    <row r="513" spans="27:42" ht="12.75">
      <c r="AA513" s="130" t="s">
        <v>938</v>
      </c>
      <c r="AB513" s="130">
        <v>1</v>
      </c>
      <c r="AC513" s="130">
        <f t="shared" si="28"/>
        <v>115</v>
      </c>
      <c r="AD513" s="130">
        <f t="shared" si="29"/>
        <v>10</v>
      </c>
      <c r="AE513" s="130">
        <f t="shared" si="30"/>
        <v>20</v>
      </c>
      <c r="AF513" s="130">
        <f t="shared" si="31"/>
        <v>95</v>
      </c>
      <c r="AG513" s="130">
        <f t="shared" si="32"/>
        <v>10</v>
      </c>
      <c r="AH513" s="130">
        <f t="shared" si="33"/>
        <v>20</v>
      </c>
      <c r="AI513" s="130"/>
      <c r="AJ513" s="130"/>
      <c r="AK513" s="130"/>
      <c r="AL513" s="130"/>
      <c r="AM513" s="130"/>
      <c r="AN513" s="130"/>
      <c r="AO513" s="130"/>
      <c r="AP513" s="132"/>
    </row>
    <row r="514" spans="27:42" ht="12.75">
      <c r="AA514" s="130" t="s">
        <v>939</v>
      </c>
      <c r="AB514" s="130">
        <v>3</v>
      </c>
      <c r="AC514" s="130">
        <f t="shared" si="28"/>
        <v>70</v>
      </c>
      <c r="AD514" s="130">
        <f t="shared" si="29"/>
        <v>10</v>
      </c>
      <c r="AE514" s="130">
        <f t="shared" si="30"/>
        <v>20</v>
      </c>
      <c r="AF514" s="130">
        <f t="shared" si="31"/>
        <v>60</v>
      </c>
      <c r="AG514" s="130">
        <f t="shared" si="32"/>
        <v>10</v>
      </c>
      <c r="AH514" s="130">
        <f t="shared" si="33"/>
        <v>20</v>
      </c>
      <c r="AI514" s="130"/>
      <c r="AJ514" s="130"/>
      <c r="AK514" s="130"/>
      <c r="AL514" s="130"/>
      <c r="AM514" s="130"/>
      <c r="AN514" s="130"/>
      <c r="AO514" s="130"/>
      <c r="AP514" s="132"/>
    </row>
    <row r="515" spans="27:42" ht="12.75">
      <c r="AA515" s="130" t="s">
        <v>940</v>
      </c>
      <c r="AB515" s="130">
        <v>2</v>
      </c>
      <c r="AC515" s="130">
        <f t="shared" si="28"/>
        <v>90</v>
      </c>
      <c r="AD515" s="130">
        <f t="shared" si="29"/>
        <v>10</v>
      </c>
      <c r="AE515" s="130">
        <f t="shared" si="30"/>
        <v>20</v>
      </c>
      <c r="AF515" s="130">
        <f t="shared" si="31"/>
        <v>70</v>
      </c>
      <c r="AG515" s="130">
        <f t="shared" si="32"/>
        <v>10</v>
      </c>
      <c r="AH515" s="130">
        <f t="shared" si="33"/>
        <v>20</v>
      </c>
      <c r="AI515" s="130"/>
      <c r="AJ515" s="130"/>
      <c r="AK515" s="130"/>
      <c r="AL515" s="130"/>
      <c r="AM515" s="130"/>
      <c r="AN515" s="130"/>
      <c r="AO515" s="130"/>
      <c r="AP515" s="132"/>
    </row>
    <row r="516" spans="27:42" ht="12.75">
      <c r="AA516" s="130" t="s">
        <v>941</v>
      </c>
      <c r="AB516" s="130">
        <v>3</v>
      </c>
      <c r="AC516" s="130">
        <f t="shared" si="28"/>
        <v>70</v>
      </c>
      <c r="AD516" s="130">
        <f t="shared" si="29"/>
        <v>10</v>
      </c>
      <c r="AE516" s="130">
        <f t="shared" si="30"/>
        <v>20</v>
      </c>
      <c r="AF516" s="130">
        <f t="shared" si="31"/>
        <v>60</v>
      </c>
      <c r="AG516" s="130">
        <f t="shared" si="32"/>
        <v>10</v>
      </c>
      <c r="AH516" s="130">
        <f t="shared" si="33"/>
        <v>20</v>
      </c>
      <c r="AI516" s="130"/>
      <c r="AJ516" s="130"/>
      <c r="AK516" s="130"/>
      <c r="AL516" s="130"/>
      <c r="AM516" s="130"/>
      <c r="AN516" s="130"/>
      <c r="AO516" s="130"/>
      <c r="AP516" s="132"/>
    </row>
    <row r="517" spans="27:42" ht="12.75">
      <c r="AA517" s="130" t="s">
        <v>942</v>
      </c>
      <c r="AB517" s="130">
        <v>4</v>
      </c>
      <c r="AC517" s="130">
        <f t="shared" si="28"/>
        <v>50</v>
      </c>
      <c r="AD517" s="130">
        <f t="shared" si="29"/>
        <v>10</v>
      </c>
      <c r="AE517" s="130">
        <f t="shared" si="30"/>
        <v>20</v>
      </c>
      <c r="AF517" s="130">
        <f t="shared" si="31"/>
        <v>50</v>
      </c>
      <c r="AG517" s="130">
        <f t="shared" si="32"/>
        <v>10</v>
      </c>
      <c r="AH517" s="130">
        <f t="shared" si="33"/>
        <v>20</v>
      </c>
      <c r="AI517" s="130"/>
      <c r="AJ517" s="130"/>
      <c r="AK517" s="130"/>
      <c r="AL517" s="130"/>
      <c r="AM517" s="130"/>
      <c r="AN517" s="130"/>
      <c r="AO517" s="130"/>
      <c r="AP517" s="132"/>
    </row>
    <row r="518" spans="27:42" ht="12.75">
      <c r="AA518" s="130" t="s">
        <v>943</v>
      </c>
      <c r="AB518" s="130">
        <v>4</v>
      </c>
      <c r="AC518" s="130">
        <f t="shared" si="28"/>
        <v>50</v>
      </c>
      <c r="AD518" s="130">
        <f t="shared" si="29"/>
        <v>10</v>
      </c>
      <c r="AE518" s="130">
        <f t="shared" si="30"/>
        <v>20</v>
      </c>
      <c r="AF518" s="130">
        <f t="shared" si="31"/>
        <v>50</v>
      </c>
      <c r="AG518" s="130">
        <f t="shared" si="32"/>
        <v>10</v>
      </c>
      <c r="AH518" s="130">
        <f t="shared" si="33"/>
        <v>20</v>
      </c>
      <c r="AI518" s="130"/>
      <c r="AJ518" s="130"/>
      <c r="AK518" s="130"/>
      <c r="AL518" s="130"/>
      <c r="AM518" s="130"/>
      <c r="AN518" s="130"/>
      <c r="AO518" s="130"/>
      <c r="AP518" s="132"/>
    </row>
    <row r="519" spans="27:42" ht="12.75">
      <c r="AA519" s="130" t="s">
        <v>944</v>
      </c>
      <c r="AB519" s="130">
        <v>4</v>
      </c>
      <c r="AC519" s="130">
        <f t="shared" si="28"/>
        <v>50</v>
      </c>
      <c r="AD519" s="130">
        <f t="shared" si="29"/>
        <v>10</v>
      </c>
      <c r="AE519" s="130">
        <f t="shared" si="30"/>
        <v>20</v>
      </c>
      <c r="AF519" s="130">
        <f t="shared" si="31"/>
        <v>50</v>
      </c>
      <c r="AG519" s="130">
        <f t="shared" si="32"/>
        <v>10</v>
      </c>
      <c r="AH519" s="130">
        <f t="shared" si="33"/>
        <v>20</v>
      </c>
      <c r="AI519" s="130"/>
      <c r="AJ519" s="130"/>
      <c r="AK519" s="130"/>
      <c r="AL519" s="130"/>
      <c r="AM519" s="130"/>
      <c r="AN519" s="130"/>
      <c r="AO519" s="130"/>
      <c r="AP519" s="132"/>
    </row>
    <row r="520" spans="27:42" ht="12.75">
      <c r="AA520" s="130" t="s">
        <v>945</v>
      </c>
      <c r="AB520" s="130">
        <v>3</v>
      </c>
      <c r="AC520" s="130">
        <f t="shared" si="28"/>
        <v>70</v>
      </c>
      <c r="AD520" s="130">
        <f t="shared" si="29"/>
        <v>10</v>
      </c>
      <c r="AE520" s="130">
        <f t="shared" si="30"/>
        <v>20</v>
      </c>
      <c r="AF520" s="130">
        <f t="shared" si="31"/>
        <v>60</v>
      </c>
      <c r="AG520" s="130">
        <f t="shared" si="32"/>
        <v>10</v>
      </c>
      <c r="AH520" s="130">
        <f t="shared" si="33"/>
        <v>20</v>
      </c>
      <c r="AI520" s="130"/>
      <c r="AJ520" s="130"/>
      <c r="AK520" s="130"/>
      <c r="AL520" s="130"/>
      <c r="AM520" s="130"/>
      <c r="AN520" s="130"/>
      <c r="AO520" s="130"/>
      <c r="AP520" s="132"/>
    </row>
    <row r="521" spans="27:42" ht="12.75">
      <c r="AA521" s="130" t="s">
        <v>946</v>
      </c>
      <c r="AB521" s="130">
        <v>2</v>
      </c>
      <c r="AC521" s="130">
        <f t="shared" si="28"/>
        <v>90</v>
      </c>
      <c r="AD521" s="130">
        <f t="shared" si="29"/>
        <v>10</v>
      </c>
      <c r="AE521" s="130">
        <f t="shared" si="30"/>
        <v>20</v>
      </c>
      <c r="AF521" s="130">
        <f t="shared" si="31"/>
        <v>70</v>
      </c>
      <c r="AG521" s="130">
        <f t="shared" si="32"/>
        <v>10</v>
      </c>
      <c r="AH521" s="130">
        <f t="shared" si="33"/>
        <v>20</v>
      </c>
      <c r="AI521" s="130"/>
      <c r="AJ521" s="130"/>
      <c r="AK521" s="130"/>
      <c r="AL521" s="130"/>
      <c r="AM521" s="130"/>
      <c r="AN521" s="130"/>
      <c r="AO521" s="130"/>
      <c r="AP521" s="132"/>
    </row>
    <row r="522" spans="27:42" ht="12.75">
      <c r="AA522" s="130" t="s">
        <v>947</v>
      </c>
      <c r="AB522" s="130">
        <v>2</v>
      </c>
      <c r="AC522" s="130">
        <f t="shared" si="28"/>
        <v>90</v>
      </c>
      <c r="AD522" s="130">
        <f t="shared" si="29"/>
        <v>10</v>
      </c>
      <c r="AE522" s="130">
        <f t="shared" si="30"/>
        <v>20</v>
      </c>
      <c r="AF522" s="130">
        <f t="shared" si="31"/>
        <v>70</v>
      </c>
      <c r="AG522" s="130">
        <f t="shared" si="32"/>
        <v>10</v>
      </c>
      <c r="AH522" s="130">
        <f t="shared" si="33"/>
        <v>20</v>
      </c>
      <c r="AI522" s="130"/>
      <c r="AJ522" s="130"/>
      <c r="AK522" s="130"/>
      <c r="AL522" s="130"/>
      <c r="AM522" s="130"/>
      <c r="AN522" s="130"/>
      <c r="AO522" s="130"/>
      <c r="AP522" s="132"/>
    </row>
    <row r="523" spans="3:42" ht="12.75">
      <c r="C523">
        <v>20</v>
      </c>
      <c r="AA523" s="130" t="s">
        <v>948</v>
      </c>
      <c r="AB523" s="130">
        <v>1</v>
      </c>
      <c r="AC523" s="130">
        <f t="shared" si="28"/>
        <v>115</v>
      </c>
      <c r="AD523" s="130">
        <f t="shared" si="29"/>
        <v>10</v>
      </c>
      <c r="AE523" s="130">
        <f t="shared" si="30"/>
        <v>20</v>
      </c>
      <c r="AF523" s="130">
        <f t="shared" si="31"/>
        <v>95</v>
      </c>
      <c r="AG523" s="130">
        <f t="shared" si="32"/>
        <v>10</v>
      </c>
      <c r="AH523" s="130">
        <f t="shared" si="33"/>
        <v>20</v>
      </c>
      <c r="AI523" s="130"/>
      <c r="AJ523" s="130"/>
      <c r="AK523" s="130"/>
      <c r="AL523" s="130"/>
      <c r="AM523" s="130"/>
      <c r="AN523" s="130"/>
      <c r="AO523" s="130"/>
      <c r="AP523" s="132"/>
    </row>
    <row r="524" spans="27:42" ht="12.75">
      <c r="AA524" s="130" t="s">
        <v>949</v>
      </c>
      <c r="AB524" s="130">
        <v>1</v>
      </c>
      <c r="AC524" s="130">
        <f t="shared" si="28"/>
        <v>115</v>
      </c>
      <c r="AD524" s="130">
        <f t="shared" si="29"/>
        <v>10</v>
      </c>
      <c r="AE524" s="130">
        <f t="shared" si="30"/>
        <v>20</v>
      </c>
      <c r="AF524" s="130">
        <f t="shared" si="31"/>
        <v>95</v>
      </c>
      <c r="AG524" s="130">
        <f t="shared" si="32"/>
        <v>10</v>
      </c>
      <c r="AH524" s="130">
        <f t="shared" si="33"/>
        <v>20</v>
      </c>
      <c r="AI524" s="130"/>
      <c r="AJ524" s="130"/>
      <c r="AK524" s="130"/>
      <c r="AL524" s="130"/>
      <c r="AM524" s="130"/>
      <c r="AN524" s="130"/>
      <c r="AO524" s="130"/>
      <c r="AP524" s="132"/>
    </row>
    <row r="525" spans="27:42" ht="12.75">
      <c r="AA525" s="130" t="s">
        <v>950</v>
      </c>
      <c r="AB525" s="130">
        <v>3</v>
      </c>
      <c r="AC525" s="130">
        <f t="shared" si="28"/>
        <v>70</v>
      </c>
      <c r="AD525" s="130">
        <f t="shared" si="29"/>
        <v>10</v>
      </c>
      <c r="AE525" s="130">
        <f t="shared" si="30"/>
        <v>20</v>
      </c>
      <c r="AF525" s="130">
        <f t="shared" si="31"/>
        <v>60</v>
      </c>
      <c r="AG525" s="130">
        <f t="shared" si="32"/>
        <v>10</v>
      </c>
      <c r="AH525" s="130">
        <f t="shared" si="33"/>
        <v>20</v>
      </c>
      <c r="AI525" s="130"/>
      <c r="AJ525" s="130"/>
      <c r="AK525" s="130"/>
      <c r="AL525" s="130"/>
      <c r="AM525" s="130"/>
      <c r="AN525" s="130"/>
      <c r="AO525" s="130"/>
      <c r="AP525" s="132"/>
    </row>
    <row r="526" spans="27:42" ht="12.75">
      <c r="AA526" s="130" t="s">
        <v>951</v>
      </c>
      <c r="AB526" s="130">
        <v>2</v>
      </c>
      <c r="AC526" s="130">
        <f t="shared" si="28"/>
        <v>90</v>
      </c>
      <c r="AD526" s="130">
        <f t="shared" si="29"/>
        <v>10</v>
      </c>
      <c r="AE526" s="130">
        <f t="shared" si="30"/>
        <v>20</v>
      </c>
      <c r="AF526" s="130">
        <f t="shared" si="31"/>
        <v>70</v>
      </c>
      <c r="AG526" s="130">
        <f t="shared" si="32"/>
        <v>10</v>
      </c>
      <c r="AH526" s="130">
        <f t="shared" si="33"/>
        <v>20</v>
      </c>
      <c r="AI526" s="130"/>
      <c r="AJ526" s="130"/>
      <c r="AK526" s="130"/>
      <c r="AL526" s="130"/>
      <c r="AM526" s="130"/>
      <c r="AN526" s="130"/>
      <c r="AO526" s="130"/>
      <c r="AP526" s="132"/>
    </row>
    <row r="527" spans="27:42" ht="12.75">
      <c r="AA527" s="130" t="s">
        <v>952</v>
      </c>
      <c r="AB527" s="130">
        <v>4</v>
      </c>
      <c r="AC527" s="130">
        <f t="shared" si="28"/>
        <v>50</v>
      </c>
      <c r="AD527" s="130">
        <f t="shared" si="29"/>
        <v>10</v>
      </c>
      <c r="AE527" s="130">
        <f t="shared" si="30"/>
        <v>20</v>
      </c>
      <c r="AF527" s="130">
        <f t="shared" si="31"/>
        <v>50</v>
      </c>
      <c r="AG527" s="130">
        <f t="shared" si="32"/>
        <v>10</v>
      </c>
      <c r="AH527" s="130">
        <f t="shared" si="33"/>
        <v>20</v>
      </c>
      <c r="AI527" s="130"/>
      <c r="AJ527" s="130"/>
      <c r="AK527" s="130"/>
      <c r="AL527" s="130"/>
      <c r="AM527" s="130"/>
      <c r="AN527" s="130"/>
      <c r="AO527" s="130"/>
      <c r="AP527" s="132"/>
    </row>
    <row r="528" spans="27:42" ht="12.75">
      <c r="AA528" s="130" t="s">
        <v>953</v>
      </c>
      <c r="AB528" s="130">
        <v>3</v>
      </c>
      <c r="AC528" s="130">
        <f t="shared" si="28"/>
        <v>70</v>
      </c>
      <c r="AD528" s="130">
        <f t="shared" si="29"/>
        <v>10</v>
      </c>
      <c r="AE528" s="130">
        <f t="shared" si="30"/>
        <v>20</v>
      </c>
      <c r="AF528" s="130">
        <f t="shared" si="31"/>
        <v>60</v>
      </c>
      <c r="AG528" s="130">
        <f t="shared" si="32"/>
        <v>10</v>
      </c>
      <c r="AH528" s="130">
        <f t="shared" si="33"/>
        <v>20</v>
      </c>
      <c r="AI528" s="130"/>
      <c r="AJ528" s="130"/>
      <c r="AK528" s="130"/>
      <c r="AL528" s="130"/>
      <c r="AM528" s="130"/>
      <c r="AN528" s="130"/>
      <c r="AO528" s="130"/>
      <c r="AP528" s="132"/>
    </row>
    <row r="529" spans="27:42" ht="12.75">
      <c r="AA529" s="130" t="s">
        <v>954</v>
      </c>
      <c r="AB529" s="130">
        <v>3</v>
      </c>
      <c r="AC529" s="130">
        <f t="shared" si="28"/>
        <v>70</v>
      </c>
      <c r="AD529" s="130">
        <f t="shared" si="29"/>
        <v>10</v>
      </c>
      <c r="AE529" s="130">
        <f t="shared" si="30"/>
        <v>20</v>
      </c>
      <c r="AF529" s="130">
        <f t="shared" si="31"/>
        <v>60</v>
      </c>
      <c r="AG529" s="130">
        <f t="shared" si="32"/>
        <v>10</v>
      </c>
      <c r="AH529" s="130">
        <f t="shared" si="33"/>
        <v>20</v>
      </c>
      <c r="AI529" s="130"/>
      <c r="AJ529" s="130"/>
      <c r="AK529" s="130"/>
      <c r="AL529" s="130"/>
      <c r="AM529" s="130"/>
      <c r="AN529" s="130"/>
      <c r="AO529" s="130"/>
      <c r="AP529" s="132"/>
    </row>
    <row r="530" spans="9:42" ht="12.75">
      <c r="I530" t="str">
        <f>VLOOKUP(C2,Q360:R412,2)</f>
        <v>033</v>
      </c>
      <c r="AA530" s="130" t="s">
        <v>955</v>
      </c>
      <c r="AB530" s="130">
        <v>4</v>
      </c>
      <c r="AC530" s="130">
        <f t="shared" si="28"/>
        <v>50</v>
      </c>
      <c r="AD530" s="130">
        <f t="shared" si="29"/>
        <v>10</v>
      </c>
      <c r="AE530" s="130">
        <f t="shared" si="30"/>
        <v>20</v>
      </c>
      <c r="AF530" s="130">
        <f t="shared" si="31"/>
        <v>50</v>
      </c>
      <c r="AG530" s="130">
        <f t="shared" si="32"/>
        <v>10</v>
      </c>
      <c r="AH530" s="130">
        <f t="shared" si="33"/>
        <v>20</v>
      </c>
      <c r="AI530" s="130"/>
      <c r="AJ530" s="130"/>
      <c r="AK530" s="130"/>
      <c r="AL530" s="130"/>
      <c r="AM530" s="130"/>
      <c r="AN530" s="130"/>
      <c r="AO530" s="130"/>
      <c r="AP530" s="132"/>
    </row>
    <row r="531" spans="27:42" ht="12.75">
      <c r="AA531" s="130" t="s">
        <v>956</v>
      </c>
      <c r="AB531" s="130">
        <v>3</v>
      </c>
      <c r="AC531" s="130">
        <f t="shared" si="28"/>
        <v>70</v>
      </c>
      <c r="AD531" s="130">
        <f t="shared" si="29"/>
        <v>10</v>
      </c>
      <c r="AE531" s="130">
        <f t="shared" si="30"/>
        <v>20</v>
      </c>
      <c r="AF531" s="130">
        <f t="shared" si="31"/>
        <v>60</v>
      </c>
      <c r="AG531" s="130">
        <f t="shared" si="32"/>
        <v>10</v>
      </c>
      <c r="AH531" s="130">
        <f t="shared" si="33"/>
        <v>20</v>
      </c>
      <c r="AI531" s="130"/>
      <c r="AJ531" s="130"/>
      <c r="AK531" s="130"/>
      <c r="AL531" s="130"/>
      <c r="AM531" s="130"/>
      <c r="AN531" s="130"/>
      <c r="AO531" s="130"/>
      <c r="AP531" s="132"/>
    </row>
    <row r="532" spans="9:42" ht="12.75">
      <c r="I532" t="e">
        <f>IF(I530&lt;&gt;93,'[1]Sheet 1'!A1:E64,1)</f>
        <v>#VALUE!</v>
      </c>
      <c r="AA532" s="130"/>
      <c r="AB532" s="130"/>
      <c r="AC532" s="130"/>
      <c r="AD532" s="130"/>
      <c r="AE532" s="130"/>
      <c r="AF532" s="130"/>
      <c r="AG532" s="130"/>
      <c r="AH532" s="130"/>
      <c r="AI532" s="130"/>
      <c r="AJ532" s="130"/>
      <c r="AK532" s="130"/>
      <c r="AL532" s="130"/>
      <c r="AM532" s="130"/>
      <c r="AN532" s="130"/>
      <c r="AO532" s="130"/>
      <c r="AP532" s="132"/>
    </row>
    <row r="533" spans="1:42" ht="12.75">
      <c r="A533" s="189"/>
      <c r="AA533" s="130"/>
      <c r="AB533" s="130"/>
      <c r="AC533" s="130"/>
      <c r="AD533" s="130"/>
      <c r="AE533" s="130"/>
      <c r="AF533" s="130"/>
      <c r="AG533" s="130"/>
      <c r="AH533" s="130"/>
      <c r="AI533" s="130"/>
      <c r="AJ533" s="130"/>
      <c r="AK533" s="130"/>
      <c r="AL533" s="130"/>
      <c r="AM533" s="130"/>
      <c r="AN533" s="130"/>
      <c r="AO533" s="130"/>
      <c r="AP533" s="132"/>
    </row>
    <row r="534" spans="1:43" ht="12.75">
      <c r="A534">
        <v>93</v>
      </c>
      <c r="B534" s="189">
        <v>1</v>
      </c>
      <c r="C534" t="s">
        <v>1476</v>
      </c>
      <c r="D534" t="s">
        <v>1474</v>
      </c>
      <c r="E534" t="s">
        <v>1475</v>
      </c>
      <c r="L534"/>
      <c r="N534" s="126"/>
      <c r="Z534"/>
      <c r="AA534" s="286"/>
      <c r="AB534" s="132"/>
      <c r="AC534" s="132"/>
      <c r="AD534" s="132"/>
      <c r="AE534" s="132"/>
      <c r="AF534" s="132"/>
      <c r="AG534" s="132"/>
      <c r="AH534" s="132"/>
      <c r="AI534" s="132"/>
      <c r="AJ534" s="132"/>
      <c r="AK534" s="130"/>
      <c r="AL534" s="130"/>
      <c r="AM534" s="130"/>
      <c r="AN534" s="130"/>
      <c r="AO534" s="130"/>
      <c r="AP534" s="130"/>
      <c r="AQ534" s="132"/>
    </row>
    <row r="535" spans="1:43" ht="12.75">
      <c r="A535">
        <v>93</v>
      </c>
      <c r="B535" s="189">
        <v>2</v>
      </c>
      <c r="C535" t="s">
        <v>1477</v>
      </c>
      <c r="D535" t="s">
        <v>1474</v>
      </c>
      <c r="E535" t="s">
        <v>1475</v>
      </c>
      <c r="L535"/>
      <c r="N535" s="126"/>
      <c r="Z535"/>
      <c r="AA535" s="286"/>
      <c r="AB535" s="132"/>
      <c r="AC535" s="132"/>
      <c r="AD535" s="132"/>
      <c r="AE535" s="132"/>
      <c r="AF535" s="132"/>
      <c r="AG535" s="132"/>
      <c r="AH535" s="132"/>
      <c r="AI535" s="132"/>
      <c r="AJ535" s="132"/>
      <c r="AK535" s="130"/>
      <c r="AL535" s="130"/>
      <c r="AM535" s="130"/>
      <c r="AN535" s="130"/>
      <c r="AO535" s="130"/>
      <c r="AP535" s="130"/>
      <c r="AQ535" s="132"/>
    </row>
    <row r="536" spans="1:43" ht="12.75">
      <c r="A536">
        <v>93</v>
      </c>
      <c r="B536" s="189">
        <v>3</v>
      </c>
      <c r="C536" t="s">
        <v>1478</v>
      </c>
      <c r="D536" t="s">
        <v>1474</v>
      </c>
      <c r="E536" t="s">
        <v>1475</v>
      </c>
      <c r="L536"/>
      <c r="N536" s="126"/>
      <c r="Z536"/>
      <c r="AA536" s="286"/>
      <c r="AB536" s="132"/>
      <c r="AC536" s="132"/>
      <c r="AD536" s="132"/>
      <c r="AE536" s="132"/>
      <c r="AF536" s="132"/>
      <c r="AG536" s="132"/>
      <c r="AH536" s="132"/>
      <c r="AI536" s="132"/>
      <c r="AJ536" s="132"/>
      <c r="AK536" s="130"/>
      <c r="AL536" s="130"/>
      <c r="AM536" s="130"/>
      <c r="AN536" s="130"/>
      <c r="AO536" s="130"/>
      <c r="AP536" s="130"/>
      <c r="AQ536" s="132"/>
    </row>
    <row r="537" spans="1:43" ht="12.75">
      <c r="A537">
        <v>93</v>
      </c>
      <c r="B537" s="189">
        <v>4</v>
      </c>
      <c r="C537" t="s">
        <v>1480</v>
      </c>
      <c r="D537" t="s">
        <v>1474</v>
      </c>
      <c r="E537" t="s">
        <v>1475</v>
      </c>
      <c r="L537"/>
      <c r="N537" s="126"/>
      <c r="Z537"/>
      <c r="AA537" s="286"/>
      <c r="AB537" s="132"/>
      <c r="AC537" s="132"/>
      <c r="AD537" s="132"/>
      <c r="AE537" s="132"/>
      <c r="AF537" s="132"/>
      <c r="AG537" s="132"/>
      <c r="AH537" s="132"/>
      <c r="AI537" s="132"/>
      <c r="AJ537" s="132"/>
      <c r="AK537" s="130"/>
      <c r="AL537" s="130"/>
      <c r="AM537" s="130"/>
      <c r="AN537" s="130"/>
      <c r="AO537" s="130"/>
      <c r="AP537" s="130"/>
      <c r="AQ537" s="132"/>
    </row>
    <row r="538" spans="1:43" ht="12.75">
      <c r="A538">
        <v>93</v>
      </c>
      <c r="B538" s="189">
        <v>5</v>
      </c>
      <c r="C538" t="s">
        <v>1481</v>
      </c>
      <c r="D538" t="s">
        <v>1474</v>
      </c>
      <c r="E538" t="s">
        <v>1475</v>
      </c>
      <c r="L538"/>
      <c r="N538" s="126"/>
      <c r="Z538"/>
      <c r="AA538" s="286"/>
      <c r="AB538" s="132"/>
      <c r="AC538" s="132"/>
      <c r="AD538" s="132"/>
      <c r="AE538" s="132"/>
      <c r="AF538" s="132"/>
      <c r="AG538" s="132"/>
      <c r="AH538" s="132"/>
      <c r="AI538" s="132"/>
      <c r="AJ538" s="132"/>
      <c r="AK538" s="130"/>
      <c r="AL538" s="130"/>
      <c r="AM538" s="130"/>
      <c r="AN538" s="130"/>
      <c r="AO538" s="130"/>
      <c r="AP538" s="130"/>
      <c r="AQ538" s="132"/>
    </row>
    <row r="539" spans="1:43" ht="12.75">
      <c r="A539">
        <v>93</v>
      </c>
      <c r="B539" s="189">
        <v>13</v>
      </c>
      <c r="C539" t="s">
        <v>1482</v>
      </c>
      <c r="D539" t="s">
        <v>1474</v>
      </c>
      <c r="E539" t="s">
        <v>1475</v>
      </c>
      <c r="L539"/>
      <c r="N539" s="126"/>
      <c r="Z539"/>
      <c r="AA539" s="286"/>
      <c r="AB539" s="132"/>
      <c r="AC539" s="132"/>
      <c r="AD539" s="132"/>
      <c r="AE539" s="132"/>
      <c r="AF539" s="132"/>
      <c r="AG539" s="132"/>
      <c r="AH539" s="132"/>
      <c r="AI539" s="132"/>
      <c r="AJ539" s="132"/>
      <c r="AK539" s="130"/>
      <c r="AL539" s="130"/>
      <c r="AM539" s="130"/>
      <c r="AN539" s="130"/>
      <c r="AO539" s="130"/>
      <c r="AP539" s="130"/>
      <c r="AQ539" s="132"/>
    </row>
    <row r="540" spans="1:43" ht="12.75">
      <c r="A540">
        <v>93</v>
      </c>
      <c r="B540" s="189">
        <v>15</v>
      </c>
      <c r="C540" t="s">
        <v>1479</v>
      </c>
      <c r="D540" t="s">
        <v>1474</v>
      </c>
      <c r="E540" t="s">
        <v>1475</v>
      </c>
      <c r="L540"/>
      <c r="N540" s="126"/>
      <c r="Z540"/>
      <c r="AA540" s="286"/>
      <c r="AB540" s="132"/>
      <c r="AC540" s="132"/>
      <c r="AD540" s="132"/>
      <c r="AE540" s="132"/>
      <c r="AF540" s="132"/>
      <c r="AG540" s="132"/>
      <c r="AH540" s="132"/>
      <c r="AI540" s="132"/>
      <c r="AJ540" s="132"/>
      <c r="AK540" s="132"/>
      <c r="AL540" s="132"/>
      <c r="AM540" s="132"/>
      <c r="AN540" s="132"/>
      <c r="AO540" s="132"/>
      <c r="AP540" s="130"/>
      <c r="AQ540" s="132"/>
    </row>
    <row r="541" spans="1:43" ht="12.75">
      <c r="A541">
        <v>93</v>
      </c>
      <c r="B541" s="189">
        <v>16</v>
      </c>
      <c r="C541" t="s">
        <v>1483</v>
      </c>
      <c r="D541" t="s">
        <v>1474</v>
      </c>
      <c r="E541" t="s">
        <v>1475</v>
      </c>
      <c r="L541"/>
      <c r="N541" s="126"/>
      <c r="Z541"/>
      <c r="AA541" s="286"/>
      <c r="AB541" s="132"/>
      <c r="AC541" s="132"/>
      <c r="AD541" s="132"/>
      <c r="AE541" s="132"/>
      <c r="AF541" s="132"/>
      <c r="AG541" s="132"/>
      <c r="AH541" s="132"/>
      <c r="AI541" s="132"/>
      <c r="AJ541" s="132"/>
      <c r="AK541" s="132"/>
      <c r="AL541" s="132"/>
      <c r="AM541" s="132"/>
      <c r="AN541" s="132"/>
      <c r="AO541" s="132"/>
      <c r="AP541" s="130"/>
      <c r="AQ541" s="132"/>
    </row>
    <row r="542" spans="1:43" ht="12.75">
      <c r="A542">
        <v>93</v>
      </c>
      <c r="B542" s="189">
        <v>18</v>
      </c>
      <c r="C542" t="s">
        <v>1484</v>
      </c>
      <c r="D542" t="s">
        <v>1474</v>
      </c>
      <c r="E542" t="s">
        <v>1475</v>
      </c>
      <c r="L542"/>
      <c r="N542" s="126"/>
      <c r="Z542"/>
      <c r="AA542" s="286"/>
      <c r="AB542" s="132"/>
      <c r="AC542" s="132"/>
      <c r="AD542" s="132"/>
      <c r="AE542" s="132"/>
      <c r="AF542" s="132"/>
      <c r="AG542" s="132"/>
      <c r="AH542" s="132"/>
      <c r="AI542" s="132"/>
      <c r="AJ542" s="132"/>
      <c r="AK542" s="132"/>
      <c r="AL542" s="132"/>
      <c r="AM542" s="132"/>
      <c r="AN542" s="132"/>
      <c r="AO542" s="132"/>
      <c r="AP542" s="130"/>
      <c r="AQ542" s="132"/>
    </row>
    <row r="543" spans="1:43" ht="12.75">
      <c r="A543">
        <v>93</v>
      </c>
      <c r="B543" s="189" t="s">
        <v>1485</v>
      </c>
      <c r="C543" t="s">
        <v>1486</v>
      </c>
      <c r="D543" t="s">
        <v>1487</v>
      </c>
      <c r="E543" t="s">
        <v>1567</v>
      </c>
      <c r="L543"/>
      <c r="N543" s="126"/>
      <c r="Z543"/>
      <c r="AA543" s="286"/>
      <c r="AB543" s="132"/>
      <c r="AC543" s="132"/>
      <c r="AD543" s="132"/>
      <c r="AE543" s="132"/>
      <c r="AF543" s="132"/>
      <c r="AG543" s="132"/>
      <c r="AH543" s="132"/>
      <c r="AI543" s="132"/>
      <c r="AJ543" s="132"/>
      <c r="AK543" s="132"/>
      <c r="AL543" s="132"/>
      <c r="AM543" s="132"/>
      <c r="AN543" s="132"/>
      <c r="AO543" s="132"/>
      <c r="AP543" s="132"/>
      <c r="AQ543" s="132"/>
    </row>
    <row r="544" spans="1:43" ht="12.75">
      <c r="A544">
        <v>93</v>
      </c>
      <c r="B544" s="189" t="s">
        <v>1488</v>
      </c>
      <c r="C544" t="s">
        <v>1489</v>
      </c>
      <c r="D544" t="s">
        <v>1487</v>
      </c>
      <c r="E544" t="s">
        <v>1567</v>
      </c>
      <c r="L544"/>
      <c r="N544" s="126"/>
      <c r="Z544"/>
      <c r="AA544" s="286"/>
      <c r="AB544" s="132"/>
      <c r="AC544" s="132"/>
      <c r="AD544" s="132"/>
      <c r="AE544" s="132"/>
      <c r="AF544" s="132"/>
      <c r="AG544" s="132"/>
      <c r="AH544" s="132"/>
      <c r="AI544" s="132"/>
      <c r="AJ544" s="132"/>
      <c r="AK544" s="132"/>
      <c r="AL544" s="132"/>
      <c r="AM544" s="132"/>
      <c r="AN544" s="132"/>
      <c r="AO544" s="132"/>
      <c r="AP544" s="132"/>
      <c r="AQ544" s="132"/>
    </row>
    <row r="545" spans="1:43" ht="12.75">
      <c r="A545">
        <v>93</v>
      </c>
      <c r="B545" s="189" t="s">
        <v>1490</v>
      </c>
      <c r="C545" t="s">
        <v>1489</v>
      </c>
      <c r="D545" t="s">
        <v>1487</v>
      </c>
      <c r="E545" t="s">
        <v>1567</v>
      </c>
      <c r="L545"/>
      <c r="N545" s="126"/>
      <c r="Z545"/>
      <c r="AA545" s="286"/>
      <c r="AB545" s="132"/>
      <c r="AC545" s="132"/>
      <c r="AD545" s="132"/>
      <c r="AE545" s="132"/>
      <c r="AF545" s="132"/>
      <c r="AG545" s="132"/>
      <c r="AH545" s="132"/>
      <c r="AI545" s="132"/>
      <c r="AJ545" s="132"/>
      <c r="AK545" s="132"/>
      <c r="AL545" s="132"/>
      <c r="AM545" s="132"/>
      <c r="AN545" s="132"/>
      <c r="AO545" s="132"/>
      <c r="AP545" s="132"/>
      <c r="AQ545" s="132"/>
    </row>
    <row r="546" spans="1:43" ht="12.75">
      <c r="A546">
        <v>93</v>
      </c>
      <c r="B546" s="189" t="s">
        <v>1491</v>
      </c>
      <c r="C546" t="s">
        <v>1486</v>
      </c>
      <c r="D546" t="s">
        <v>1475</v>
      </c>
      <c r="E546" t="s">
        <v>1568</v>
      </c>
      <c r="L546"/>
      <c r="N546" s="126"/>
      <c r="Z546"/>
      <c r="AA546" s="286"/>
      <c r="AB546" s="132"/>
      <c r="AC546" s="132"/>
      <c r="AD546" s="132"/>
      <c r="AE546" s="132"/>
      <c r="AF546" s="132"/>
      <c r="AG546" s="132"/>
      <c r="AH546" s="132"/>
      <c r="AI546" s="132"/>
      <c r="AJ546" s="132"/>
      <c r="AK546" s="132"/>
      <c r="AL546" s="132"/>
      <c r="AM546" s="132"/>
      <c r="AN546" s="132"/>
      <c r="AO546" s="132"/>
      <c r="AP546" s="132"/>
      <c r="AQ546" s="132"/>
    </row>
    <row r="547" spans="1:43" ht="12.75">
      <c r="A547">
        <v>93</v>
      </c>
      <c r="B547" s="189">
        <v>24</v>
      </c>
      <c r="C547" t="s">
        <v>1493</v>
      </c>
      <c r="D547" t="s">
        <v>1492</v>
      </c>
      <c r="E547" t="s">
        <v>1475</v>
      </c>
      <c r="L547"/>
      <c r="N547" s="126"/>
      <c r="Z547"/>
      <c r="AA547" s="286"/>
      <c r="AB547" s="132"/>
      <c r="AC547" s="132"/>
      <c r="AD547" s="132"/>
      <c r="AE547" s="132"/>
      <c r="AF547" s="132"/>
      <c r="AG547" s="132"/>
      <c r="AH547" s="132"/>
      <c r="AI547" s="132"/>
      <c r="AJ547" s="132"/>
      <c r="AK547" s="132"/>
      <c r="AL547" s="132"/>
      <c r="AM547" s="132"/>
      <c r="AN547" s="132"/>
      <c r="AO547" s="132"/>
      <c r="AP547" s="132"/>
      <c r="AQ547" s="132"/>
    </row>
    <row r="548" spans="1:43" ht="12.75">
      <c r="A548">
        <v>93</v>
      </c>
      <c r="B548" s="189" t="s">
        <v>1494</v>
      </c>
      <c r="C548" t="s">
        <v>1495</v>
      </c>
      <c r="D548" t="s">
        <v>1487</v>
      </c>
      <c r="E548" t="s">
        <v>1475</v>
      </c>
      <c r="L548"/>
      <c r="N548" s="126"/>
      <c r="Z548"/>
      <c r="AA548" s="286"/>
      <c r="AB548" s="132"/>
      <c r="AC548" s="132"/>
      <c r="AD548" s="132"/>
      <c r="AE548" s="132"/>
      <c r="AF548" s="132"/>
      <c r="AG548" s="132"/>
      <c r="AH548" s="132"/>
      <c r="AI548" s="132"/>
      <c r="AJ548" s="132"/>
      <c r="AK548" s="132"/>
      <c r="AL548" s="132"/>
      <c r="AM548" s="132"/>
      <c r="AN548" s="132"/>
      <c r="AO548" s="132"/>
      <c r="AP548" s="132"/>
      <c r="AQ548" s="132"/>
    </row>
    <row r="549" spans="1:43" ht="12.75">
      <c r="A549">
        <v>93</v>
      </c>
      <c r="B549" s="189" t="s">
        <v>1496</v>
      </c>
      <c r="C549" t="s">
        <v>1497</v>
      </c>
      <c r="D549" t="s">
        <v>1475</v>
      </c>
      <c r="E549" t="s">
        <v>1568</v>
      </c>
      <c r="L549"/>
      <c r="N549" s="126"/>
      <c r="Z549"/>
      <c r="AA549" s="286"/>
      <c r="AB549" s="132"/>
      <c r="AC549" s="132"/>
      <c r="AD549" s="132"/>
      <c r="AE549" s="132"/>
      <c r="AF549" s="132"/>
      <c r="AG549" s="132"/>
      <c r="AH549" s="132"/>
      <c r="AI549" s="132"/>
      <c r="AJ549" s="132"/>
      <c r="AK549" s="132"/>
      <c r="AL549" s="132"/>
      <c r="AM549" s="132"/>
      <c r="AN549" s="132"/>
      <c r="AO549" s="132"/>
      <c r="AP549" s="132"/>
      <c r="AQ549" s="132"/>
    </row>
    <row r="550" spans="1:43" ht="12.75">
      <c r="A550">
        <v>93</v>
      </c>
      <c r="B550" s="189" t="s">
        <v>1498</v>
      </c>
      <c r="C550" t="s">
        <v>1497</v>
      </c>
      <c r="D550" t="s">
        <v>1475</v>
      </c>
      <c r="E550" t="s">
        <v>1567</v>
      </c>
      <c r="L550"/>
      <c r="N550" s="126"/>
      <c r="Z550"/>
      <c r="AA550" s="286"/>
      <c r="AB550" s="132"/>
      <c r="AC550" s="132"/>
      <c r="AD550" s="132"/>
      <c r="AE550" s="132"/>
      <c r="AF550" s="132"/>
      <c r="AG550" s="132"/>
      <c r="AH550" s="132"/>
      <c r="AI550" s="132"/>
      <c r="AJ550" s="132"/>
      <c r="AK550" s="132"/>
      <c r="AL550" s="132"/>
      <c r="AM550" s="132"/>
      <c r="AN550" s="132"/>
      <c r="AO550" s="132"/>
      <c r="AP550" s="132"/>
      <c r="AQ550" s="132"/>
    </row>
    <row r="551" spans="1:43" ht="12.75">
      <c r="A551">
        <v>93</v>
      </c>
      <c r="B551" s="189" t="s">
        <v>1499</v>
      </c>
      <c r="C551" t="s">
        <v>1500</v>
      </c>
      <c r="D551" t="s">
        <v>1475</v>
      </c>
      <c r="E551" t="s">
        <v>1567</v>
      </c>
      <c r="L551"/>
      <c r="N551" s="126"/>
      <c r="Z551"/>
      <c r="AA551" s="286"/>
      <c r="AB551" s="132"/>
      <c r="AC551" s="132"/>
      <c r="AD551" s="132"/>
      <c r="AE551" s="132"/>
      <c r="AF551" s="132"/>
      <c r="AG551" s="132"/>
      <c r="AH551" s="132"/>
      <c r="AI551" s="132"/>
      <c r="AJ551" s="132"/>
      <c r="AK551" s="132"/>
      <c r="AL551" s="132"/>
      <c r="AM551" s="132"/>
      <c r="AN551" s="132"/>
      <c r="AO551" s="132"/>
      <c r="AP551" s="132"/>
      <c r="AQ551" s="132"/>
    </row>
    <row r="552" spans="1:43" ht="12.75">
      <c r="A552">
        <v>93</v>
      </c>
      <c r="B552" s="189" t="s">
        <v>1501</v>
      </c>
      <c r="C552" t="s">
        <v>1502</v>
      </c>
      <c r="D552" t="s">
        <v>1503</v>
      </c>
      <c r="E552" t="s">
        <v>1567</v>
      </c>
      <c r="L552"/>
      <c r="N552" s="126"/>
      <c r="Z552"/>
      <c r="AA552" s="286"/>
      <c r="AB552" s="132"/>
      <c r="AC552" s="132"/>
      <c r="AD552" s="132"/>
      <c r="AE552" s="132"/>
      <c r="AF552" s="132"/>
      <c r="AG552" s="132"/>
      <c r="AH552" s="132"/>
      <c r="AI552" s="132"/>
      <c r="AJ552" s="132"/>
      <c r="AK552" s="132"/>
      <c r="AL552" s="132"/>
      <c r="AM552" s="132"/>
      <c r="AN552" s="132"/>
      <c r="AO552" s="132"/>
      <c r="AP552" s="132"/>
      <c r="AQ552" s="132"/>
    </row>
    <row r="553" spans="1:43" ht="12.75">
      <c r="A553">
        <v>93</v>
      </c>
      <c r="B553" s="189" t="s">
        <v>1504</v>
      </c>
      <c r="C553" t="s">
        <v>1505</v>
      </c>
      <c r="D553" t="s">
        <v>1506</v>
      </c>
      <c r="E553" t="s">
        <v>1568</v>
      </c>
      <c r="L553"/>
      <c r="N553" s="126"/>
      <c r="Z553"/>
      <c r="AA553" s="286"/>
      <c r="AB553" s="132"/>
      <c r="AC553" s="132"/>
      <c r="AD553" s="132"/>
      <c r="AE553" s="132"/>
      <c r="AF553" s="132"/>
      <c r="AG553" s="132"/>
      <c r="AH553" s="132"/>
      <c r="AI553" s="132"/>
      <c r="AJ553" s="132"/>
      <c r="AK553" s="132"/>
      <c r="AL553" s="132"/>
      <c r="AM553" s="132"/>
      <c r="AN553" s="132"/>
      <c r="AO553" s="132"/>
      <c r="AP553" s="132"/>
      <c r="AQ553" s="132"/>
    </row>
    <row r="554" spans="1:43" ht="12.75">
      <c r="A554">
        <v>93</v>
      </c>
      <c r="B554" s="189">
        <v>40</v>
      </c>
      <c r="C554" t="s">
        <v>1507</v>
      </c>
      <c r="D554" t="s">
        <v>1508</v>
      </c>
      <c r="E554" t="s">
        <v>1475</v>
      </c>
      <c r="L554"/>
      <c r="N554" s="126"/>
      <c r="Z554"/>
      <c r="AA554" s="286"/>
      <c r="AB554" s="132"/>
      <c r="AC554" s="132"/>
      <c r="AD554" s="132"/>
      <c r="AE554" s="132"/>
      <c r="AF554" s="132"/>
      <c r="AG554" s="132"/>
      <c r="AH554" s="132"/>
      <c r="AI554" s="132"/>
      <c r="AJ554" s="132"/>
      <c r="AK554" s="132"/>
      <c r="AL554" s="132"/>
      <c r="AM554" s="132"/>
      <c r="AN554" s="132"/>
      <c r="AO554" s="132"/>
      <c r="AP554" s="132"/>
      <c r="AQ554" s="132"/>
    </row>
    <row r="555" spans="1:43" ht="12.75">
      <c r="A555">
        <v>93</v>
      </c>
      <c r="B555" s="189">
        <v>41</v>
      </c>
      <c r="C555" t="s">
        <v>1509</v>
      </c>
      <c r="D555" t="s">
        <v>1510</v>
      </c>
      <c r="E555" t="s">
        <v>1475</v>
      </c>
      <c r="L555"/>
      <c r="N555" s="126"/>
      <c r="Z555"/>
      <c r="AA555" s="286"/>
      <c r="AB555" s="132"/>
      <c r="AC555" s="132"/>
      <c r="AD555" s="132"/>
      <c r="AE555" s="132"/>
      <c r="AF555" s="132"/>
      <c r="AG555" s="132"/>
      <c r="AH555" s="132"/>
      <c r="AI555" s="132"/>
      <c r="AJ555" s="132"/>
      <c r="AK555" s="132"/>
      <c r="AL555" s="132"/>
      <c r="AM555" s="132"/>
      <c r="AN555" s="132"/>
      <c r="AO555" s="132"/>
      <c r="AP555" s="132"/>
      <c r="AQ555" s="132"/>
    </row>
    <row r="556" spans="1:43" ht="12.75">
      <c r="A556">
        <v>93</v>
      </c>
      <c r="B556" s="189" t="s">
        <v>1511</v>
      </c>
      <c r="C556" t="s">
        <v>1509</v>
      </c>
      <c r="D556" t="s">
        <v>1510</v>
      </c>
      <c r="E556" t="s">
        <v>1567</v>
      </c>
      <c r="L556"/>
      <c r="N556" s="126"/>
      <c r="Z556"/>
      <c r="AA556" s="286"/>
      <c r="AB556" s="132"/>
      <c r="AC556" s="132"/>
      <c r="AD556" s="132"/>
      <c r="AE556" s="132"/>
      <c r="AF556" s="132"/>
      <c r="AG556" s="132"/>
      <c r="AH556" s="132"/>
      <c r="AI556" s="132"/>
      <c r="AJ556" s="132"/>
      <c r="AK556" s="132"/>
      <c r="AL556" s="132"/>
      <c r="AM556" s="132"/>
      <c r="AN556" s="132"/>
      <c r="AO556" s="132"/>
      <c r="AP556" s="132"/>
      <c r="AQ556" s="132"/>
    </row>
    <row r="557" spans="1:43" ht="12.75">
      <c r="A557">
        <v>93</v>
      </c>
      <c r="B557" s="189">
        <v>44</v>
      </c>
      <c r="C557" t="s">
        <v>1512</v>
      </c>
      <c r="D557" t="s">
        <v>1503</v>
      </c>
      <c r="E557" t="s">
        <v>1475</v>
      </c>
      <c r="L557"/>
      <c r="N557" s="126"/>
      <c r="Z557"/>
      <c r="AA557" s="286"/>
      <c r="AB557" s="132"/>
      <c r="AC557" s="132"/>
      <c r="AD557" s="132"/>
      <c r="AE557" s="132"/>
      <c r="AF557" s="132"/>
      <c r="AG557" s="132"/>
      <c r="AH557" s="132"/>
      <c r="AI557" s="132"/>
      <c r="AJ557" s="132"/>
      <c r="AK557" s="132"/>
      <c r="AL557" s="132"/>
      <c r="AM557" s="132"/>
      <c r="AN557" s="132"/>
      <c r="AO557" s="132"/>
      <c r="AP557" s="132"/>
      <c r="AQ557" s="132"/>
    </row>
    <row r="558" spans="1:43" ht="12.75">
      <c r="A558">
        <v>93</v>
      </c>
      <c r="B558" s="189" t="s">
        <v>1513</v>
      </c>
      <c r="C558" t="s">
        <v>1514</v>
      </c>
      <c r="D558" t="s">
        <v>1516</v>
      </c>
      <c r="E558" t="s">
        <v>1475</v>
      </c>
      <c r="L558"/>
      <c r="N558" s="126"/>
      <c r="Z558"/>
      <c r="AA558" s="286"/>
      <c r="AB558" s="132"/>
      <c r="AC558" s="132"/>
      <c r="AD558" s="132"/>
      <c r="AE558" s="132"/>
      <c r="AF558" s="132"/>
      <c r="AG558" s="132"/>
      <c r="AH558" s="132"/>
      <c r="AI558" s="132"/>
      <c r="AJ558" s="132"/>
      <c r="AK558" s="132"/>
      <c r="AL558" s="132"/>
      <c r="AM558" s="132"/>
      <c r="AN558" s="132"/>
      <c r="AO558" s="132"/>
      <c r="AP558" s="132"/>
      <c r="AQ558" s="132"/>
    </row>
    <row r="559" spans="1:43" ht="12.75">
      <c r="A559">
        <v>93</v>
      </c>
      <c r="B559" s="189" t="s">
        <v>1517</v>
      </c>
      <c r="C559" t="s">
        <v>1514</v>
      </c>
      <c r="D559" t="s">
        <v>1503</v>
      </c>
      <c r="E559" t="s">
        <v>1567</v>
      </c>
      <c r="L559"/>
      <c r="N559" s="126"/>
      <c r="Z559"/>
      <c r="AA559" s="286"/>
      <c r="AB559" s="132"/>
      <c r="AC559" s="132"/>
      <c r="AD559" s="132"/>
      <c r="AE559" s="132"/>
      <c r="AF559" s="132"/>
      <c r="AG559" s="132"/>
      <c r="AH559" s="132"/>
      <c r="AI559" s="132"/>
      <c r="AJ559" s="132"/>
      <c r="AK559" s="132"/>
      <c r="AL559" s="132"/>
      <c r="AM559" s="132"/>
      <c r="AN559" s="132"/>
      <c r="AO559" s="132"/>
      <c r="AP559" s="132"/>
      <c r="AQ559" s="132"/>
    </row>
    <row r="560" spans="1:43" ht="12.75">
      <c r="A560">
        <v>93</v>
      </c>
      <c r="B560" s="189" t="s">
        <v>1518</v>
      </c>
      <c r="C560" t="s">
        <v>1519</v>
      </c>
      <c r="D560" t="s">
        <v>1503</v>
      </c>
      <c r="E560" t="s">
        <v>1567</v>
      </c>
      <c r="L560"/>
      <c r="N560" s="126"/>
      <c r="Z560"/>
      <c r="AA560" s="286"/>
      <c r="AB560" s="132"/>
      <c r="AC560" s="132"/>
      <c r="AD560" s="132"/>
      <c r="AE560" s="132"/>
      <c r="AF560" s="132"/>
      <c r="AG560" s="132"/>
      <c r="AH560" s="132"/>
      <c r="AI560" s="132"/>
      <c r="AJ560" s="132"/>
      <c r="AK560" s="132"/>
      <c r="AL560" s="132"/>
      <c r="AM560" s="132"/>
      <c r="AN560" s="132"/>
      <c r="AO560" s="132"/>
      <c r="AP560" s="132"/>
      <c r="AQ560" s="132"/>
    </row>
    <row r="561" spans="1:43" ht="12.75">
      <c r="A561">
        <v>93</v>
      </c>
      <c r="B561" s="189" t="s">
        <v>1520</v>
      </c>
      <c r="C561" t="s">
        <v>1521</v>
      </c>
      <c r="D561" t="s">
        <v>1503</v>
      </c>
      <c r="E561" t="s">
        <v>1475</v>
      </c>
      <c r="L561"/>
      <c r="N561" s="126"/>
      <c r="Z561"/>
      <c r="AA561" s="286"/>
      <c r="AB561" s="132"/>
      <c r="AC561" s="132"/>
      <c r="AD561" s="132"/>
      <c r="AE561" s="132"/>
      <c r="AF561" s="132"/>
      <c r="AG561" s="132"/>
      <c r="AH561" s="132"/>
      <c r="AI561" s="132"/>
      <c r="AJ561" s="132"/>
      <c r="AK561" s="132"/>
      <c r="AL561" s="132"/>
      <c r="AM561" s="132"/>
      <c r="AN561" s="132"/>
      <c r="AO561" s="132"/>
      <c r="AP561" s="132"/>
      <c r="AQ561" s="132"/>
    </row>
    <row r="562" spans="1:43" ht="12.75">
      <c r="A562">
        <v>93</v>
      </c>
      <c r="B562" s="189" t="s">
        <v>1522</v>
      </c>
      <c r="C562" t="s">
        <v>1521</v>
      </c>
      <c r="D562" t="s">
        <v>1503</v>
      </c>
      <c r="E562" t="s">
        <v>1567</v>
      </c>
      <c r="L562"/>
      <c r="N562" s="126"/>
      <c r="Z562"/>
      <c r="AA562" s="286"/>
      <c r="AB562" s="132"/>
      <c r="AC562" s="132"/>
      <c r="AD562" s="132"/>
      <c r="AE562" s="132"/>
      <c r="AF562" s="132"/>
      <c r="AG562" s="132"/>
      <c r="AH562" s="132"/>
      <c r="AI562" s="132"/>
      <c r="AJ562" s="132"/>
      <c r="AK562" s="132"/>
      <c r="AL562" s="132"/>
      <c r="AM562" s="132"/>
      <c r="AN562" s="132"/>
      <c r="AO562" s="132"/>
      <c r="AP562" s="132"/>
      <c r="AQ562" s="132"/>
    </row>
    <row r="563" spans="1:43" ht="12.75">
      <c r="A563">
        <v>93</v>
      </c>
      <c r="B563" s="189">
        <v>49</v>
      </c>
      <c r="C563" t="s">
        <v>1523</v>
      </c>
      <c r="D563" t="s">
        <v>1492</v>
      </c>
      <c r="E563" t="s">
        <v>1475</v>
      </c>
      <c r="L563"/>
      <c r="N563" s="126"/>
      <c r="Z563"/>
      <c r="AA563" s="286"/>
      <c r="AB563" s="132"/>
      <c r="AC563" s="132"/>
      <c r="AD563" s="132"/>
      <c r="AE563" s="132"/>
      <c r="AF563" s="132"/>
      <c r="AG563" s="132"/>
      <c r="AH563" s="132"/>
      <c r="AI563" s="132"/>
      <c r="AJ563" s="132"/>
      <c r="AK563" s="132"/>
      <c r="AL563" s="132"/>
      <c r="AM563" s="132"/>
      <c r="AN563" s="132"/>
      <c r="AO563" s="132"/>
      <c r="AP563" s="132"/>
      <c r="AQ563" s="132"/>
    </row>
    <row r="564" spans="1:43" ht="12.75">
      <c r="A564">
        <v>93</v>
      </c>
      <c r="B564" s="189">
        <v>50</v>
      </c>
      <c r="C564" t="s">
        <v>1524</v>
      </c>
      <c r="D564" t="s">
        <v>1508</v>
      </c>
      <c r="E564" t="s">
        <v>1475</v>
      </c>
      <c r="L564"/>
      <c r="N564" s="126"/>
      <c r="Z564"/>
      <c r="AA564" s="286"/>
      <c r="AB564" s="132"/>
      <c r="AC564" s="132"/>
      <c r="AD564" s="132"/>
      <c r="AE564" s="132"/>
      <c r="AF564" s="132"/>
      <c r="AG564" s="132"/>
      <c r="AH564" s="132"/>
      <c r="AI564" s="132"/>
      <c r="AJ564" s="132"/>
      <c r="AK564" s="132"/>
      <c r="AL564" s="132"/>
      <c r="AM564" s="132"/>
      <c r="AN564" s="132"/>
      <c r="AO564" s="132"/>
      <c r="AP564" s="132"/>
      <c r="AQ564" s="132"/>
    </row>
    <row r="565" spans="1:43" ht="12.75">
      <c r="A565">
        <v>93</v>
      </c>
      <c r="B565" s="189">
        <v>51</v>
      </c>
      <c r="C565" t="s">
        <v>1525</v>
      </c>
      <c r="D565" t="s">
        <v>1474</v>
      </c>
      <c r="E565" t="s">
        <v>1475</v>
      </c>
      <c r="L565"/>
      <c r="N565" s="126"/>
      <c r="Z565"/>
      <c r="AA565" s="286"/>
      <c r="AB565" s="132"/>
      <c r="AC565" s="132"/>
      <c r="AD565" s="132"/>
      <c r="AE565" s="132"/>
      <c r="AF565" s="132"/>
      <c r="AG565" s="132"/>
      <c r="AH565" s="132"/>
      <c r="AI565" s="132"/>
      <c r="AJ565" s="132"/>
      <c r="AK565" s="132"/>
      <c r="AL565" s="132"/>
      <c r="AM565" s="132"/>
      <c r="AN565" s="132"/>
      <c r="AO565" s="132"/>
      <c r="AP565" s="132"/>
      <c r="AQ565" s="132"/>
    </row>
    <row r="566" spans="1:43" ht="12.75">
      <c r="A566">
        <v>93</v>
      </c>
      <c r="B566" s="189">
        <v>52</v>
      </c>
      <c r="C566" t="s">
        <v>1526</v>
      </c>
      <c r="D566" t="s">
        <v>1516</v>
      </c>
      <c r="E566" t="s">
        <v>1475</v>
      </c>
      <c r="L566"/>
      <c r="N566" s="126"/>
      <c r="Z566"/>
      <c r="AA566" s="286"/>
      <c r="AB566" s="132"/>
      <c r="AC566" s="132"/>
      <c r="AD566" s="132"/>
      <c r="AE566" s="132"/>
      <c r="AF566" s="132"/>
      <c r="AG566" s="132"/>
      <c r="AH566" s="132"/>
      <c r="AI566" s="132"/>
      <c r="AJ566" s="132"/>
      <c r="AK566" s="132"/>
      <c r="AL566" s="132"/>
      <c r="AM566" s="132"/>
      <c r="AN566" s="132"/>
      <c r="AO566" s="132"/>
      <c r="AP566" s="132"/>
      <c r="AQ566" s="132"/>
    </row>
    <row r="567" spans="1:43" ht="12.75">
      <c r="A567">
        <v>93</v>
      </c>
      <c r="B567" s="189" t="s">
        <v>1527</v>
      </c>
      <c r="C567" t="s">
        <v>1528</v>
      </c>
      <c r="D567" t="s">
        <v>1516</v>
      </c>
      <c r="E567" t="s">
        <v>1475</v>
      </c>
      <c r="L567"/>
      <c r="N567" s="126"/>
      <c r="Z567"/>
      <c r="AA567" s="286"/>
      <c r="AB567" s="132"/>
      <c r="AC567" s="132"/>
      <c r="AD567" s="132"/>
      <c r="AE567" s="132"/>
      <c r="AF567" s="132"/>
      <c r="AG567" s="132"/>
      <c r="AH567" s="132"/>
      <c r="AI567" s="132"/>
      <c r="AJ567" s="132"/>
      <c r="AK567" s="132"/>
      <c r="AL567" s="132"/>
      <c r="AM567" s="132"/>
      <c r="AN567" s="132"/>
      <c r="AO567" s="132"/>
      <c r="AP567" s="132"/>
      <c r="AQ567" s="132"/>
    </row>
    <row r="568" spans="1:43" ht="12.75">
      <c r="A568">
        <v>93</v>
      </c>
      <c r="B568" s="189">
        <v>55</v>
      </c>
      <c r="C568" t="s">
        <v>837</v>
      </c>
      <c r="D568" t="s">
        <v>1503</v>
      </c>
      <c r="E568" t="s">
        <v>1475</v>
      </c>
      <c r="L568"/>
      <c r="N568" s="126"/>
      <c r="Z568"/>
      <c r="AA568" s="286"/>
      <c r="AB568" s="132"/>
      <c r="AC568" s="132"/>
      <c r="AD568" s="132"/>
      <c r="AE568" s="132"/>
      <c r="AF568" s="132"/>
      <c r="AG568" s="132"/>
      <c r="AH568" s="132"/>
      <c r="AI568" s="132"/>
      <c r="AJ568" s="132"/>
      <c r="AK568" s="132"/>
      <c r="AL568" s="132"/>
      <c r="AM568" s="132"/>
      <c r="AN568" s="132"/>
      <c r="AO568" s="132"/>
      <c r="AP568" s="132"/>
      <c r="AQ568" s="132"/>
    </row>
    <row r="569" spans="1:43" ht="12.75">
      <c r="A569">
        <v>93</v>
      </c>
      <c r="B569" s="189">
        <v>56</v>
      </c>
      <c r="C569" t="s">
        <v>1529</v>
      </c>
      <c r="D569" t="s">
        <v>1492</v>
      </c>
      <c r="E569" t="s">
        <v>1475</v>
      </c>
      <c r="L569"/>
      <c r="N569" s="126"/>
      <c r="Z569"/>
      <c r="AA569" s="286"/>
      <c r="AB569" s="132"/>
      <c r="AC569" s="132"/>
      <c r="AD569" s="132"/>
      <c r="AE569" s="132"/>
      <c r="AF569" s="132"/>
      <c r="AG569" s="132"/>
      <c r="AH569" s="132"/>
      <c r="AI569" s="132"/>
      <c r="AJ569" s="132"/>
      <c r="AK569" s="132"/>
      <c r="AL569" s="132"/>
      <c r="AM569" s="132"/>
      <c r="AN569" s="132"/>
      <c r="AO569" s="132"/>
      <c r="AP569" s="132"/>
      <c r="AQ569" s="132"/>
    </row>
    <row r="570" spans="1:27" ht="12.75">
      <c r="A570">
        <v>93</v>
      </c>
      <c r="B570" s="189" t="s">
        <v>1530</v>
      </c>
      <c r="C570" t="s">
        <v>1531</v>
      </c>
      <c r="D570" t="s">
        <v>1492</v>
      </c>
      <c r="E570" t="s">
        <v>1567</v>
      </c>
      <c r="L570"/>
      <c r="N570" s="126"/>
      <c r="Z570"/>
      <c r="AA570" s="286"/>
    </row>
    <row r="571" spans="1:27" ht="12.75">
      <c r="A571">
        <v>93</v>
      </c>
      <c r="B571" s="189" t="s">
        <v>1532</v>
      </c>
      <c r="C571" t="s">
        <v>1531</v>
      </c>
      <c r="D571" t="s">
        <v>1475</v>
      </c>
      <c r="E571" t="s">
        <v>1567</v>
      </c>
      <c r="L571"/>
      <c r="N571" s="126"/>
      <c r="Z571"/>
      <c r="AA571" s="286"/>
    </row>
    <row r="572" spans="1:27" ht="12.75">
      <c r="A572">
        <v>93</v>
      </c>
      <c r="B572" s="189" t="s">
        <v>1533</v>
      </c>
      <c r="C572" t="s">
        <v>1534</v>
      </c>
      <c r="D572" t="s">
        <v>1492</v>
      </c>
      <c r="E572" t="s">
        <v>1567</v>
      </c>
      <c r="L572"/>
      <c r="N572" s="126"/>
      <c r="Z572"/>
      <c r="AA572" s="286"/>
    </row>
    <row r="573" spans="1:27" ht="12.75">
      <c r="A573">
        <v>93</v>
      </c>
      <c r="B573" s="189" t="s">
        <v>1535</v>
      </c>
      <c r="C573" t="s">
        <v>1536</v>
      </c>
      <c r="D573" t="s">
        <v>1538</v>
      </c>
      <c r="E573" t="s">
        <v>1567</v>
      </c>
      <c r="L573"/>
      <c r="N573" s="126"/>
      <c r="Z573"/>
      <c r="AA573" s="286"/>
    </row>
    <row r="574" spans="1:27" ht="12.75">
      <c r="A574">
        <v>93</v>
      </c>
      <c r="B574" s="189">
        <v>60</v>
      </c>
      <c r="C574" t="s">
        <v>1537</v>
      </c>
      <c r="D574" t="s">
        <v>1492</v>
      </c>
      <c r="E574" t="s">
        <v>1475</v>
      </c>
      <c r="L574"/>
      <c r="N574" s="126"/>
      <c r="Z574"/>
      <c r="AA574" s="286"/>
    </row>
    <row r="575" spans="1:27" ht="12.75">
      <c r="A575">
        <v>93</v>
      </c>
      <c r="B575" s="189" t="s">
        <v>1539</v>
      </c>
      <c r="C575" t="s">
        <v>1540</v>
      </c>
      <c r="D575" t="s">
        <v>1492</v>
      </c>
      <c r="E575" t="s">
        <v>1567</v>
      </c>
      <c r="L575"/>
      <c r="N575" s="126"/>
      <c r="Z575"/>
      <c r="AA575" s="286"/>
    </row>
    <row r="576" spans="1:27" ht="12.75">
      <c r="A576">
        <v>93</v>
      </c>
      <c r="B576" s="189">
        <v>62</v>
      </c>
      <c r="C576" t="s">
        <v>1541</v>
      </c>
      <c r="D576" t="s">
        <v>1492</v>
      </c>
      <c r="E576" t="s">
        <v>1475</v>
      </c>
      <c r="L576"/>
      <c r="N576" s="126"/>
      <c r="Z576"/>
      <c r="AA576" s="286"/>
    </row>
    <row r="577" spans="1:27" ht="12.75">
      <c r="A577">
        <v>93</v>
      </c>
      <c r="B577" s="189" t="s">
        <v>1542</v>
      </c>
      <c r="C577" t="s">
        <v>1543</v>
      </c>
      <c r="D577" t="s">
        <v>1487</v>
      </c>
      <c r="E577" t="s">
        <v>1567</v>
      </c>
      <c r="L577"/>
      <c r="N577" s="126"/>
      <c r="Z577"/>
      <c r="AA577" s="286"/>
    </row>
    <row r="578" spans="1:27" ht="12.75">
      <c r="A578">
        <v>93</v>
      </c>
      <c r="B578" s="189">
        <v>63</v>
      </c>
      <c r="C578" t="s">
        <v>1544</v>
      </c>
      <c r="D578" t="s">
        <v>1492</v>
      </c>
      <c r="E578" t="s">
        <v>1475</v>
      </c>
      <c r="L578"/>
      <c r="N578" s="126"/>
      <c r="Z578"/>
      <c r="AA578" s="286"/>
    </row>
    <row r="579" spans="1:27" ht="12.75">
      <c r="A579">
        <v>93</v>
      </c>
      <c r="B579" s="189">
        <v>64</v>
      </c>
      <c r="C579" t="s">
        <v>1545</v>
      </c>
      <c r="D579" t="s">
        <v>1492</v>
      </c>
      <c r="E579" t="s">
        <v>1475</v>
      </c>
      <c r="L579"/>
      <c r="N579" s="126"/>
      <c r="Z579"/>
      <c r="AA579" s="286"/>
    </row>
    <row r="580" spans="1:27" ht="12.75">
      <c r="A580">
        <v>93</v>
      </c>
      <c r="B580" s="189">
        <v>66</v>
      </c>
      <c r="C580" t="s">
        <v>1546</v>
      </c>
      <c r="D580" t="s">
        <v>1474</v>
      </c>
      <c r="E580" t="s">
        <v>1475</v>
      </c>
      <c r="L580"/>
      <c r="N580" s="126"/>
      <c r="Z580"/>
      <c r="AA580" s="286"/>
    </row>
    <row r="581" spans="1:27" ht="12.75">
      <c r="A581">
        <v>93</v>
      </c>
      <c r="B581" s="189">
        <v>70</v>
      </c>
      <c r="C581" t="s">
        <v>1547</v>
      </c>
      <c r="D581" t="s">
        <v>1474</v>
      </c>
      <c r="E581" t="s">
        <v>1475</v>
      </c>
      <c r="L581"/>
      <c r="N581" s="126"/>
      <c r="Z581"/>
      <c r="AA581" s="286"/>
    </row>
    <row r="582" spans="1:27" ht="12.75">
      <c r="A582">
        <v>93</v>
      </c>
      <c r="B582" s="189">
        <v>72</v>
      </c>
      <c r="C582" t="s">
        <v>1548</v>
      </c>
      <c r="D582" t="s">
        <v>1508</v>
      </c>
      <c r="E582" t="s">
        <v>1549</v>
      </c>
      <c r="L582"/>
      <c r="N582" s="126"/>
      <c r="Z582"/>
      <c r="AA582" s="286"/>
    </row>
    <row r="583" spans="1:27" ht="12.75">
      <c r="A583">
        <v>93</v>
      </c>
      <c r="B583" s="189">
        <v>73</v>
      </c>
      <c r="C583" t="s">
        <v>1550</v>
      </c>
      <c r="D583" t="s">
        <v>1492</v>
      </c>
      <c r="E583" t="s">
        <v>1475</v>
      </c>
      <c r="L583"/>
      <c r="N583" s="126"/>
      <c r="Z583"/>
      <c r="AA583" s="286"/>
    </row>
    <row r="584" spans="1:27" ht="12.75">
      <c r="A584">
        <v>93</v>
      </c>
      <c r="B584" s="189" t="s">
        <v>1551</v>
      </c>
      <c r="C584" t="s">
        <v>1552</v>
      </c>
      <c r="D584" t="s">
        <v>1487</v>
      </c>
      <c r="E584" t="s">
        <v>1567</v>
      </c>
      <c r="L584"/>
      <c r="N584" s="126"/>
      <c r="Z584"/>
      <c r="AA584" s="286"/>
    </row>
    <row r="585" spans="1:27" ht="12.75">
      <c r="A585">
        <v>93</v>
      </c>
      <c r="B585" s="189">
        <v>74</v>
      </c>
      <c r="C585" t="s">
        <v>1553</v>
      </c>
      <c r="D585" t="s">
        <v>1492</v>
      </c>
      <c r="E585" t="s">
        <v>1475</v>
      </c>
      <c r="L585"/>
      <c r="N585" s="126"/>
      <c r="Z585"/>
      <c r="AA585" s="286"/>
    </row>
    <row r="586" spans="1:27" ht="12.75">
      <c r="A586">
        <v>93</v>
      </c>
      <c r="B586" s="189">
        <v>76</v>
      </c>
      <c r="C586" t="s">
        <v>1554</v>
      </c>
      <c r="D586" t="s">
        <v>1474</v>
      </c>
      <c r="E586" t="s">
        <v>1475</v>
      </c>
      <c r="L586"/>
      <c r="N586" s="126"/>
      <c r="Z586"/>
      <c r="AA586" s="286"/>
    </row>
    <row r="587" spans="1:27" ht="12.75">
      <c r="A587">
        <v>93</v>
      </c>
      <c r="B587" s="189">
        <v>77</v>
      </c>
      <c r="C587" t="s">
        <v>1547</v>
      </c>
      <c r="D587" t="s">
        <v>1474</v>
      </c>
      <c r="E587" t="s">
        <v>1475</v>
      </c>
      <c r="L587"/>
      <c r="N587" s="126"/>
      <c r="Z587"/>
      <c r="AA587" s="286"/>
    </row>
    <row r="588" spans="1:27" ht="12.75">
      <c r="A588">
        <v>93</v>
      </c>
      <c r="B588" s="189" t="s">
        <v>1555</v>
      </c>
      <c r="C588" t="s">
        <v>1556</v>
      </c>
      <c r="D588" t="s">
        <v>1475</v>
      </c>
      <c r="E588" t="s">
        <v>1567</v>
      </c>
      <c r="L588"/>
      <c r="N588" s="126"/>
      <c r="Z588"/>
      <c r="AA588" s="286"/>
    </row>
    <row r="589" spans="1:27" ht="12.75">
      <c r="A589">
        <v>93</v>
      </c>
      <c r="B589" s="189" t="s">
        <v>1557</v>
      </c>
      <c r="C589" t="s">
        <v>1558</v>
      </c>
      <c r="D589" t="s">
        <v>1474</v>
      </c>
      <c r="E589" t="s">
        <v>1567</v>
      </c>
      <c r="L589"/>
      <c r="N589" s="126"/>
      <c r="Z589"/>
      <c r="AA589" s="286"/>
    </row>
    <row r="590" spans="1:27" ht="12.75">
      <c r="A590">
        <v>93</v>
      </c>
      <c r="B590" s="189">
        <v>90</v>
      </c>
      <c r="C590" t="s">
        <v>1559</v>
      </c>
      <c r="D590" t="s">
        <v>1474</v>
      </c>
      <c r="E590" t="s">
        <v>1549</v>
      </c>
      <c r="L590"/>
      <c r="N590" s="126"/>
      <c r="Z590"/>
      <c r="AA590" s="286"/>
    </row>
    <row r="591" spans="1:27" ht="12.75">
      <c r="A591">
        <v>93</v>
      </c>
      <c r="B591" s="189">
        <v>92</v>
      </c>
      <c r="C591" t="s">
        <v>1562</v>
      </c>
      <c r="D591" t="s">
        <v>1492</v>
      </c>
      <c r="E591" t="s">
        <v>1561</v>
      </c>
      <c r="L591"/>
      <c r="N591" s="126"/>
      <c r="Z591"/>
      <c r="AA591" s="286"/>
    </row>
    <row r="592" spans="1:27" ht="12.75">
      <c r="A592">
        <v>93</v>
      </c>
      <c r="B592" s="189">
        <v>93</v>
      </c>
      <c r="C592" t="s">
        <v>1560</v>
      </c>
      <c r="D592" t="s">
        <v>1492</v>
      </c>
      <c r="E592" t="s">
        <v>1475</v>
      </c>
      <c r="L592"/>
      <c r="N592" s="126"/>
      <c r="Z592"/>
      <c r="AA592" s="286"/>
    </row>
    <row r="593" spans="1:27" ht="12.75">
      <c r="A593">
        <v>93</v>
      </c>
      <c r="B593" s="189">
        <v>94</v>
      </c>
      <c r="C593" t="s">
        <v>1563</v>
      </c>
      <c r="D593" t="s">
        <v>1475</v>
      </c>
      <c r="E593" t="s">
        <v>1475</v>
      </c>
      <c r="L593"/>
      <c r="N593" s="126"/>
      <c r="Z593"/>
      <c r="AA593" s="286"/>
    </row>
    <row r="594" spans="1:27" ht="12.75">
      <c r="A594">
        <v>93</v>
      </c>
      <c r="B594" s="189" t="s">
        <v>1564</v>
      </c>
      <c r="C594" t="s">
        <v>1563</v>
      </c>
      <c r="D594" t="s">
        <v>1475</v>
      </c>
      <c r="E594" t="s">
        <v>1567</v>
      </c>
      <c r="L594"/>
      <c r="N594" s="126"/>
      <c r="Z594"/>
      <c r="AA594" s="286"/>
    </row>
    <row r="595" spans="1:27" ht="12.75">
      <c r="A595">
        <v>93</v>
      </c>
      <c r="B595" s="189">
        <v>100</v>
      </c>
      <c r="C595" t="s">
        <v>1565</v>
      </c>
      <c r="D595" t="s">
        <v>1503</v>
      </c>
      <c r="E595" t="s">
        <v>1567</v>
      </c>
      <c r="L595"/>
      <c r="N595" s="126"/>
      <c r="Z595"/>
      <c r="AA595" s="286"/>
    </row>
    <row r="596" spans="1:27" ht="12.75">
      <c r="A596">
        <v>93</v>
      </c>
      <c r="B596" s="189">
        <v>2163</v>
      </c>
      <c r="C596" t="s">
        <v>1473</v>
      </c>
      <c r="D596" t="s">
        <v>1474</v>
      </c>
      <c r="E596" t="s">
        <v>1475</v>
      </c>
      <c r="L596"/>
      <c r="N596" s="126"/>
      <c r="Z596"/>
      <c r="AA596" s="286"/>
    </row>
    <row r="597" spans="2:27" ht="12.75">
      <c r="B597" s="189"/>
      <c r="L597"/>
      <c r="N597" s="126"/>
      <c r="Z597"/>
      <c r="AA597" s="286"/>
    </row>
    <row r="598" spans="12:27" ht="12.75">
      <c r="L598"/>
      <c r="N598" s="126"/>
      <c r="Z598"/>
      <c r="AA598" s="286"/>
    </row>
    <row r="599" spans="12:27" ht="12.75">
      <c r="L599"/>
      <c r="N599" s="126"/>
      <c r="Z599"/>
      <c r="AA599" s="286"/>
    </row>
    <row r="600" spans="12:27" ht="12.75">
      <c r="L600"/>
      <c r="N600" s="126"/>
      <c r="Z600"/>
      <c r="AA600" s="286"/>
    </row>
    <row r="601" spans="12:27" ht="12.75">
      <c r="L601"/>
      <c r="N601" s="126"/>
      <c r="Z601"/>
      <c r="AA601" s="286"/>
    </row>
    <row r="602" spans="12:27" ht="12.75">
      <c r="L602"/>
      <c r="N602" s="126"/>
      <c r="Z602"/>
      <c r="AA602" s="286"/>
    </row>
    <row r="603" spans="12:27" ht="12.75">
      <c r="L603"/>
      <c r="N603" s="126"/>
      <c r="Z603"/>
      <c r="AA603" s="286"/>
    </row>
    <row r="604" spans="12:27" ht="12.75">
      <c r="L604"/>
      <c r="N604" s="126"/>
      <c r="Z604"/>
      <c r="AA604" s="286"/>
    </row>
  </sheetData>
  <sheetProtection sheet="1" objects="1" scenarios="1"/>
  <mergeCells count="284">
    <mergeCell ref="G78:H78"/>
    <mergeCell ref="D99:E99"/>
    <mergeCell ref="G79:H79"/>
    <mergeCell ref="N244:Q244"/>
    <mergeCell ref="G211:H211"/>
    <mergeCell ref="Q211:R211"/>
    <mergeCell ref="L218:T220"/>
    <mergeCell ref="B218:J220"/>
    <mergeCell ref="B202:E202"/>
    <mergeCell ref="L202:O202"/>
    <mergeCell ref="B69:I69"/>
    <mergeCell ref="L78:M78"/>
    <mergeCell ref="L79:M80"/>
    <mergeCell ref="O78:P78"/>
    <mergeCell ref="O79:P80"/>
    <mergeCell ref="B70:C71"/>
    <mergeCell ref="B72:C72"/>
    <mergeCell ref="H70:I71"/>
    <mergeCell ref="L73:M74"/>
    <mergeCell ref="O73:P74"/>
    <mergeCell ref="B237:C238"/>
    <mergeCell ref="D237:F238"/>
    <mergeCell ref="C240:F240"/>
    <mergeCell ref="D243:G243"/>
    <mergeCell ref="L265:O265"/>
    <mergeCell ref="Q273:R273"/>
    <mergeCell ref="G273:H273"/>
    <mergeCell ref="L235:M236"/>
    <mergeCell ref="L237:M238"/>
    <mergeCell ref="N237:P238"/>
    <mergeCell ref="M240:P240"/>
    <mergeCell ref="P258:Q258"/>
    <mergeCell ref="N243:Q243"/>
    <mergeCell ref="L270:P270"/>
    <mergeCell ref="B235:C236"/>
    <mergeCell ref="D235:D236"/>
    <mergeCell ref="B226:T227"/>
    <mergeCell ref="H230:J230"/>
    <mergeCell ref="R230:T230"/>
    <mergeCell ref="N235:N236"/>
    <mergeCell ref="B203:E203"/>
    <mergeCell ref="L203:O203"/>
    <mergeCell ref="L135:N135"/>
    <mergeCell ref="L137:Q137"/>
    <mergeCell ref="B164:T165"/>
    <mergeCell ref="B173:C174"/>
    <mergeCell ref="D173:D174"/>
    <mergeCell ref="L173:M174"/>
    <mergeCell ref="N173:N174"/>
    <mergeCell ref="R168:T168"/>
    <mergeCell ref="B103:T104"/>
    <mergeCell ref="Q150:R150"/>
    <mergeCell ref="L141:O141"/>
    <mergeCell ref="L150:O150"/>
    <mergeCell ref="L142:O142"/>
    <mergeCell ref="B140:E140"/>
    <mergeCell ref="D112:D113"/>
    <mergeCell ref="B112:C113"/>
    <mergeCell ref="B114:C115"/>
    <mergeCell ref="D114:F115"/>
    <mergeCell ref="L201:O201"/>
    <mergeCell ref="N182:Q182"/>
    <mergeCell ref="P196:Q196"/>
    <mergeCell ref="L199:O199"/>
    <mergeCell ref="L152:T153"/>
    <mergeCell ref="L139:O139"/>
    <mergeCell ref="L196:N196"/>
    <mergeCell ref="B137:G137"/>
    <mergeCell ref="B175:C176"/>
    <mergeCell ref="D175:F176"/>
    <mergeCell ref="L175:M176"/>
    <mergeCell ref="N175:P176"/>
    <mergeCell ref="B152:J153"/>
    <mergeCell ref="B141:E141"/>
    <mergeCell ref="S96:T97"/>
    <mergeCell ref="Q85:Q86"/>
    <mergeCell ref="R85:S86"/>
    <mergeCell ref="D120:G120"/>
    <mergeCell ref="D98:E98"/>
    <mergeCell ref="L114:M115"/>
    <mergeCell ref="N114:P115"/>
    <mergeCell ref="M117:P117"/>
    <mergeCell ref="C94:H94"/>
    <mergeCell ref="B101:T102"/>
    <mergeCell ref="J58:J61"/>
    <mergeCell ref="M86:N86"/>
    <mergeCell ref="C35:T36"/>
    <mergeCell ref="B31:B32"/>
    <mergeCell ref="B42:T45"/>
    <mergeCell ref="J56:J57"/>
    <mergeCell ref="C31:T32"/>
    <mergeCell ref="C33:T34"/>
    <mergeCell ref="C80:F80"/>
    <mergeCell ref="G77:H77"/>
    <mergeCell ref="M85:N85"/>
    <mergeCell ref="H84:I85"/>
    <mergeCell ref="B89:C90"/>
    <mergeCell ref="B91:C91"/>
    <mergeCell ref="C1:E1"/>
    <mergeCell ref="C2:D2"/>
    <mergeCell ref="O2:Q2"/>
    <mergeCell ref="B8:C8"/>
    <mergeCell ref="J4:T5"/>
    <mergeCell ref="J6:K6"/>
    <mergeCell ref="S6:T6"/>
    <mergeCell ref="B6:C6"/>
    <mergeCell ref="F4:H5"/>
    <mergeCell ref="I1:L1"/>
    <mergeCell ref="B9:C9"/>
    <mergeCell ref="B50:T51"/>
    <mergeCell ref="B16:B19"/>
    <mergeCell ref="J9:T10"/>
    <mergeCell ref="B12:C12"/>
    <mergeCell ref="P13:T13"/>
    <mergeCell ref="P12:T12"/>
    <mergeCell ref="P29:T29"/>
    <mergeCell ref="B29:E29"/>
    <mergeCell ref="B14:H15"/>
    <mergeCell ref="B10:C10"/>
    <mergeCell ref="B11:C11"/>
    <mergeCell ref="K56:Q57"/>
    <mergeCell ref="B33:B34"/>
    <mergeCell ref="B35:B36"/>
    <mergeCell ref="F29:G29"/>
    <mergeCell ref="N29:O29"/>
    <mergeCell ref="B30:S30"/>
    <mergeCell ref="J14:O15"/>
    <mergeCell ref="A54:T55"/>
    <mergeCell ref="J20:M23"/>
    <mergeCell ref="N20:T25"/>
    <mergeCell ref="J24:M25"/>
    <mergeCell ref="T85:T86"/>
    <mergeCell ref="B38:T38"/>
    <mergeCell ref="A52:T53"/>
    <mergeCell ref="D79:E79"/>
    <mergeCell ref="D78:E78"/>
    <mergeCell ref="B82:T83"/>
    <mergeCell ref="G80:H80"/>
    <mergeCell ref="B196:D196"/>
    <mergeCell ref="D181:G181"/>
    <mergeCell ref="L154:T155"/>
    <mergeCell ref="L157:T159"/>
    <mergeCell ref="C178:F178"/>
    <mergeCell ref="H168:J168"/>
    <mergeCell ref="B154:J155"/>
    <mergeCell ref="B157:J159"/>
    <mergeCell ref="P11:T11"/>
    <mergeCell ref="P14:T15"/>
    <mergeCell ref="J11:O11"/>
    <mergeCell ref="Q6:R6"/>
    <mergeCell ref="Q7:R7"/>
    <mergeCell ref="S7:T7"/>
    <mergeCell ref="J12:O12"/>
    <mergeCell ref="J13:O13"/>
    <mergeCell ref="B4:E5"/>
    <mergeCell ref="L6:P6"/>
    <mergeCell ref="L7:P7"/>
    <mergeCell ref="J7:K7"/>
    <mergeCell ref="B7:C7"/>
    <mergeCell ref="D16:D17"/>
    <mergeCell ref="P16:T16"/>
    <mergeCell ref="J16:O16"/>
    <mergeCell ref="R18:T18"/>
    <mergeCell ref="J17:T17"/>
    <mergeCell ref="J18:L18"/>
    <mergeCell ref="M18:N18"/>
    <mergeCell ref="O18:Q18"/>
    <mergeCell ref="E16:H16"/>
    <mergeCell ref="H56:H57"/>
    <mergeCell ref="B27:T28"/>
    <mergeCell ref="B39:T40"/>
    <mergeCell ref="H29:L29"/>
    <mergeCell ref="F56:G57"/>
    <mergeCell ref="B41:E41"/>
    <mergeCell ref="E56:E57"/>
    <mergeCell ref="I56:I57"/>
    <mergeCell ref="F95:F96"/>
    <mergeCell ref="H86:I87"/>
    <mergeCell ref="K85:L86"/>
    <mergeCell ref="C95:E96"/>
    <mergeCell ref="B92:C92"/>
    <mergeCell ref="L140:O140"/>
    <mergeCell ref="N121:Q121"/>
    <mergeCell ref="R107:T107"/>
    <mergeCell ref="N120:Q120"/>
    <mergeCell ref="L112:M113"/>
    <mergeCell ref="N112:N113"/>
    <mergeCell ref="O1:P1"/>
    <mergeCell ref="G100:H100"/>
    <mergeCell ref="G95:H96"/>
    <mergeCell ref="C84:G85"/>
    <mergeCell ref="D77:E77"/>
    <mergeCell ref="K58:Q61"/>
    <mergeCell ref="M96:N97"/>
    <mergeCell ref="D97:E97"/>
    <mergeCell ref="M95:N95"/>
    <mergeCell ref="C86:G87"/>
    <mergeCell ref="D121:G121"/>
    <mergeCell ref="B201:E201"/>
    <mergeCell ref="B199:E199"/>
    <mergeCell ref="L262:O262"/>
    <mergeCell ref="L258:N258"/>
    <mergeCell ref="L200:O200"/>
    <mergeCell ref="L138:O138"/>
    <mergeCell ref="L261:O261"/>
    <mergeCell ref="L213:T214"/>
    <mergeCell ref="L215:T216"/>
    <mergeCell ref="L280:T282"/>
    <mergeCell ref="B263:E263"/>
    <mergeCell ref="L277:T278"/>
    <mergeCell ref="B275:J276"/>
    <mergeCell ref="B277:J278"/>
    <mergeCell ref="L275:T276"/>
    <mergeCell ref="L263:O263"/>
    <mergeCell ref="B264:E264"/>
    <mergeCell ref="L264:O264"/>
    <mergeCell ref="B265:E265"/>
    <mergeCell ref="B280:J282"/>
    <mergeCell ref="B262:E262"/>
    <mergeCell ref="D244:G244"/>
    <mergeCell ref="F258:G258"/>
    <mergeCell ref="B258:D258"/>
    <mergeCell ref="B270:F270"/>
    <mergeCell ref="B213:J214"/>
    <mergeCell ref="B215:J216"/>
    <mergeCell ref="B261:E261"/>
    <mergeCell ref="C100:F100"/>
    <mergeCell ref="B138:E138"/>
    <mergeCell ref="B139:E139"/>
    <mergeCell ref="H107:J107"/>
    <mergeCell ref="G150:H150"/>
    <mergeCell ref="B142:E142"/>
    <mergeCell ref="C117:F117"/>
    <mergeCell ref="G98:H98"/>
    <mergeCell ref="G99:H99"/>
    <mergeCell ref="G97:H97"/>
    <mergeCell ref="K84:T84"/>
    <mergeCell ref="S95:T95"/>
    <mergeCell ref="R95:R97"/>
    <mergeCell ref="P95:Q95"/>
    <mergeCell ref="P96:Q97"/>
    <mergeCell ref="O95:O97"/>
    <mergeCell ref="M94:T94"/>
    <mergeCell ref="R73:T74"/>
    <mergeCell ref="N78:N80"/>
    <mergeCell ref="Q78:Q80"/>
    <mergeCell ref="L77:T77"/>
    <mergeCell ref="R78:T78"/>
    <mergeCell ref="R79:T80"/>
    <mergeCell ref="F58:G58"/>
    <mergeCell ref="F59:G59"/>
    <mergeCell ref="F60:G60"/>
    <mergeCell ref="F61:G61"/>
    <mergeCell ref="D66:I67"/>
    <mergeCell ref="B65:C65"/>
    <mergeCell ref="B63:T64"/>
    <mergeCell ref="B66:C67"/>
    <mergeCell ref="L71:T71"/>
    <mergeCell ref="F70:G71"/>
    <mergeCell ref="H72:I72"/>
    <mergeCell ref="F72:G72"/>
    <mergeCell ref="L72:M72"/>
    <mergeCell ref="O72:P72"/>
    <mergeCell ref="R72:T72"/>
    <mergeCell ref="A62:H62"/>
    <mergeCell ref="A81:H81"/>
    <mergeCell ref="C74:H74"/>
    <mergeCell ref="D89:I89"/>
    <mergeCell ref="D70:E71"/>
    <mergeCell ref="D72:E72"/>
    <mergeCell ref="C75:E76"/>
    <mergeCell ref="F75:F76"/>
    <mergeCell ref="G75:H76"/>
    <mergeCell ref="D65:I65"/>
    <mergeCell ref="B147:F147"/>
    <mergeCell ref="L147:P147"/>
    <mergeCell ref="B208:F208"/>
    <mergeCell ref="L208:P208"/>
    <mergeCell ref="B150:E150"/>
    <mergeCell ref="B200:E200"/>
    <mergeCell ref="M178:P178"/>
    <mergeCell ref="D182:G182"/>
    <mergeCell ref="F196:G196"/>
    <mergeCell ref="N181:Q181"/>
  </mergeCells>
  <conditionalFormatting sqref="K207:K208">
    <cfRule type="expression" priority="1" dxfId="4" stopIfTrue="1">
      <formula>$J$205&gt;K170</formula>
    </cfRule>
    <cfRule type="expression" priority="2" dxfId="5" stopIfTrue="1">
      <formula>K205&lt;K170</formula>
    </cfRule>
  </conditionalFormatting>
  <conditionalFormatting sqref="K145">
    <cfRule type="expression" priority="3" dxfId="6" stopIfTrue="1">
      <formula>K144&gt;K109</formula>
    </cfRule>
    <cfRule type="expression" priority="4" dxfId="7" stopIfTrue="1">
      <formula>K144&lt;K109</formula>
    </cfRule>
  </conditionalFormatting>
  <conditionalFormatting sqref="H206">
    <cfRule type="expression" priority="5" dxfId="4" stopIfTrue="1">
      <formula>$H$205&gt;H170</formula>
    </cfRule>
    <cfRule type="expression" priority="6" dxfId="5" stopIfTrue="1">
      <formula>H205&lt;H170</formula>
    </cfRule>
  </conditionalFormatting>
  <conditionalFormatting sqref="R206">
    <cfRule type="expression" priority="7" dxfId="4" stopIfTrue="1">
      <formula>$R$205&gt;R170</formula>
    </cfRule>
    <cfRule type="expression" priority="8" dxfId="5" stopIfTrue="1">
      <formula>R205&lt;R170</formula>
    </cfRule>
  </conditionalFormatting>
  <conditionalFormatting sqref="T206">
    <cfRule type="expression" priority="9" dxfId="4" stopIfTrue="1">
      <formula>$T$205&gt;T170</formula>
    </cfRule>
    <cfRule type="expression" priority="10" dxfId="5" stopIfTrue="1">
      <formula>T205&lt;T170</formula>
    </cfRule>
  </conditionalFormatting>
  <conditionalFormatting sqref="S206">
    <cfRule type="expression" priority="11" dxfId="4" stopIfTrue="1">
      <formula>$S$205&gt;S170</formula>
    </cfRule>
    <cfRule type="expression" priority="12" dxfId="5" stopIfTrue="1">
      <formula>S205&lt;S170</formula>
    </cfRule>
  </conditionalFormatting>
  <conditionalFormatting sqref="I268">
    <cfRule type="expression" priority="13" dxfId="4" stopIfTrue="1">
      <formula>$I$267&gt;I232</formula>
    </cfRule>
    <cfRule type="expression" priority="14" dxfId="5" stopIfTrue="1">
      <formula>I267&lt;I232</formula>
    </cfRule>
  </conditionalFormatting>
  <conditionalFormatting sqref="J268">
    <cfRule type="expression" priority="15" dxfId="4" stopIfTrue="1">
      <formula>$J$267&gt;J232</formula>
    </cfRule>
    <cfRule type="expression" priority="16" dxfId="5" stopIfTrue="1">
      <formula>J267&lt;J232</formula>
    </cfRule>
  </conditionalFormatting>
  <conditionalFormatting sqref="H268">
    <cfRule type="expression" priority="17" dxfId="4" stopIfTrue="1">
      <formula>$H$267&gt;H232</formula>
    </cfRule>
    <cfRule type="expression" priority="18" dxfId="5" stopIfTrue="1">
      <formula>H267&lt;H232</formula>
    </cfRule>
  </conditionalFormatting>
  <conditionalFormatting sqref="T268">
    <cfRule type="expression" priority="19" dxfId="4" stopIfTrue="1">
      <formula>$T$267&gt;T232</formula>
    </cfRule>
    <cfRule type="expression" priority="20" dxfId="5" stopIfTrue="1">
      <formula>T267&lt;T232</formula>
    </cfRule>
  </conditionalFormatting>
  <conditionalFormatting sqref="R268">
    <cfRule type="expression" priority="21" dxfId="4" stopIfTrue="1">
      <formula>$R$267&gt;R232</formula>
    </cfRule>
    <cfRule type="expression" priority="22" dxfId="5" stopIfTrue="1">
      <formula>R267&lt;R232</formula>
    </cfRule>
  </conditionalFormatting>
  <conditionalFormatting sqref="S268">
    <cfRule type="expression" priority="23" dxfId="4" stopIfTrue="1">
      <formula>$S$267&gt;S232</formula>
    </cfRule>
    <cfRule type="expression" priority="24" dxfId="5" stopIfTrue="1">
      <formula>S267&lt;S232</formula>
    </cfRule>
  </conditionalFormatting>
  <conditionalFormatting sqref="I206:J206">
    <cfRule type="expression" priority="25" dxfId="4" stopIfTrue="1">
      <formula>$I$205&gt;I170</formula>
    </cfRule>
    <cfRule type="expression" priority="26" dxfId="5" stopIfTrue="1">
      <formula>I205&lt;I170</formula>
    </cfRule>
  </conditionalFormatting>
  <conditionalFormatting sqref="O86">
    <cfRule type="expression" priority="27" dxfId="8" stopIfTrue="1">
      <formula>IF(G373=2,,)</formula>
    </cfRule>
  </conditionalFormatting>
  <conditionalFormatting sqref="L277 B277 L215 B215:J216 B154:J155">
    <cfRule type="cellIs" priority="28" dxfId="9" operator="equal" stopIfTrue="1">
      <formula>$B$396</formula>
    </cfRule>
  </conditionalFormatting>
  <conditionalFormatting sqref="B275 L275 B213 L213 L152">
    <cfRule type="cellIs" priority="29" dxfId="9" operator="equal" stopIfTrue="1">
      <formula>$B$395</formula>
    </cfRule>
  </conditionalFormatting>
  <conditionalFormatting sqref="B152">
    <cfRule type="cellIs" priority="30" dxfId="4" operator="equal" stopIfTrue="1">
      <formula>$B$395</formula>
    </cfRule>
  </conditionalFormatting>
  <conditionalFormatting sqref="D20:D25">
    <cfRule type="cellIs" priority="31" dxfId="2" operator="greaterThan" stopIfTrue="1">
      <formula>$C$523</formula>
    </cfRule>
  </conditionalFormatting>
  <conditionalFormatting sqref="L154:T155">
    <cfRule type="cellIs" priority="32" dxfId="4" operator="equal" stopIfTrue="1">
      <formula>$B$396</formula>
    </cfRule>
  </conditionalFormatting>
  <conditionalFormatting sqref="N20">
    <cfRule type="expression" priority="33" dxfId="10" stopIfTrue="1">
      <formula>$J$24="High"</formula>
    </cfRule>
    <cfRule type="expression" priority="34" dxfId="11" stopIfTrue="1">
      <formula>$J$24="Medium"</formula>
    </cfRule>
    <cfRule type="expression" priority="35" dxfId="4" stopIfTrue="1">
      <formula>$J$24="Very High"</formula>
    </cfRule>
  </conditionalFormatting>
  <conditionalFormatting sqref="J24:M25">
    <cfRule type="cellIs" priority="36" dxfId="9" operator="equal" stopIfTrue="1">
      <formula>"Very High"</formula>
    </cfRule>
  </conditionalFormatting>
  <conditionalFormatting sqref="I145">
    <cfRule type="expression" priority="37" dxfId="4" stopIfTrue="1">
      <formula>$I$144&gt;$I$109</formula>
    </cfRule>
    <cfRule type="expression" priority="38" dxfId="5" stopIfTrue="1">
      <formula>$I$144&lt;$I$109</formula>
    </cfRule>
  </conditionalFormatting>
  <conditionalFormatting sqref="J145">
    <cfRule type="expression" priority="39" dxfId="4" stopIfTrue="1">
      <formula>$J$144&gt;$J$109</formula>
    </cfRule>
    <cfRule type="expression" priority="40" dxfId="12" stopIfTrue="1">
      <formula>$J$144&lt;$J$109</formula>
    </cfRule>
  </conditionalFormatting>
  <conditionalFormatting sqref="R145">
    <cfRule type="expression" priority="41" dxfId="4" stopIfTrue="1">
      <formula>$R$144&gt;$R$109</formula>
    </cfRule>
    <cfRule type="expression" priority="42" dxfId="5" stopIfTrue="1">
      <formula>$R$144&lt;$R$109</formula>
    </cfRule>
  </conditionalFormatting>
  <conditionalFormatting sqref="S145">
    <cfRule type="expression" priority="43" dxfId="4" stopIfTrue="1">
      <formula>$S$144&gt;$S$109</formula>
    </cfRule>
    <cfRule type="expression" priority="44" dxfId="5" stopIfTrue="1">
      <formula>$S$144&lt;$S$109</formula>
    </cfRule>
  </conditionalFormatting>
  <conditionalFormatting sqref="T145">
    <cfRule type="expression" priority="45" dxfId="4" stopIfTrue="1">
      <formula>$T$144&gt;$T$109</formula>
    </cfRule>
    <cfRule type="expression" priority="46" dxfId="5" stopIfTrue="1">
      <formula>$T$144&lt;$T$109</formula>
    </cfRule>
  </conditionalFormatting>
  <conditionalFormatting sqref="O85">
    <cfRule type="expression" priority="47" dxfId="8" stopIfTrue="1">
      <formula>"G365=2"</formula>
    </cfRule>
  </conditionalFormatting>
  <conditionalFormatting sqref="H145">
    <cfRule type="expression" priority="48" dxfId="4" stopIfTrue="1">
      <formula>$H$144&gt;$H$109</formula>
    </cfRule>
    <cfRule type="expression" priority="49" dxfId="5" stopIfTrue="1">
      <formula>$H$144&lt;$H$109</formula>
    </cfRule>
  </conditionalFormatting>
  <dataValidations count="16">
    <dataValidation type="whole" allowBlank="1" showInputMessage="1" showErrorMessage="1" sqref="O85:O86">
      <formula1>30</formula1>
      <formula2>1000</formula2>
    </dataValidation>
    <dataValidation type="whole" allowBlank="1" showInputMessage="1" showErrorMessage="1" sqref="T85:T86">
      <formula1>10</formula1>
      <formula2>150</formula2>
    </dataValidation>
    <dataValidation type="list" allowBlank="1" showInputMessage="1" showErrorMessage="1" sqref="B261:B263 L199:L201 B199:B201 B138:B140 L261:L263 L138:L140">
      <formula1>$T$313:$T$322</formula1>
    </dataValidation>
    <dataValidation type="list" allowBlank="1" showInputMessage="1" showErrorMessage="1" sqref="D235 D112 N112 D173:D174 N173 N235">
      <formula1>$A$337:$A$340</formula1>
    </dataValidation>
    <dataValidation type="list" allowBlank="1" showInputMessage="1" showErrorMessage="1" sqref="D237 D114 N114 D175 N175 N237 B179:E179">
      <formula1>$A$320:$A$334</formula1>
    </dataValidation>
    <dataValidation type="list" allowBlank="1" showInputMessage="1" showErrorMessage="1" sqref="B241:E241 B117:B118 L118:O118 L179:O179 C118:E118 L241:O241">
      <formula1>$A$343:$A$353</formula1>
    </dataValidation>
    <dataValidation type="list" allowBlank="1" showInputMessage="1" showErrorMessage="1" prompt="Use only if a listed forage was grown in this field 2 years prior to the current crop." sqref="M240:P240 M117:P117 M178:P178 C240:F240">
      <formula1>$A$343:$A$353</formula1>
    </dataValidation>
    <dataValidation type="list" allowBlank="1" showInputMessage="1" showErrorMessage="1" sqref="D243:G244 D120:G121 N120:Q121 D181:G182 N181:Q182 N243:Q244">
      <formula1>$B$313:$B$317</formula1>
    </dataValidation>
    <dataValidation type="list" allowBlank="1" showInputMessage="1" showErrorMessage="1" sqref="B7:C12">
      <formula1>$I$313:$I$346</formula1>
    </dataValidation>
    <dataValidation type="list" allowBlank="1" showInputMessage="1" showErrorMessage="1" sqref="F58:F61">
      <formula1>$M$371:$M$384</formula1>
    </dataValidation>
    <dataValidation type="list" allowBlank="1" showInputMessage="1" showErrorMessage="1" sqref="D66">
      <formula1>$B$373:$B$378</formula1>
    </dataValidation>
    <dataValidation type="list" allowBlank="1" showInputMessage="1" showErrorMessage="1" sqref="K58">
      <formula1>$B$409:$B$418</formula1>
    </dataValidation>
    <dataValidation type="list" allowBlank="1" showInputMessage="1" showErrorMessage="1" sqref="C86">
      <formula1>$F$373:$F$377</formula1>
    </dataValidation>
    <dataValidation type="list" allowBlank="1" showInputMessage="1" showErrorMessage="1" sqref="C3:D3">
      <formula1>$Q$359:$Q$412</formula1>
    </dataValidation>
    <dataValidation type="list" allowBlank="1" showInputMessage="1" showErrorMessage="1" prompt="Use only if a listed forage was grown in this field 2 years prior to the current crop.  " sqref="C117:F117">
      <formula1>$A$343:$A$353</formula1>
    </dataValidation>
    <dataValidation type="list" allowBlank="1" showInputMessage="1" showErrorMessage="1" prompt="Use only if a listed forage was grown in this field 2 years prior to the current crop." sqref="C178:F178">
      <formula1>$A$320:$A$334</formula1>
    </dataValidation>
  </dataValidations>
  <hyperlinks>
    <hyperlink ref="A60" location="Instructions!A90" display="HELP"/>
    <hyperlink ref="A103" location="Instructions!A139" display="HELP"/>
    <hyperlink ref="A2" location="Instructions!A60" display="Instructions!A60"/>
    <hyperlink ref="A65" location="Instructions!A104" display="HELP"/>
    <hyperlink ref="A85" location="Instructions!A125" display="HELP"/>
    <hyperlink ref="A111" location="Instructions!A143" display="HELP"/>
    <hyperlink ref="A116" location="Instructions!A191" display="HELP"/>
    <hyperlink ref="A119" location="Instructions!A200" display="HELP"/>
    <hyperlink ref="A125" location="Instructions!A205" display="HELP"/>
    <hyperlink ref="A131" location="Instructions!A210" display="HELP"/>
    <hyperlink ref="A137" location="Instructions!A240" display="HELP"/>
    <hyperlink ref="A143" location="Instructions!A240" display="HELP"/>
    <hyperlink ref="A148" location="Instructions!A260" display="HELP"/>
    <hyperlink ref="A15" location="Instructions!A70" display="HELP"/>
  </hyperlinks>
  <printOptions horizontalCentered="1" verticalCentered="1"/>
  <pageMargins left="0.25" right="0.25" top="0.25" bottom="0.25" header="0.5" footer="0.5"/>
  <pageSetup horizontalDpi="600" verticalDpi="600" orientation="landscape" pageOrder="overThenDown" scale="60" r:id="rId4"/>
  <headerFooter alignWithMargins="0">
    <oddHeader>&amp;L&amp;11United States Dept. of Agriculture
Natural Resources Conservation Service&amp;R&amp;11ND-CPA-343e(a)
Revised 1/03
</oddHeader>
    <oddFooter>&amp;CPage &amp;P&amp;R&amp;A</oddFooter>
  </headerFooter>
  <rowBreaks count="4" manualBreakCount="4">
    <brk id="51" min="1" max="19" man="1"/>
    <brk id="102" min="1" max="20" man="1"/>
    <brk id="163" max="19" man="1"/>
    <brk id="225" max="19" man="1"/>
  </rowBreaks>
  <colBreaks count="1" manualBreakCount="1">
    <brk id="39"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4" transitionEvaluation="1"/>
  <dimension ref="A1:GB1948"/>
  <sheetViews>
    <sheetView zoomScale="75" zoomScaleNormal="75" workbookViewId="0" topLeftCell="A54">
      <selection activeCell="A61" sqref="A61"/>
    </sheetView>
  </sheetViews>
  <sheetFormatPr defaultColWidth="12.421875" defaultRowHeight="12.75"/>
  <cols>
    <col min="1" max="1" width="16.28125" style="10" customWidth="1"/>
    <col min="2" max="2" width="17.28125" style="10" customWidth="1"/>
    <col min="3" max="3" width="14.00390625" style="10" customWidth="1"/>
    <col min="4" max="4" width="14.140625" style="10" customWidth="1"/>
    <col min="5" max="6" width="12.421875" style="10" customWidth="1"/>
    <col min="7" max="8" width="9.8515625" style="10" customWidth="1"/>
    <col min="9" max="9" width="7.28125" style="10" customWidth="1"/>
    <col min="10" max="55" width="12.421875" style="10" customWidth="1"/>
    <col min="56" max="16384" width="12.421875" style="10" customWidth="1"/>
  </cols>
  <sheetData>
    <row r="1" spans="1:36" ht="15.75">
      <c r="A1" s="8" t="s">
        <v>203</v>
      </c>
      <c r="B1" s="9"/>
      <c r="F1" s="9"/>
      <c r="I1" s="11" t="s">
        <v>204</v>
      </c>
      <c r="AJ1" s="13"/>
    </row>
    <row r="2" spans="13:43" ht="15">
      <c r="M2" s="12" t="s">
        <v>205</v>
      </c>
      <c r="N2" s="12" t="s">
        <v>206</v>
      </c>
      <c r="O2" s="12" t="s">
        <v>207</v>
      </c>
      <c r="P2" s="12" t="s">
        <v>181</v>
      </c>
      <c r="Q2" s="12" t="s">
        <v>189</v>
      </c>
      <c r="R2" s="12" t="s">
        <v>188</v>
      </c>
      <c r="S2" s="12" t="s">
        <v>208</v>
      </c>
      <c r="AF2" s="12" t="s">
        <v>209</v>
      </c>
      <c r="AJ2" s="13"/>
      <c r="AQ2" s="12" t="s">
        <v>210</v>
      </c>
    </row>
    <row r="3" spans="1:49" ht="15.75">
      <c r="A3" s="13"/>
      <c r="B3" s="14" t="s">
        <v>211</v>
      </c>
      <c r="C3" s="1411">
        <f>'Nutrient Management Planner'!C1</f>
      </c>
      <c r="D3" s="1412"/>
      <c r="E3" s="9"/>
      <c r="F3" s="9"/>
      <c r="G3" s="14" t="s">
        <v>212</v>
      </c>
      <c r="H3" s="168">
        <f>'Nutrient Management Planner'!B72</f>
        <v>0</v>
      </c>
      <c r="I3" s="17" t="s">
        <v>213</v>
      </c>
      <c r="M3" s="12" t="s">
        <v>214</v>
      </c>
      <c r="N3" s="12" t="s">
        <v>215</v>
      </c>
      <c r="O3" s="12" t="s">
        <v>216</v>
      </c>
      <c r="P3" s="12" t="s">
        <v>217</v>
      </c>
      <c r="Q3" s="12" t="s">
        <v>217</v>
      </c>
      <c r="R3" s="12" t="s">
        <v>217</v>
      </c>
      <c r="S3" s="12" t="s">
        <v>218</v>
      </c>
      <c r="AJ3" s="13"/>
      <c r="AN3" s="12" t="s">
        <v>219</v>
      </c>
      <c r="AO3" s="12" t="s">
        <v>219</v>
      </c>
      <c r="AP3" s="12" t="s">
        <v>220</v>
      </c>
      <c r="AQ3" s="12" t="s">
        <v>221</v>
      </c>
      <c r="AW3" s="12" t="s">
        <v>222</v>
      </c>
    </row>
    <row r="4" spans="1:49" ht="15.75">
      <c r="A4" s="13"/>
      <c r="B4" s="14" t="s">
        <v>223</v>
      </c>
      <c r="C4" s="167" t="str">
        <f>'Nutrient Management Planner'!C2</f>
        <v>Golden Valley</v>
      </c>
      <c r="D4" s="165"/>
      <c r="E4" s="18" t="str">
        <f>IF(M86&lt;1,N86,M87)</f>
        <v> </v>
      </c>
      <c r="F4" s="9"/>
      <c r="G4" s="14" t="s">
        <v>225</v>
      </c>
      <c r="H4" s="168">
        <f>'Nutrient Management Planner'!J58</f>
        <v>0</v>
      </c>
      <c r="I4" s="19" t="s">
        <v>226</v>
      </c>
      <c r="J4" s="20"/>
      <c r="K4" s="13">
        <v>1</v>
      </c>
      <c r="L4" s="20" t="s">
        <v>227</v>
      </c>
      <c r="M4" s="21">
        <v>1.32</v>
      </c>
      <c r="N4" s="13">
        <v>0.127</v>
      </c>
      <c r="O4" s="13">
        <v>62</v>
      </c>
      <c r="P4" s="22">
        <v>10.02</v>
      </c>
      <c r="Q4" s="22">
        <v>1.78</v>
      </c>
      <c r="R4" s="22">
        <v>6.6</v>
      </c>
      <c r="S4" s="22">
        <v>1</v>
      </c>
      <c r="T4" s="22"/>
      <c r="U4" s="23"/>
      <c r="V4" s="22"/>
      <c r="W4" s="23"/>
      <c r="X4" s="22"/>
      <c r="Y4" s="23"/>
      <c r="Z4" s="13">
        <f aca="true" t="shared" si="0" ref="Z4:Z14">E38</f>
      </c>
      <c r="AA4" s="13" t="str">
        <f aca="true" t="shared" si="1" ref="AA4:AA14">F38</f>
        <v> </v>
      </c>
      <c r="AB4" s="13">
        <f aca="true" t="shared" si="2" ref="AB4:AB14">G38</f>
        <v>0</v>
      </c>
      <c r="AC4" s="13">
        <f aca="true" t="shared" si="3" ref="AC4:AC14">H38</f>
        <v>0</v>
      </c>
      <c r="AD4" s="13">
        <f aca="true" t="shared" si="4" ref="AD4:AD14">IF(E38&lt;1,0,VLOOKUP(E38,$K$4:$S$16,9))</f>
        <v>0</v>
      </c>
      <c r="AE4" s="13"/>
      <c r="AF4" s="23">
        <f aca="true" t="shared" si="5" ref="AF4:AF14">AB4*AC4</f>
        <v>0</v>
      </c>
      <c r="AG4" s="23">
        <f aca="true" t="shared" si="6" ref="AG4:AG14">IF(Z4&lt;1,0,AB4/AD4)</f>
        <v>0</v>
      </c>
      <c r="AH4" s="13"/>
      <c r="AI4" s="13"/>
      <c r="AJ4" s="13"/>
      <c r="AM4" s="12" t="s">
        <v>228</v>
      </c>
      <c r="AN4" s="12" t="s">
        <v>229</v>
      </c>
      <c r="AO4" s="12" t="s">
        <v>230</v>
      </c>
      <c r="AP4" s="12" t="s">
        <v>230</v>
      </c>
      <c r="AQ4" s="12" t="s">
        <v>231</v>
      </c>
      <c r="AR4" s="12" t="s">
        <v>232</v>
      </c>
      <c r="AS4" s="12" t="s">
        <v>233</v>
      </c>
      <c r="AT4" s="12" t="s">
        <v>234</v>
      </c>
      <c r="AU4" s="12" t="s">
        <v>228</v>
      </c>
      <c r="AV4" s="12" t="s">
        <v>235</v>
      </c>
      <c r="AW4" s="12" t="s">
        <v>236</v>
      </c>
    </row>
    <row r="5" spans="1:50" ht="15.75">
      <c r="A5" s="13"/>
      <c r="B5" s="14" t="s">
        <v>237</v>
      </c>
      <c r="C5" s="1413"/>
      <c r="D5" s="1401"/>
      <c r="E5" s="9"/>
      <c r="F5" s="9"/>
      <c r="G5" s="14" t="s">
        <v>238</v>
      </c>
      <c r="H5" s="799">
        <f>'Nutrient Management Planner'!D72</f>
        <v>0</v>
      </c>
      <c r="I5" s="19" t="s">
        <v>239</v>
      </c>
      <c r="J5" s="20"/>
      <c r="K5" s="13">
        <v>2</v>
      </c>
      <c r="L5" s="20" t="s">
        <v>240</v>
      </c>
      <c r="M5" s="21">
        <v>1</v>
      </c>
      <c r="N5" s="13">
        <v>0.116</v>
      </c>
      <c r="O5" s="13">
        <v>60</v>
      </c>
      <c r="P5" s="22">
        <v>11.33</v>
      </c>
      <c r="Q5" s="22">
        <v>3.67</v>
      </c>
      <c r="R5" s="22">
        <v>8</v>
      </c>
      <c r="S5" s="22">
        <v>1.5</v>
      </c>
      <c r="T5" s="22"/>
      <c r="U5" s="23"/>
      <c r="V5" s="22"/>
      <c r="W5" s="23"/>
      <c r="X5" s="22"/>
      <c r="Y5" s="23"/>
      <c r="Z5" s="13">
        <f t="shared" si="0"/>
      </c>
      <c r="AA5" s="13" t="str">
        <f t="shared" si="1"/>
        <v> </v>
      </c>
      <c r="AB5" s="13">
        <f t="shared" si="2"/>
        <v>0</v>
      </c>
      <c r="AC5" s="13">
        <f t="shared" si="3"/>
        <v>0</v>
      </c>
      <c r="AD5" s="13">
        <f t="shared" si="4"/>
        <v>0</v>
      </c>
      <c r="AE5" s="13"/>
      <c r="AF5" s="23">
        <f t="shared" si="5"/>
        <v>0</v>
      </c>
      <c r="AG5" s="23">
        <f t="shared" si="6"/>
        <v>0</v>
      </c>
      <c r="AH5" s="13"/>
      <c r="AI5" s="13"/>
      <c r="AJ5" s="163"/>
      <c r="AK5" s="13"/>
      <c r="AL5" s="23" t="str">
        <f aca="true" t="shared" si="7" ref="AL5:AL15">F38</f>
        <v> </v>
      </c>
      <c r="AM5" s="13">
        <f aca="true" t="shared" si="8" ref="AM5:AM15">IF(E38&lt;1,0,VLOOKUP(E38,$K$4:$Y$16,6))</f>
        <v>0</v>
      </c>
      <c r="AN5" s="22" t="e">
        <f aca="true" t="shared" si="9" ref="AN5:AN15">VLOOKUP($E$66,$AI$22:$AJ$26,2)</f>
        <v>#VALUE!</v>
      </c>
      <c r="AO5" s="21">
        <f aca="true" t="shared" si="10" ref="AO5:AO15">VLOOKUP(E38,$K$4:$R$31,4)</f>
        <v>0</v>
      </c>
      <c r="AP5" s="22">
        <f aca="true" t="shared" si="11" ref="AP5:AP15">IF(E38&lt;1,0,AN5/AO5)</f>
        <v>0</v>
      </c>
      <c r="AQ5" s="13" t="e">
        <f aca="true" t="shared" si="12" ref="AQ5:AQ15">VLOOKUP($E$66,$AI$22:$AL$28,3)</f>
        <v>#VALUE!</v>
      </c>
      <c r="AR5" s="22" t="e">
        <f aca="true" t="shared" si="13" ref="AR5:AR15">$G$78</f>
        <v>#N/A</v>
      </c>
      <c r="AS5" s="13">
        <f aca="true" t="shared" si="14" ref="AS5:AS15">VLOOKUP($C$73,$AI$22:$AL$27,4)</f>
        <v>1</v>
      </c>
      <c r="AT5" s="13">
        <f aca="true" t="shared" si="15" ref="AT5:AT15">IF(E38&lt;1,0,IF($E$66&lt;5,VLOOKUP(E38,$AI$22:$AN$34,5),VLOOKUP(E38,$AI$22:$AN$34,6)))</f>
        <v>0</v>
      </c>
      <c r="AU5" s="22">
        <f aca="true" t="shared" si="16" ref="AU5:AU15">IF(E38&lt;1,0,AM5*AP5*AQ5*AR5*AS5*AT5)</f>
        <v>0</v>
      </c>
      <c r="AV5" s="23">
        <f aca="true" t="shared" si="17" ref="AV5:AV15">S20</f>
        <v>0</v>
      </c>
      <c r="AW5" s="23">
        <f aca="true" t="shared" si="18" ref="AW5:AW15">AU5*AV5</f>
        <v>0</v>
      </c>
      <c r="AX5" s="10" t="str">
        <f aca="true" t="shared" si="19" ref="AX5:AX15">F38</f>
        <v> </v>
      </c>
    </row>
    <row r="6" spans="1:50" ht="15.75">
      <c r="A6" s="13"/>
      <c r="B6" s="14" t="s">
        <v>241</v>
      </c>
      <c r="C6" s="1413"/>
      <c r="D6" s="1401"/>
      <c r="E6" s="9"/>
      <c r="F6" s="9"/>
      <c r="G6" s="14" t="s">
        <v>243</v>
      </c>
      <c r="H6" s="168">
        <f>'Nutrient Management Planner'!F72</f>
        <v>0</v>
      </c>
      <c r="I6" s="19" t="s">
        <v>206</v>
      </c>
      <c r="J6" s="20"/>
      <c r="K6" s="13">
        <v>3</v>
      </c>
      <c r="L6" s="20" t="s">
        <v>244</v>
      </c>
      <c r="M6" s="21">
        <v>1.1</v>
      </c>
      <c r="N6" s="21">
        <v>0.092</v>
      </c>
      <c r="O6" s="26">
        <v>60</v>
      </c>
      <c r="P6" s="22">
        <v>13.64</v>
      </c>
      <c r="Q6" s="22">
        <v>4.55</v>
      </c>
      <c r="R6" s="22">
        <v>8.94</v>
      </c>
      <c r="S6" s="22">
        <v>4</v>
      </c>
      <c r="T6" s="22"/>
      <c r="U6" s="23"/>
      <c r="V6" s="22"/>
      <c r="W6" s="23"/>
      <c r="X6" s="22"/>
      <c r="Y6" s="23"/>
      <c r="Z6" s="13">
        <f t="shared" si="0"/>
      </c>
      <c r="AA6" s="13" t="str">
        <f t="shared" si="1"/>
        <v> </v>
      </c>
      <c r="AB6" s="13">
        <f t="shared" si="2"/>
        <v>0</v>
      </c>
      <c r="AC6" s="13">
        <f t="shared" si="3"/>
        <v>0</v>
      </c>
      <c r="AD6" s="13">
        <f t="shared" si="4"/>
        <v>0</v>
      </c>
      <c r="AE6" s="13"/>
      <c r="AF6" s="23">
        <f t="shared" si="5"/>
        <v>0</v>
      </c>
      <c r="AG6" s="23">
        <f t="shared" si="6"/>
        <v>0</v>
      </c>
      <c r="AH6" s="13"/>
      <c r="AI6" s="13"/>
      <c r="AJ6" s="163"/>
      <c r="AK6" s="13"/>
      <c r="AL6" s="23" t="str">
        <f t="shared" si="7"/>
        <v> </v>
      </c>
      <c r="AM6" s="13">
        <f t="shared" si="8"/>
        <v>0</v>
      </c>
      <c r="AN6" s="22" t="e">
        <f t="shared" si="9"/>
        <v>#VALUE!</v>
      </c>
      <c r="AO6" s="21">
        <f t="shared" si="10"/>
        <v>0</v>
      </c>
      <c r="AP6" s="22">
        <f t="shared" si="11"/>
        <v>0</v>
      </c>
      <c r="AQ6" s="13" t="e">
        <f t="shared" si="12"/>
        <v>#VALUE!</v>
      </c>
      <c r="AR6" s="22" t="e">
        <f t="shared" si="13"/>
        <v>#N/A</v>
      </c>
      <c r="AS6" s="13">
        <f t="shared" si="14"/>
        <v>1</v>
      </c>
      <c r="AT6" s="13">
        <f t="shared" si="15"/>
        <v>0</v>
      </c>
      <c r="AU6" s="22">
        <f t="shared" si="16"/>
        <v>0</v>
      </c>
      <c r="AV6" s="23">
        <f t="shared" si="17"/>
        <v>0</v>
      </c>
      <c r="AW6" s="23">
        <f t="shared" si="18"/>
        <v>0</v>
      </c>
      <c r="AX6" s="10" t="str">
        <f t="shared" si="19"/>
        <v> </v>
      </c>
    </row>
    <row r="7" spans="1:50" ht="15.75">
      <c r="A7" s="13"/>
      <c r="B7" s="14" t="s">
        <v>245</v>
      </c>
      <c r="C7" s="27">
        <f>'Nutrient Management Planner'!E58+0</f>
        <v>0</v>
      </c>
      <c r="D7" s="28" t="s">
        <v>246</v>
      </c>
      <c r="E7" s="9"/>
      <c r="F7" s="9"/>
      <c r="G7" s="14" t="s">
        <v>247</v>
      </c>
      <c r="H7" s="1407">
        <f ca="1">TODAY()</f>
        <v>38581</v>
      </c>
      <c r="I7" s="1408"/>
      <c r="J7" s="20"/>
      <c r="K7" s="13">
        <v>4</v>
      </c>
      <c r="L7" s="20" t="s">
        <v>248</v>
      </c>
      <c r="M7" s="21">
        <v>1.1</v>
      </c>
      <c r="N7" s="21">
        <v>0.092</v>
      </c>
      <c r="O7" s="26">
        <v>60</v>
      </c>
      <c r="P7" s="22">
        <v>13.64</v>
      </c>
      <c r="Q7" s="22">
        <v>4.55</v>
      </c>
      <c r="R7" s="22">
        <v>8.94</v>
      </c>
      <c r="S7" s="22">
        <v>4</v>
      </c>
      <c r="T7" s="22"/>
      <c r="U7" s="23"/>
      <c r="V7" s="22"/>
      <c r="W7" s="23"/>
      <c r="X7" s="22"/>
      <c r="Y7" s="23"/>
      <c r="Z7" s="13">
        <f t="shared" si="0"/>
      </c>
      <c r="AA7" s="13" t="str">
        <f t="shared" si="1"/>
        <v> </v>
      </c>
      <c r="AB7" s="13">
        <f t="shared" si="2"/>
        <v>0</v>
      </c>
      <c r="AC7" s="13">
        <f t="shared" si="3"/>
        <v>0</v>
      </c>
      <c r="AD7" s="13">
        <f t="shared" si="4"/>
        <v>0</v>
      </c>
      <c r="AE7" s="13"/>
      <c r="AF7" s="23">
        <f t="shared" si="5"/>
        <v>0</v>
      </c>
      <c r="AG7" s="23">
        <f t="shared" si="6"/>
        <v>0</v>
      </c>
      <c r="AH7" s="13"/>
      <c r="AI7" s="13"/>
      <c r="AJ7" s="163"/>
      <c r="AK7" s="13"/>
      <c r="AL7" s="23" t="str">
        <f t="shared" si="7"/>
        <v> </v>
      </c>
      <c r="AM7" s="13">
        <f t="shared" si="8"/>
        <v>0</v>
      </c>
      <c r="AN7" s="22" t="e">
        <f t="shared" si="9"/>
        <v>#VALUE!</v>
      </c>
      <c r="AO7" s="21">
        <f t="shared" si="10"/>
        <v>0</v>
      </c>
      <c r="AP7" s="22">
        <f t="shared" si="11"/>
        <v>0</v>
      </c>
      <c r="AQ7" s="13" t="e">
        <f t="shared" si="12"/>
        <v>#VALUE!</v>
      </c>
      <c r="AR7" s="22" t="e">
        <f t="shared" si="13"/>
        <v>#N/A</v>
      </c>
      <c r="AS7" s="13">
        <f t="shared" si="14"/>
        <v>1</v>
      </c>
      <c r="AT7" s="13">
        <f t="shared" si="15"/>
        <v>0</v>
      </c>
      <c r="AU7" s="22">
        <f t="shared" si="16"/>
        <v>0</v>
      </c>
      <c r="AV7" s="23">
        <f t="shared" si="17"/>
        <v>0</v>
      </c>
      <c r="AW7" s="23">
        <f t="shared" si="18"/>
        <v>0</v>
      </c>
      <c r="AX7" s="10" t="str">
        <f t="shared" si="19"/>
        <v> </v>
      </c>
    </row>
    <row r="8" spans="2:50" ht="15.75">
      <c r="B8" s="13"/>
      <c r="C8" s="29" t="s">
        <v>249</v>
      </c>
      <c r="D8" s="13"/>
      <c r="E8" s="13"/>
      <c r="F8" s="13"/>
      <c r="G8" s="13"/>
      <c r="H8" s="1410" t="s">
        <v>250</v>
      </c>
      <c r="I8" s="1401"/>
      <c r="J8" s="20"/>
      <c r="K8" s="13">
        <v>5</v>
      </c>
      <c r="L8" s="20" t="s">
        <v>251</v>
      </c>
      <c r="M8" s="21">
        <v>1.1</v>
      </c>
      <c r="N8" s="21">
        <v>0.092</v>
      </c>
      <c r="O8" s="26">
        <v>60</v>
      </c>
      <c r="P8" s="22">
        <v>13.64</v>
      </c>
      <c r="Q8" s="22">
        <v>4.55</v>
      </c>
      <c r="R8" s="22">
        <v>8.94</v>
      </c>
      <c r="S8" s="22">
        <v>4</v>
      </c>
      <c r="T8" s="22"/>
      <c r="U8" s="23"/>
      <c r="V8" s="22"/>
      <c r="W8" s="23"/>
      <c r="X8" s="22"/>
      <c r="Y8" s="23"/>
      <c r="Z8" s="13" t="str">
        <f t="shared" si="0"/>
        <v> </v>
      </c>
      <c r="AA8" s="13" t="str">
        <f t="shared" si="1"/>
        <v> </v>
      </c>
      <c r="AB8" s="13">
        <f t="shared" si="2"/>
        <v>0</v>
      </c>
      <c r="AC8" s="13">
        <f t="shared" si="3"/>
        <v>0</v>
      </c>
      <c r="AD8" s="13">
        <f t="shared" si="4"/>
        <v>0</v>
      </c>
      <c r="AE8" s="13"/>
      <c r="AF8" s="23">
        <f t="shared" si="5"/>
        <v>0</v>
      </c>
      <c r="AG8" s="23">
        <f t="shared" si="6"/>
        <v>0</v>
      </c>
      <c r="AH8" s="13"/>
      <c r="AI8" s="13"/>
      <c r="AJ8" s="163"/>
      <c r="AK8" s="13"/>
      <c r="AL8" s="23" t="str">
        <f t="shared" si="7"/>
        <v> </v>
      </c>
      <c r="AM8" s="13">
        <f t="shared" si="8"/>
        <v>0</v>
      </c>
      <c r="AN8" s="22" t="e">
        <f t="shared" si="9"/>
        <v>#VALUE!</v>
      </c>
      <c r="AO8" s="21">
        <f t="shared" si="10"/>
        <v>0</v>
      </c>
      <c r="AP8" s="22">
        <f t="shared" si="11"/>
        <v>0</v>
      </c>
      <c r="AQ8" s="13" t="e">
        <f t="shared" si="12"/>
        <v>#VALUE!</v>
      </c>
      <c r="AR8" s="22" t="e">
        <f t="shared" si="13"/>
        <v>#N/A</v>
      </c>
      <c r="AS8" s="13">
        <f t="shared" si="14"/>
        <v>1</v>
      </c>
      <c r="AT8" s="13">
        <f t="shared" si="15"/>
        <v>0</v>
      </c>
      <c r="AU8" s="22">
        <f t="shared" si="16"/>
        <v>0</v>
      </c>
      <c r="AV8" s="23">
        <f t="shared" si="17"/>
        <v>0</v>
      </c>
      <c r="AW8" s="23">
        <f t="shared" si="18"/>
        <v>0</v>
      </c>
      <c r="AX8" s="10" t="str">
        <f t="shared" si="19"/>
        <v> </v>
      </c>
    </row>
    <row r="9" spans="1:50" ht="15.75">
      <c r="A9" s="30"/>
      <c r="B9" s="31" t="s">
        <v>252</v>
      </c>
      <c r="D9" s="30"/>
      <c r="F9" s="31" t="s">
        <v>253</v>
      </c>
      <c r="G9" s="30"/>
      <c r="H9" s="30"/>
      <c r="I9" s="30"/>
      <c r="J9" s="20"/>
      <c r="K9" s="13">
        <v>6</v>
      </c>
      <c r="L9" s="20" t="s">
        <v>254</v>
      </c>
      <c r="M9" s="21">
        <v>1.44</v>
      </c>
      <c r="N9" s="21">
        <v>0.092</v>
      </c>
      <c r="O9" s="26">
        <v>60</v>
      </c>
      <c r="P9" s="22">
        <v>14.19</v>
      </c>
      <c r="Q9" s="22">
        <v>4.7</v>
      </c>
      <c r="R9" s="22">
        <v>9.26</v>
      </c>
      <c r="S9" s="22">
        <v>4</v>
      </c>
      <c r="T9" s="22"/>
      <c r="U9" s="23"/>
      <c r="V9" s="22"/>
      <c r="W9" s="23"/>
      <c r="X9" s="22"/>
      <c r="Y9" s="23"/>
      <c r="Z9" s="13" t="str">
        <f t="shared" si="0"/>
        <v> </v>
      </c>
      <c r="AA9" s="13" t="str">
        <f t="shared" si="1"/>
        <v> </v>
      </c>
      <c r="AB9" s="13">
        <f t="shared" si="2"/>
        <v>0</v>
      </c>
      <c r="AC9" s="13">
        <f t="shared" si="3"/>
        <v>0</v>
      </c>
      <c r="AD9" s="13">
        <f t="shared" si="4"/>
        <v>0</v>
      </c>
      <c r="AE9" s="13"/>
      <c r="AF9" s="23">
        <f t="shared" si="5"/>
        <v>0</v>
      </c>
      <c r="AG9" s="23">
        <f t="shared" si="6"/>
        <v>0</v>
      </c>
      <c r="AH9" s="13"/>
      <c r="AI9" s="13"/>
      <c r="AJ9" s="164"/>
      <c r="AK9" s="13"/>
      <c r="AL9" s="23" t="str">
        <f t="shared" si="7"/>
        <v> </v>
      </c>
      <c r="AM9" s="13">
        <f t="shared" si="8"/>
        <v>0</v>
      </c>
      <c r="AN9" s="22" t="e">
        <f t="shared" si="9"/>
        <v>#VALUE!</v>
      </c>
      <c r="AO9" s="21">
        <f t="shared" si="10"/>
        <v>0</v>
      </c>
      <c r="AP9" s="22">
        <f t="shared" si="11"/>
        <v>0</v>
      </c>
      <c r="AQ9" s="13" t="e">
        <f t="shared" si="12"/>
        <v>#VALUE!</v>
      </c>
      <c r="AR9" s="22" t="e">
        <f t="shared" si="13"/>
        <v>#N/A</v>
      </c>
      <c r="AS9" s="13">
        <f t="shared" si="14"/>
        <v>1</v>
      </c>
      <c r="AT9" s="13">
        <f t="shared" si="15"/>
        <v>0</v>
      </c>
      <c r="AU9" s="22">
        <f t="shared" si="16"/>
        <v>0</v>
      </c>
      <c r="AV9" s="23">
        <f t="shared" si="17"/>
        <v>0</v>
      </c>
      <c r="AW9" s="23">
        <f t="shared" si="18"/>
        <v>0</v>
      </c>
      <c r="AX9" s="10" t="str">
        <f t="shared" si="19"/>
        <v> </v>
      </c>
    </row>
    <row r="10" spans="1:50" ht="15.75">
      <c r="A10" s="32" t="s">
        <v>255</v>
      </c>
      <c r="B10" s="33" t="e">
        <f>C15/I32</f>
        <v>#VALUE!</v>
      </c>
      <c r="C10" s="30" t="s">
        <v>256</v>
      </c>
      <c r="E10" s="34" t="s">
        <v>257</v>
      </c>
      <c r="F10" s="34" t="s">
        <v>258</v>
      </c>
      <c r="G10" s="34" t="s">
        <v>259</v>
      </c>
      <c r="H10" s="35" t="s">
        <v>260</v>
      </c>
      <c r="J10" s="20"/>
      <c r="K10" s="13">
        <v>7</v>
      </c>
      <c r="L10" s="20" t="s">
        <v>261</v>
      </c>
      <c r="M10" s="21">
        <v>0.545</v>
      </c>
      <c r="N10" s="21">
        <v>0.092</v>
      </c>
      <c r="O10" s="26">
        <v>60</v>
      </c>
      <c r="P10" s="22">
        <v>13.7</v>
      </c>
      <c r="Q10" s="22">
        <v>4.59</v>
      </c>
      <c r="R10" s="22">
        <v>8.87</v>
      </c>
      <c r="S10" s="22">
        <v>4</v>
      </c>
      <c r="T10" s="22"/>
      <c r="U10" s="23"/>
      <c r="V10" s="22"/>
      <c r="W10" s="23"/>
      <c r="X10" s="22"/>
      <c r="Y10" s="23"/>
      <c r="Z10" s="13" t="str">
        <f t="shared" si="0"/>
        <v> </v>
      </c>
      <c r="AA10" s="13" t="str">
        <f t="shared" si="1"/>
        <v> </v>
      </c>
      <c r="AB10" s="13">
        <f t="shared" si="2"/>
        <v>0</v>
      </c>
      <c r="AC10" s="13">
        <f t="shared" si="3"/>
        <v>0</v>
      </c>
      <c r="AD10" s="13">
        <f t="shared" si="4"/>
        <v>0</v>
      </c>
      <c r="AE10" s="13"/>
      <c r="AF10" s="23">
        <f t="shared" si="5"/>
        <v>0</v>
      </c>
      <c r="AG10" s="23">
        <f t="shared" si="6"/>
        <v>0</v>
      </c>
      <c r="AH10" s="13"/>
      <c r="AI10" s="13"/>
      <c r="AJ10" s="163"/>
      <c r="AK10" s="13"/>
      <c r="AL10" s="23" t="str">
        <f t="shared" si="7"/>
        <v> </v>
      </c>
      <c r="AM10" s="13">
        <f t="shared" si="8"/>
        <v>0</v>
      </c>
      <c r="AN10" s="22" t="e">
        <f t="shared" si="9"/>
        <v>#VALUE!</v>
      </c>
      <c r="AO10" s="21">
        <f t="shared" si="10"/>
        <v>0</v>
      </c>
      <c r="AP10" s="22">
        <f t="shared" si="11"/>
        <v>0</v>
      </c>
      <c r="AQ10" s="13" t="e">
        <f t="shared" si="12"/>
        <v>#VALUE!</v>
      </c>
      <c r="AR10" s="22" t="e">
        <f t="shared" si="13"/>
        <v>#N/A</v>
      </c>
      <c r="AS10" s="13">
        <f t="shared" si="14"/>
        <v>1</v>
      </c>
      <c r="AT10" s="13">
        <f t="shared" si="15"/>
        <v>0</v>
      </c>
      <c r="AU10" s="22">
        <f t="shared" si="16"/>
        <v>0</v>
      </c>
      <c r="AV10" s="23">
        <f t="shared" si="17"/>
        <v>0</v>
      </c>
      <c r="AW10" s="23">
        <f t="shared" si="18"/>
        <v>0</v>
      </c>
      <c r="AX10" s="10" t="str">
        <f t="shared" si="19"/>
        <v> </v>
      </c>
    </row>
    <row r="11" spans="1:50" ht="15.75">
      <c r="A11" s="30"/>
      <c r="B11" s="32" t="s">
        <v>262</v>
      </c>
      <c r="C11" s="36"/>
      <c r="D11" s="30" t="s">
        <v>263</v>
      </c>
      <c r="E11" s="37" t="s">
        <v>264</v>
      </c>
      <c r="F11" s="38" t="s">
        <v>265</v>
      </c>
      <c r="G11" s="37" t="s">
        <v>263</v>
      </c>
      <c r="H11" s="39" t="s">
        <v>266</v>
      </c>
      <c r="I11" s="40"/>
      <c r="J11" s="20"/>
      <c r="K11" s="13">
        <v>8</v>
      </c>
      <c r="L11" s="20" t="s">
        <v>267</v>
      </c>
      <c r="M11" s="21">
        <v>0.545</v>
      </c>
      <c r="N11" s="21">
        <v>0.092</v>
      </c>
      <c r="O11" s="26">
        <v>60</v>
      </c>
      <c r="P11" s="22">
        <v>13.7</v>
      </c>
      <c r="Q11" s="22">
        <v>4.59</v>
      </c>
      <c r="R11" s="22">
        <v>8.87</v>
      </c>
      <c r="S11" s="22">
        <v>4</v>
      </c>
      <c r="T11" s="22"/>
      <c r="U11" s="23"/>
      <c r="V11" s="22"/>
      <c r="W11" s="23"/>
      <c r="X11" s="22"/>
      <c r="Y11" s="23"/>
      <c r="Z11" s="13" t="str">
        <f t="shared" si="0"/>
        <v> </v>
      </c>
      <c r="AA11" s="13" t="str">
        <f t="shared" si="1"/>
        <v> </v>
      </c>
      <c r="AB11" s="13">
        <f t="shared" si="2"/>
        <v>0</v>
      </c>
      <c r="AC11" s="13">
        <f t="shared" si="3"/>
        <v>0</v>
      </c>
      <c r="AD11" s="13">
        <f t="shared" si="4"/>
        <v>0</v>
      </c>
      <c r="AE11" s="13"/>
      <c r="AF11" s="23">
        <f t="shared" si="5"/>
        <v>0</v>
      </c>
      <c r="AG11" s="23">
        <f t="shared" si="6"/>
        <v>0</v>
      </c>
      <c r="AH11" s="13"/>
      <c r="AI11" s="13"/>
      <c r="AJ11" s="163"/>
      <c r="AK11" s="13"/>
      <c r="AL11" s="23" t="str">
        <f t="shared" si="7"/>
        <v> </v>
      </c>
      <c r="AM11" s="13">
        <f t="shared" si="8"/>
        <v>0</v>
      </c>
      <c r="AN11" s="22" t="e">
        <f t="shared" si="9"/>
        <v>#VALUE!</v>
      </c>
      <c r="AO11" s="21">
        <f t="shared" si="10"/>
        <v>0</v>
      </c>
      <c r="AP11" s="22">
        <f t="shared" si="11"/>
        <v>0</v>
      </c>
      <c r="AQ11" s="13" t="e">
        <f t="shared" si="12"/>
        <v>#VALUE!</v>
      </c>
      <c r="AR11" s="22" t="e">
        <f t="shared" si="13"/>
        <v>#N/A</v>
      </c>
      <c r="AS11" s="13">
        <f t="shared" si="14"/>
        <v>1</v>
      </c>
      <c r="AT11" s="13">
        <f t="shared" si="15"/>
        <v>0</v>
      </c>
      <c r="AU11" s="22">
        <f t="shared" si="16"/>
        <v>0</v>
      </c>
      <c r="AV11" s="23">
        <f t="shared" si="17"/>
        <v>0</v>
      </c>
      <c r="AW11" s="23">
        <f t="shared" si="18"/>
        <v>0</v>
      </c>
      <c r="AX11" s="10" t="str">
        <f t="shared" si="19"/>
        <v> </v>
      </c>
    </row>
    <row r="12" spans="1:50" ht="15.75">
      <c r="A12" s="30"/>
      <c r="B12" s="32" t="s">
        <v>268</v>
      </c>
      <c r="C12" s="36">
        <v>0</v>
      </c>
      <c r="D12" s="30" t="s">
        <v>263</v>
      </c>
      <c r="E12" s="41"/>
      <c r="F12" s="42">
        <v>0</v>
      </c>
      <c r="G12" s="42">
        <v>0</v>
      </c>
      <c r="H12" s="43">
        <v>0</v>
      </c>
      <c r="I12" s="44"/>
      <c r="J12" s="20"/>
      <c r="K12" s="13">
        <v>9</v>
      </c>
      <c r="L12" s="20" t="s">
        <v>269</v>
      </c>
      <c r="M12" s="21">
        <v>0.875</v>
      </c>
      <c r="N12" s="21">
        <v>0.252</v>
      </c>
      <c r="O12" s="26">
        <v>60</v>
      </c>
      <c r="P12" s="22">
        <v>27.62</v>
      </c>
      <c r="Q12" s="22">
        <v>10.48</v>
      </c>
      <c r="R12" s="22">
        <v>11.43</v>
      </c>
      <c r="S12" s="22">
        <v>80</v>
      </c>
      <c r="T12" s="22"/>
      <c r="U12" s="23"/>
      <c r="V12" s="22"/>
      <c r="W12" s="23"/>
      <c r="X12" s="22"/>
      <c r="Y12" s="23"/>
      <c r="Z12" s="13" t="str">
        <f t="shared" si="0"/>
        <v>  </v>
      </c>
      <c r="AA12" s="13" t="str">
        <f t="shared" si="1"/>
        <v> </v>
      </c>
      <c r="AB12" s="13">
        <f t="shared" si="2"/>
        <v>0</v>
      </c>
      <c r="AC12" s="13">
        <f t="shared" si="3"/>
        <v>0</v>
      </c>
      <c r="AD12" s="13">
        <f t="shared" si="4"/>
        <v>0</v>
      </c>
      <c r="AE12" s="13"/>
      <c r="AF12" s="23">
        <f t="shared" si="5"/>
        <v>0</v>
      </c>
      <c r="AG12" s="23">
        <f t="shared" si="6"/>
        <v>0</v>
      </c>
      <c r="AH12" s="13"/>
      <c r="AI12" s="13"/>
      <c r="AJ12" s="163"/>
      <c r="AK12" s="13"/>
      <c r="AL12" s="23" t="str">
        <f t="shared" si="7"/>
        <v> </v>
      </c>
      <c r="AM12" s="13">
        <f t="shared" si="8"/>
        <v>0</v>
      </c>
      <c r="AN12" s="22" t="e">
        <f t="shared" si="9"/>
        <v>#VALUE!</v>
      </c>
      <c r="AO12" s="21">
        <f t="shared" si="10"/>
        <v>0</v>
      </c>
      <c r="AP12" s="22">
        <f t="shared" si="11"/>
        <v>0</v>
      </c>
      <c r="AQ12" s="13" t="e">
        <f t="shared" si="12"/>
        <v>#VALUE!</v>
      </c>
      <c r="AR12" s="22" t="e">
        <f t="shared" si="13"/>
        <v>#N/A</v>
      </c>
      <c r="AS12" s="13">
        <f t="shared" si="14"/>
        <v>1</v>
      </c>
      <c r="AT12" s="13">
        <f t="shared" si="15"/>
        <v>0</v>
      </c>
      <c r="AU12" s="22">
        <f t="shared" si="16"/>
        <v>0</v>
      </c>
      <c r="AV12" s="23">
        <f t="shared" si="17"/>
        <v>0</v>
      </c>
      <c r="AW12" s="23">
        <f t="shared" si="18"/>
        <v>0</v>
      </c>
      <c r="AX12" s="10" t="str">
        <f t="shared" si="19"/>
        <v> </v>
      </c>
    </row>
    <row r="13" spans="1:50" ht="15.75">
      <c r="A13" s="30"/>
      <c r="B13" s="32" t="s">
        <v>270</v>
      </c>
      <c r="C13" s="45">
        <f>C11+(G27/12)</f>
        <v>0.2916666666666667</v>
      </c>
      <c r="D13" s="30" t="s">
        <v>263</v>
      </c>
      <c r="E13" s="36"/>
      <c r="F13" s="41"/>
      <c r="G13" s="42" t="str">
        <f aca="true" t="shared" si="20" ref="G13:G24">IF(F13&gt;0,(+K36*L36),+$J$32)</f>
        <v> </v>
      </c>
      <c r="H13" s="43" t="str">
        <f>IF(F13&gt;0,SUM($G$12:G13),+$J$32)</f>
        <v> </v>
      </c>
      <c r="I13" s="44"/>
      <c r="J13" s="20"/>
      <c r="K13" s="13">
        <v>10</v>
      </c>
      <c r="L13" s="20" t="s">
        <v>271</v>
      </c>
      <c r="M13" s="21">
        <v>1.2</v>
      </c>
      <c r="N13" s="21">
        <v>0.252</v>
      </c>
      <c r="O13" s="26">
        <v>60</v>
      </c>
      <c r="P13" s="22">
        <v>33.33</v>
      </c>
      <c r="Q13" s="22">
        <v>7.5</v>
      </c>
      <c r="R13" s="22">
        <v>10.42</v>
      </c>
      <c r="S13" s="22">
        <v>80</v>
      </c>
      <c r="T13" s="22"/>
      <c r="U13" s="23"/>
      <c r="V13" s="22"/>
      <c r="W13" s="23"/>
      <c r="X13" s="22"/>
      <c r="Y13" s="23"/>
      <c r="Z13" s="13" t="str">
        <f t="shared" si="0"/>
        <v> </v>
      </c>
      <c r="AA13" s="13" t="str">
        <f t="shared" si="1"/>
        <v> </v>
      </c>
      <c r="AB13" s="13">
        <f t="shared" si="2"/>
        <v>0</v>
      </c>
      <c r="AC13" s="13">
        <f t="shared" si="3"/>
        <v>0</v>
      </c>
      <c r="AD13" s="13">
        <f t="shared" si="4"/>
        <v>0</v>
      </c>
      <c r="AE13" s="13"/>
      <c r="AF13" s="23">
        <f t="shared" si="5"/>
        <v>0</v>
      </c>
      <c r="AG13" s="23">
        <f t="shared" si="6"/>
        <v>0</v>
      </c>
      <c r="AH13" s="13"/>
      <c r="AI13" s="13"/>
      <c r="AJ13" s="163"/>
      <c r="AK13" s="13"/>
      <c r="AL13" s="23" t="str">
        <f t="shared" si="7"/>
        <v> </v>
      </c>
      <c r="AM13" s="13">
        <f t="shared" si="8"/>
        <v>0</v>
      </c>
      <c r="AN13" s="22" t="e">
        <f t="shared" si="9"/>
        <v>#VALUE!</v>
      </c>
      <c r="AO13" s="21">
        <f t="shared" si="10"/>
        <v>0</v>
      </c>
      <c r="AP13" s="22">
        <f t="shared" si="11"/>
        <v>0</v>
      </c>
      <c r="AQ13" s="13" t="e">
        <f t="shared" si="12"/>
        <v>#VALUE!</v>
      </c>
      <c r="AR13" s="22" t="e">
        <f t="shared" si="13"/>
        <v>#N/A</v>
      </c>
      <c r="AS13" s="13">
        <f t="shared" si="14"/>
        <v>1</v>
      </c>
      <c r="AT13" s="13">
        <f t="shared" si="15"/>
        <v>0</v>
      </c>
      <c r="AU13" s="22">
        <f t="shared" si="16"/>
        <v>0</v>
      </c>
      <c r="AV13" s="23">
        <f t="shared" si="17"/>
        <v>0</v>
      </c>
      <c r="AW13" s="23">
        <f t="shared" si="18"/>
        <v>0</v>
      </c>
      <c r="AX13" s="10" t="str">
        <f t="shared" si="19"/>
        <v> </v>
      </c>
    </row>
    <row r="14" spans="1:50" ht="15.75">
      <c r="A14" s="30"/>
      <c r="B14" s="32" t="s">
        <v>272</v>
      </c>
      <c r="C14" s="45">
        <f>C11-E12</f>
        <v>0</v>
      </c>
      <c r="D14" s="30" t="s">
        <v>263</v>
      </c>
      <c r="E14" s="36"/>
      <c r="F14" s="41"/>
      <c r="G14" s="42" t="str">
        <f t="shared" si="20"/>
        <v> </v>
      </c>
      <c r="H14" s="43" t="str">
        <f>IF(F14&gt;0,SUM($G$12:G14),+$J$32)</f>
        <v> </v>
      </c>
      <c r="I14" s="44"/>
      <c r="J14" s="20"/>
      <c r="K14" s="13">
        <v>11</v>
      </c>
      <c r="L14" s="20" t="s">
        <v>273</v>
      </c>
      <c r="M14" s="21">
        <v>0.89</v>
      </c>
      <c r="N14" s="21">
        <v>0.252</v>
      </c>
      <c r="O14" s="26">
        <v>60</v>
      </c>
      <c r="P14" s="22">
        <v>31.09</v>
      </c>
      <c r="Q14" s="22">
        <v>8.61</v>
      </c>
      <c r="R14" s="22">
        <v>10.11</v>
      </c>
      <c r="S14" s="22">
        <v>30</v>
      </c>
      <c r="T14" s="22"/>
      <c r="U14" s="23"/>
      <c r="V14" s="22"/>
      <c r="W14" s="23"/>
      <c r="X14" s="22"/>
      <c r="Y14" s="23"/>
      <c r="Z14" s="13" t="str">
        <f t="shared" si="0"/>
        <v> </v>
      </c>
      <c r="AA14" s="13" t="str">
        <f t="shared" si="1"/>
        <v> </v>
      </c>
      <c r="AB14" s="13">
        <f t="shared" si="2"/>
        <v>0</v>
      </c>
      <c r="AC14" s="13">
        <f t="shared" si="3"/>
        <v>0</v>
      </c>
      <c r="AD14" s="13">
        <f t="shared" si="4"/>
        <v>0</v>
      </c>
      <c r="AE14" s="13"/>
      <c r="AF14" s="23">
        <f t="shared" si="5"/>
        <v>0</v>
      </c>
      <c r="AG14" s="23">
        <f t="shared" si="6"/>
        <v>0</v>
      </c>
      <c r="AH14" s="13"/>
      <c r="AI14" s="13"/>
      <c r="AJ14" s="163"/>
      <c r="AK14" s="13"/>
      <c r="AL14" s="23" t="str">
        <f t="shared" si="7"/>
        <v> </v>
      </c>
      <c r="AM14" s="13">
        <f t="shared" si="8"/>
        <v>0</v>
      </c>
      <c r="AN14" s="22" t="e">
        <f t="shared" si="9"/>
        <v>#VALUE!</v>
      </c>
      <c r="AO14" s="21">
        <f t="shared" si="10"/>
        <v>0</v>
      </c>
      <c r="AP14" s="22">
        <f t="shared" si="11"/>
        <v>0</v>
      </c>
      <c r="AQ14" s="13" t="e">
        <f t="shared" si="12"/>
        <v>#VALUE!</v>
      </c>
      <c r="AR14" s="22" t="e">
        <f t="shared" si="13"/>
        <v>#N/A</v>
      </c>
      <c r="AS14" s="13">
        <f t="shared" si="14"/>
        <v>1</v>
      </c>
      <c r="AT14" s="13">
        <f t="shared" si="15"/>
        <v>0</v>
      </c>
      <c r="AU14" s="22">
        <f t="shared" si="16"/>
        <v>0</v>
      </c>
      <c r="AV14" s="23">
        <f t="shared" si="17"/>
        <v>0</v>
      </c>
      <c r="AW14" s="23">
        <f t="shared" si="18"/>
        <v>0</v>
      </c>
      <c r="AX14" s="10" t="str">
        <f t="shared" si="19"/>
        <v> </v>
      </c>
    </row>
    <row r="15" spans="1:50" ht="15.75">
      <c r="A15" s="30"/>
      <c r="B15" s="32" t="s">
        <v>274</v>
      </c>
      <c r="C15" s="44">
        <f>VLOOKUP(C11,E12:H24,4)</f>
        <v>0</v>
      </c>
      <c r="D15" s="30" t="s">
        <v>275</v>
      </c>
      <c r="E15" s="36"/>
      <c r="F15" s="41"/>
      <c r="G15" s="42" t="str">
        <f t="shared" si="20"/>
        <v> </v>
      </c>
      <c r="H15" s="43" t="str">
        <f>IF(F15&gt;0,SUM($G$12:G15),+$J$32)</f>
        <v> </v>
      </c>
      <c r="I15" s="44"/>
      <c r="J15" s="20"/>
      <c r="K15" s="13">
        <v>12</v>
      </c>
      <c r="L15" s="20" t="s">
        <v>276</v>
      </c>
      <c r="M15" s="21">
        <v>0.62</v>
      </c>
      <c r="N15" s="21">
        <v>0.25</v>
      </c>
      <c r="O15" s="26">
        <v>65</v>
      </c>
      <c r="P15" s="22">
        <v>22.33</v>
      </c>
      <c r="Q15" s="22">
        <v>3.28</v>
      </c>
      <c r="R15" s="22">
        <v>15.88</v>
      </c>
      <c r="S15" s="22">
        <v>8</v>
      </c>
      <c r="T15" s="22"/>
      <c r="U15" s="23"/>
      <c r="V15" s="22"/>
      <c r="W15" s="23"/>
      <c r="X15" s="22"/>
      <c r="Y15" s="23"/>
      <c r="Z15" s="13"/>
      <c r="AA15" s="13"/>
      <c r="AB15" s="13"/>
      <c r="AC15" s="13"/>
      <c r="AD15" s="13"/>
      <c r="AE15" s="13"/>
      <c r="AF15" s="23"/>
      <c r="AG15" s="26"/>
      <c r="AH15" s="13"/>
      <c r="AI15" s="13"/>
      <c r="AJ15" s="163"/>
      <c r="AK15" s="13"/>
      <c r="AL15" s="23" t="str">
        <f t="shared" si="7"/>
        <v> </v>
      </c>
      <c r="AM15" s="13">
        <f t="shared" si="8"/>
        <v>0</v>
      </c>
      <c r="AN15" s="22" t="e">
        <f t="shared" si="9"/>
        <v>#VALUE!</v>
      </c>
      <c r="AO15" s="21">
        <f t="shared" si="10"/>
        <v>0</v>
      </c>
      <c r="AP15" s="22">
        <f t="shared" si="11"/>
        <v>0</v>
      </c>
      <c r="AQ15" s="13" t="e">
        <f t="shared" si="12"/>
        <v>#VALUE!</v>
      </c>
      <c r="AR15" s="22" t="e">
        <f t="shared" si="13"/>
        <v>#N/A</v>
      </c>
      <c r="AS15" s="13">
        <f t="shared" si="14"/>
        <v>1</v>
      </c>
      <c r="AT15" s="13">
        <f t="shared" si="15"/>
        <v>0</v>
      </c>
      <c r="AU15" s="22">
        <f t="shared" si="16"/>
        <v>0</v>
      </c>
      <c r="AV15" s="23">
        <f t="shared" si="17"/>
        <v>0</v>
      </c>
      <c r="AW15" s="23">
        <f t="shared" si="18"/>
        <v>0</v>
      </c>
      <c r="AX15" s="10" t="str">
        <f t="shared" si="19"/>
        <v> </v>
      </c>
    </row>
    <row r="16" spans="1:48" ht="15.75">
      <c r="A16" s="30"/>
      <c r="B16" s="32" t="s">
        <v>277</v>
      </c>
      <c r="C16" s="46">
        <f>C15*43560/27</f>
        <v>0</v>
      </c>
      <c r="D16" s="30" t="s">
        <v>278</v>
      </c>
      <c r="E16" s="36"/>
      <c r="F16" s="41"/>
      <c r="G16" s="42" t="str">
        <f t="shared" si="20"/>
        <v> </v>
      </c>
      <c r="H16" s="43" t="str">
        <f>IF(F16&gt;0,SUM($G$12:G16),+$J$32)</f>
        <v> </v>
      </c>
      <c r="I16" s="44"/>
      <c r="J16" s="20"/>
      <c r="K16" s="13">
        <v>13</v>
      </c>
      <c r="L16" s="20" t="s">
        <v>295</v>
      </c>
      <c r="M16" s="21">
        <v>0.75</v>
      </c>
      <c r="N16" s="21">
        <v>0.2</v>
      </c>
      <c r="O16" s="26">
        <v>60</v>
      </c>
      <c r="P16" s="22">
        <v>12</v>
      </c>
      <c r="Q16" s="22">
        <v>2.04</v>
      </c>
      <c r="R16" s="22">
        <v>7.56</v>
      </c>
      <c r="S16" s="22">
        <v>1</v>
      </c>
      <c r="T16" s="22"/>
      <c r="U16" s="23"/>
      <c r="V16" s="22"/>
      <c r="W16" s="23"/>
      <c r="X16" s="22"/>
      <c r="Y16" s="23"/>
      <c r="Z16" s="13"/>
      <c r="AA16" s="13"/>
      <c r="AB16" s="13"/>
      <c r="AC16" s="13"/>
      <c r="AD16" s="13"/>
      <c r="AE16" s="13"/>
      <c r="AF16" s="23"/>
      <c r="AG16" s="26"/>
      <c r="AH16" s="13"/>
      <c r="AI16" s="13"/>
      <c r="AJ16" s="163"/>
      <c r="AK16" s="163"/>
      <c r="AL16" s="22"/>
      <c r="AM16" s="13"/>
      <c r="AN16" s="13"/>
      <c r="AO16" s="13"/>
      <c r="AP16" s="22"/>
      <c r="AQ16" s="13"/>
      <c r="AR16" s="22"/>
      <c r="AS16" s="13"/>
      <c r="AT16" s="13"/>
      <c r="AU16" s="47"/>
      <c r="AV16" s="23"/>
    </row>
    <row r="17" spans="1:48" ht="15.75">
      <c r="A17" s="1414" t="s">
        <v>296</v>
      </c>
      <c r="B17" s="1414"/>
      <c r="C17" s="416">
        <f>'Nutrient Management Planner'!H72</f>
        <v>0</v>
      </c>
      <c r="D17" s="10" t="s">
        <v>297</v>
      </c>
      <c r="E17" s="36"/>
      <c r="F17" s="41"/>
      <c r="G17" s="42" t="str">
        <f t="shared" si="20"/>
        <v> </v>
      </c>
      <c r="H17" s="43" t="str">
        <f>IF(F17&gt;0,SUM($G$12:G17),+$J$32)</f>
        <v> </v>
      </c>
      <c r="I17" s="44"/>
      <c r="J17" s="13"/>
      <c r="K17" s="13"/>
      <c r="L17" s="13"/>
      <c r="M17" s="13"/>
      <c r="N17" s="13"/>
      <c r="O17" s="13"/>
      <c r="P17" s="13"/>
      <c r="Q17" s="13"/>
      <c r="R17" s="23"/>
      <c r="S17" s="23"/>
      <c r="T17" s="13"/>
      <c r="U17" s="23"/>
      <c r="V17" s="13"/>
      <c r="W17" s="23"/>
      <c r="X17" s="13"/>
      <c r="Y17" s="23"/>
      <c r="Z17" s="13"/>
      <c r="AA17" s="13"/>
      <c r="AB17" s="13"/>
      <c r="AC17" s="13"/>
      <c r="AD17" s="13"/>
      <c r="AE17" s="13"/>
      <c r="AF17" s="49" t="s">
        <v>298</v>
      </c>
      <c r="AG17" s="49" t="s">
        <v>298</v>
      </c>
      <c r="AH17" s="13"/>
      <c r="AI17" s="13"/>
      <c r="AJ17" s="163"/>
      <c r="AK17" s="163"/>
      <c r="AL17" s="22"/>
      <c r="AM17" s="13"/>
      <c r="AN17" s="13"/>
      <c r="AO17" s="13"/>
      <c r="AP17" s="22"/>
      <c r="AQ17" s="13"/>
      <c r="AR17" s="22"/>
      <c r="AS17" s="13"/>
      <c r="AT17" s="13"/>
      <c r="AU17" s="47"/>
      <c r="AV17" s="23"/>
    </row>
    <row r="18" spans="1:69" ht="15.75">
      <c r="A18" s="1405" t="s">
        <v>299</v>
      </c>
      <c r="B18" s="1414"/>
      <c r="C18" s="51">
        <f>((Q37+G31)*27)/43560</f>
        <v>0</v>
      </c>
      <c r="D18" s="52" t="s">
        <v>275</v>
      </c>
      <c r="E18" s="36"/>
      <c r="F18" s="41"/>
      <c r="G18" s="42" t="str">
        <f t="shared" si="20"/>
        <v> </v>
      </c>
      <c r="H18" s="43" t="str">
        <f>IF(F18&gt;0,SUM($G$12:G18),+$J$32)</f>
        <v> </v>
      </c>
      <c r="I18" s="44"/>
      <c r="J18" s="13"/>
      <c r="L18" s="13"/>
      <c r="M18" s="20" t="s">
        <v>205</v>
      </c>
      <c r="N18" s="20" t="s">
        <v>206</v>
      </c>
      <c r="O18" s="13"/>
      <c r="P18" s="20" t="s">
        <v>207</v>
      </c>
      <c r="Q18" s="20" t="s">
        <v>300</v>
      </c>
      <c r="R18" s="20" t="s">
        <v>301</v>
      </c>
      <c r="S18" s="20" t="s">
        <v>302</v>
      </c>
      <c r="T18" s="20" t="s">
        <v>181</v>
      </c>
      <c r="U18" s="20" t="s">
        <v>181</v>
      </c>
      <c r="V18" s="20" t="s">
        <v>189</v>
      </c>
      <c r="W18" s="20" t="s">
        <v>189</v>
      </c>
      <c r="X18" s="20" t="s">
        <v>188</v>
      </c>
      <c r="Y18" s="20" t="s">
        <v>188</v>
      </c>
      <c r="Z18" s="13"/>
      <c r="AA18" s="13"/>
      <c r="AB18" s="13"/>
      <c r="AC18" s="13"/>
      <c r="AD18" s="13"/>
      <c r="AE18" s="53" t="s">
        <v>303</v>
      </c>
      <c r="AF18" s="23">
        <f>SUM(AF4:AF14)/1000</f>
        <v>0</v>
      </c>
      <c r="AG18" s="23">
        <f>SUM(AG4:AG16)</f>
        <v>0</v>
      </c>
      <c r="AJ18" s="13"/>
      <c r="AK18" s="13"/>
      <c r="AL18" s="13"/>
      <c r="AM18" s="13"/>
      <c r="AN18" s="13"/>
      <c r="AO18" s="13"/>
      <c r="AP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row>
    <row r="19" spans="1:69" ht="15.75">
      <c r="A19" s="1405" t="s">
        <v>304</v>
      </c>
      <c r="B19" s="1406"/>
      <c r="C19" s="54">
        <v>0</v>
      </c>
      <c r="D19" s="30" t="s">
        <v>263</v>
      </c>
      <c r="E19" s="36"/>
      <c r="F19" s="41"/>
      <c r="G19" s="42" t="str">
        <f t="shared" si="20"/>
        <v> </v>
      </c>
      <c r="H19" s="43" t="str">
        <f>IF(F19&gt;0,SUM($G$12:G19),+$J$32)</f>
        <v> </v>
      </c>
      <c r="I19" s="44"/>
      <c r="J19" s="13"/>
      <c r="K19" s="13"/>
      <c r="L19" s="13"/>
      <c r="M19" s="20" t="s">
        <v>214</v>
      </c>
      <c r="N19" s="20" t="s">
        <v>215</v>
      </c>
      <c r="O19" s="20" t="s">
        <v>305</v>
      </c>
      <c r="P19" s="20" t="s">
        <v>216</v>
      </c>
      <c r="Q19" s="20" t="s">
        <v>214</v>
      </c>
      <c r="R19" s="20" t="s">
        <v>306</v>
      </c>
      <c r="S19" s="20" t="s">
        <v>307</v>
      </c>
      <c r="T19" s="20" t="s">
        <v>217</v>
      </c>
      <c r="U19" s="20" t="s">
        <v>308</v>
      </c>
      <c r="V19" s="20" t="s">
        <v>217</v>
      </c>
      <c r="W19" s="20" t="s">
        <v>308</v>
      </c>
      <c r="X19" s="20" t="s">
        <v>217</v>
      </c>
      <c r="Y19" s="20" t="s">
        <v>308</v>
      </c>
      <c r="Z19" s="13"/>
      <c r="AA19" s="13"/>
      <c r="AB19" s="13"/>
      <c r="AC19" s="13"/>
      <c r="AD19" s="13"/>
      <c r="AE19" s="13"/>
      <c r="AF19" s="53" t="s">
        <v>309</v>
      </c>
      <c r="AG19" s="53" t="s">
        <v>208</v>
      </c>
      <c r="AH19" s="13"/>
      <c r="AI19" s="13"/>
      <c r="AJ19" s="13"/>
      <c r="AK19" s="13"/>
      <c r="AL19" s="13"/>
      <c r="AM19" s="13"/>
      <c r="AN19" s="13"/>
      <c r="AO19" s="13"/>
      <c r="AP19" s="13"/>
      <c r="AQ19" s="13"/>
      <c r="AR19" s="13"/>
      <c r="AS19" s="13"/>
      <c r="AT19" s="13"/>
      <c r="AU19" s="13"/>
      <c r="AV19" s="13"/>
      <c r="AW19" s="23">
        <f>SUM(AW5:AW15)</f>
        <v>0</v>
      </c>
      <c r="AX19" s="13" t="s">
        <v>310</v>
      </c>
      <c r="AY19" s="13"/>
      <c r="AZ19" s="13"/>
      <c r="BA19" s="13"/>
      <c r="BB19" s="13"/>
      <c r="BC19" s="13"/>
      <c r="BD19" s="13"/>
      <c r="BE19" s="13"/>
      <c r="BF19" s="13"/>
      <c r="BG19" s="13"/>
      <c r="BH19" s="13"/>
      <c r="BI19" s="13"/>
      <c r="BJ19" s="13"/>
      <c r="BK19" s="13"/>
      <c r="BL19" s="13"/>
      <c r="BM19" s="13"/>
      <c r="BN19" s="13"/>
      <c r="BO19" s="13"/>
      <c r="BP19" s="13"/>
      <c r="BQ19" s="13"/>
    </row>
    <row r="20" spans="1:69" ht="15.75">
      <c r="A20" s="31" t="s">
        <v>317</v>
      </c>
      <c r="B20" s="55" t="s">
        <v>318</v>
      </c>
      <c r="C20" s="56" t="s">
        <v>319</v>
      </c>
      <c r="D20" s="57" t="s">
        <v>320</v>
      </c>
      <c r="E20" s="36"/>
      <c r="F20" s="41"/>
      <c r="G20" s="42" t="str">
        <f t="shared" si="20"/>
        <v> </v>
      </c>
      <c r="H20" s="43" t="str">
        <f>IF(F20&gt;0,SUM($G$12:G20),+$J$32)</f>
        <v> </v>
      </c>
      <c r="I20" s="44"/>
      <c r="J20" s="13"/>
      <c r="K20" s="13">
        <f aca="true" t="shared" si="21" ref="K20:K31">E38</f>
      </c>
      <c r="L20" s="13" t="str">
        <f aca="true" t="shared" si="22" ref="L20:L28">IF(E38&lt;1,$K$32,VLOOKUP(K20,$K$4:$R$16,2))</f>
        <v> </v>
      </c>
      <c r="M20" s="21">
        <f aca="true" t="shared" si="23" ref="M20:M31">IF(E38&lt;1,0,VLOOKUP(E38,$K$4:$R$16,3))</f>
        <v>0</v>
      </c>
      <c r="N20" s="13">
        <f aca="true" t="shared" si="24" ref="N20:N31">IF(E38&lt;1,0,VLOOKUP(E38,$K$4:$R$16,4))</f>
        <v>0</v>
      </c>
      <c r="O20" s="13">
        <f aca="true" t="shared" si="25" ref="O20:O31">IF(I38&lt;1,$C$7,I38)</f>
        <v>0</v>
      </c>
      <c r="P20" s="13">
        <f aca="true" t="shared" si="26" ref="P20:P31">IF(E38&lt;1,0,VLOOKUP(E38,$K$4:$Y$16,5))</f>
        <v>0</v>
      </c>
      <c r="Q20" s="21">
        <f aca="true" t="shared" si="27" ref="Q20:Q31">SUM(R20/1000)</f>
        <v>0</v>
      </c>
      <c r="R20" s="23">
        <f aca="true" t="shared" si="28" ref="R20:R31">IF(I38&lt;1,SUM(G38*H38*$C$7)/(1000)*M20,SUM(G38*H38*I38)/(1000)*M20)</f>
        <v>0</v>
      </c>
      <c r="S20" s="23">
        <f aca="true" t="shared" si="29" ref="S20:S31">IF(E38&lt;1,0,SUM(P20*R20)/2000)</f>
        <v>0</v>
      </c>
      <c r="T20" s="13">
        <f aca="true" t="shared" si="30" ref="T20:T31">IF(E38&lt;1,0,VLOOKUP(E38,$K$4:$Y$16,6))</f>
        <v>0</v>
      </c>
      <c r="U20" s="23">
        <f aca="true" t="shared" si="31" ref="U20:U31">SUM(S20*T20)</f>
        <v>0</v>
      </c>
      <c r="V20" s="13">
        <f aca="true" t="shared" si="32" ref="V20:V31">IF(E38&lt;1,0,VLOOKUP(E38,$K$4:$Y$16,7))</f>
        <v>0</v>
      </c>
      <c r="W20" s="23">
        <f aca="true" t="shared" si="33" ref="W20:W31">SUM((S20*V20)*2.29)</f>
        <v>0</v>
      </c>
      <c r="X20" s="13">
        <f aca="true" t="shared" si="34" ref="X20:X31">IF(E38&lt;1,0,VLOOKUP(E38,$K$4:$Y$16,8))</f>
        <v>0</v>
      </c>
      <c r="Y20" s="23">
        <f aca="true" t="shared" si="35" ref="Y20:Y31">SUM((S20*X20)*1.21)</f>
        <v>0</v>
      </c>
      <c r="AJ20" s="12" t="s">
        <v>321</v>
      </c>
      <c r="AK20" s="12" t="s">
        <v>322</v>
      </c>
      <c r="AL20" s="12" t="s">
        <v>233</v>
      </c>
      <c r="AM20" s="12" t="s">
        <v>234</v>
      </c>
      <c r="AN20" s="12" t="s">
        <v>323</v>
      </c>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ht="15.75">
      <c r="A21" s="32" t="s">
        <v>324</v>
      </c>
      <c r="B21" s="58">
        <f>SUM(B22)+($B$23*$B$24*2)</f>
        <v>0</v>
      </c>
      <c r="C21" s="58">
        <f>SUM(C22)+($B$23*$C$24*2)</f>
        <v>0</v>
      </c>
      <c r="D21" s="51">
        <f>B21*C21/43560</f>
        <v>0</v>
      </c>
      <c r="E21" s="36"/>
      <c r="F21" s="41"/>
      <c r="G21" s="42" t="str">
        <f t="shared" si="20"/>
        <v> </v>
      </c>
      <c r="H21" s="43" t="str">
        <f>IF(F21&gt;0,SUM($G$12:G21),+$J$32)</f>
        <v> </v>
      </c>
      <c r="I21" s="44"/>
      <c r="J21" s="13"/>
      <c r="K21" s="13">
        <f t="shared" si="21"/>
      </c>
      <c r="L21" s="13" t="str">
        <f t="shared" si="22"/>
        <v> </v>
      </c>
      <c r="M21" s="21">
        <f t="shared" si="23"/>
        <v>0</v>
      </c>
      <c r="N21" s="13">
        <f t="shared" si="24"/>
        <v>0</v>
      </c>
      <c r="O21" s="13">
        <f t="shared" si="25"/>
        <v>0</v>
      </c>
      <c r="P21" s="13">
        <f t="shared" si="26"/>
        <v>0</v>
      </c>
      <c r="Q21" s="21">
        <f t="shared" si="27"/>
        <v>0</v>
      </c>
      <c r="R21" s="23">
        <f t="shared" si="28"/>
        <v>0</v>
      </c>
      <c r="S21" s="23">
        <f t="shared" si="29"/>
        <v>0</v>
      </c>
      <c r="T21" s="13">
        <f t="shared" si="30"/>
        <v>0</v>
      </c>
      <c r="U21" s="23">
        <f t="shared" si="31"/>
        <v>0</v>
      </c>
      <c r="V21" s="13">
        <f t="shared" si="32"/>
        <v>0</v>
      </c>
      <c r="W21" s="23">
        <f t="shared" si="33"/>
        <v>0</v>
      </c>
      <c r="X21" s="13">
        <f t="shared" si="34"/>
        <v>0</v>
      </c>
      <c r="Y21" s="23">
        <f t="shared" si="35"/>
        <v>0</v>
      </c>
      <c r="AJ21" s="12" t="s">
        <v>325</v>
      </c>
      <c r="AK21" s="12" t="s">
        <v>326</v>
      </c>
      <c r="AL21" s="12" t="s">
        <v>326</v>
      </c>
      <c r="AM21" s="12" t="s">
        <v>327</v>
      </c>
      <c r="AN21" s="12" t="s">
        <v>327</v>
      </c>
      <c r="AU21" s="13"/>
      <c r="AV21" s="13"/>
      <c r="AW21" s="13"/>
      <c r="AX21" s="13"/>
      <c r="AY21" s="13"/>
      <c r="AZ21" s="13"/>
      <c r="BA21" s="13"/>
      <c r="BB21" s="13"/>
      <c r="BC21" s="13"/>
      <c r="BD21" s="13"/>
      <c r="BE21" s="13"/>
      <c r="BF21" s="13"/>
      <c r="BG21" s="13"/>
      <c r="BH21" s="13"/>
      <c r="BI21" s="13"/>
      <c r="BJ21" s="13"/>
      <c r="BK21" s="13"/>
      <c r="BL21" s="13"/>
      <c r="BM21" s="13"/>
      <c r="BN21" s="13"/>
      <c r="BO21" s="13"/>
      <c r="BP21" s="13"/>
      <c r="BQ21" s="13"/>
    </row>
    <row r="22" spans="1:69" ht="15.75">
      <c r="A22" s="32" t="s">
        <v>328</v>
      </c>
      <c r="B22" s="59">
        <v>0</v>
      </c>
      <c r="C22" s="59">
        <v>0</v>
      </c>
      <c r="D22" s="51">
        <f>B22*C22/43560</f>
        <v>0</v>
      </c>
      <c r="E22" s="60"/>
      <c r="F22" s="61"/>
      <c r="G22" s="42" t="str">
        <f t="shared" si="20"/>
        <v> </v>
      </c>
      <c r="H22" s="43" t="str">
        <f>IF(F22&gt;0,SUM($G$12:G22),+$J$32)</f>
        <v> </v>
      </c>
      <c r="I22" s="62"/>
      <c r="J22" s="13"/>
      <c r="K22" s="13">
        <f t="shared" si="21"/>
      </c>
      <c r="L22" s="13" t="str">
        <f t="shared" si="22"/>
        <v> </v>
      </c>
      <c r="M22" s="21">
        <f t="shared" si="23"/>
        <v>0</v>
      </c>
      <c r="N22" s="13">
        <f t="shared" si="24"/>
        <v>0</v>
      </c>
      <c r="O22" s="13">
        <f t="shared" si="25"/>
        <v>0</v>
      </c>
      <c r="P22" s="13">
        <f t="shared" si="26"/>
        <v>0</v>
      </c>
      <c r="Q22" s="21">
        <f t="shared" si="27"/>
        <v>0</v>
      </c>
      <c r="R22" s="23">
        <f t="shared" si="28"/>
        <v>0</v>
      </c>
      <c r="S22" s="23">
        <f t="shared" si="29"/>
        <v>0</v>
      </c>
      <c r="T22" s="13">
        <f t="shared" si="30"/>
        <v>0</v>
      </c>
      <c r="U22" s="23">
        <f t="shared" si="31"/>
        <v>0</v>
      </c>
      <c r="V22" s="13">
        <f t="shared" si="32"/>
        <v>0</v>
      </c>
      <c r="W22" s="23">
        <f t="shared" si="33"/>
        <v>0</v>
      </c>
      <c r="X22" s="13">
        <f t="shared" si="34"/>
        <v>0</v>
      </c>
      <c r="Y22" s="23">
        <f t="shared" si="35"/>
        <v>0</v>
      </c>
      <c r="AI22" s="10">
        <v>1</v>
      </c>
      <c r="AJ22" s="10">
        <v>0.55</v>
      </c>
      <c r="AK22" s="10">
        <v>0.2</v>
      </c>
      <c r="AL22" s="10">
        <v>1</v>
      </c>
      <c r="AM22" s="10">
        <v>0.3</v>
      </c>
      <c r="AN22" s="10">
        <v>0.5</v>
      </c>
      <c r="AO22" s="63" t="s">
        <v>227</v>
      </c>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ht="15.75">
      <c r="A23" s="32" t="s">
        <v>329</v>
      </c>
      <c r="B23" s="36">
        <v>0</v>
      </c>
      <c r="C23" s="1409" t="s">
        <v>330</v>
      </c>
      <c r="D23" s="1401"/>
      <c r="E23" s="60"/>
      <c r="F23" s="61"/>
      <c r="G23" s="42" t="str">
        <f t="shared" si="20"/>
        <v> </v>
      </c>
      <c r="H23" s="43" t="str">
        <f>IF(F23&gt;0,SUM($G$12:G23),+$J$32)</f>
        <v> </v>
      </c>
      <c r="I23" s="62"/>
      <c r="J23" s="13"/>
      <c r="K23" s="13">
        <f t="shared" si="21"/>
      </c>
      <c r="L23" s="13" t="str">
        <f t="shared" si="22"/>
        <v> </v>
      </c>
      <c r="M23" s="21">
        <f t="shared" si="23"/>
        <v>0</v>
      </c>
      <c r="N23" s="13">
        <f t="shared" si="24"/>
        <v>0</v>
      </c>
      <c r="O23" s="13">
        <f t="shared" si="25"/>
        <v>0</v>
      </c>
      <c r="P23" s="13">
        <f t="shared" si="26"/>
        <v>0</v>
      </c>
      <c r="Q23" s="21">
        <f t="shared" si="27"/>
        <v>0</v>
      </c>
      <c r="R23" s="23">
        <f t="shared" si="28"/>
        <v>0</v>
      </c>
      <c r="S23" s="23">
        <f t="shared" si="29"/>
        <v>0</v>
      </c>
      <c r="T23" s="13">
        <f t="shared" si="30"/>
        <v>0</v>
      </c>
      <c r="U23" s="23">
        <f t="shared" si="31"/>
        <v>0</v>
      </c>
      <c r="V23" s="13">
        <f t="shared" si="32"/>
        <v>0</v>
      </c>
      <c r="W23" s="23">
        <f t="shared" si="33"/>
        <v>0</v>
      </c>
      <c r="X23" s="13">
        <f t="shared" si="34"/>
        <v>0</v>
      </c>
      <c r="Y23" s="23">
        <f t="shared" si="35"/>
        <v>0</v>
      </c>
      <c r="AI23" s="10">
        <v>2</v>
      </c>
      <c r="AJ23" s="10">
        <v>0.3</v>
      </c>
      <c r="AK23" s="10">
        <v>0.4</v>
      </c>
      <c r="AL23" s="10">
        <v>0.9</v>
      </c>
      <c r="AM23" s="10">
        <v>0.35</v>
      </c>
      <c r="AN23" s="10">
        <v>0.75</v>
      </c>
      <c r="AO23" s="63" t="s">
        <v>240</v>
      </c>
      <c r="AU23" s="13"/>
      <c r="AV23" s="13"/>
      <c r="AW23" s="13"/>
      <c r="AX23" s="13"/>
      <c r="AY23" s="13"/>
      <c r="AZ23" s="13"/>
      <c r="BA23" s="13"/>
      <c r="BB23" s="13"/>
      <c r="BC23" s="13"/>
      <c r="BD23" s="13"/>
      <c r="BE23" s="13"/>
      <c r="BF23" s="13"/>
      <c r="BG23" s="13"/>
      <c r="BH23" s="13"/>
      <c r="BI23" s="13"/>
      <c r="BJ23" s="13"/>
      <c r="BK23" s="13"/>
      <c r="BL23" s="13"/>
      <c r="BM23" s="13"/>
      <c r="BN23" s="13"/>
      <c r="BO23" s="13"/>
      <c r="BP23" s="13"/>
      <c r="BQ23" s="13"/>
    </row>
    <row r="24" spans="1:69" ht="15.75">
      <c r="A24" s="32" t="s">
        <v>331</v>
      </c>
      <c r="B24" s="36">
        <v>0</v>
      </c>
      <c r="C24" s="36">
        <v>0</v>
      </c>
      <c r="D24" s="30"/>
      <c r="E24" s="60"/>
      <c r="F24" s="61"/>
      <c r="G24" s="42" t="str">
        <f t="shared" si="20"/>
        <v> </v>
      </c>
      <c r="H24" s="43" t="str">
        <f>IF(F24&gt;0,SUM($G$12:G24),+$J$32)</f>
        <v> </v>
      </c>
      <c r="J24" s="13"/>
      <c r="K24" s="13" t="str">
        <f t="shared" si="21"/>
        <v> </v>
      </c>
      <c r="L24" s="13" t="str">
        <f t="shared" si="22"/>
        <v> </v>
      </c>
      <c r="M24" s="21">
        <f t="shared" si="23"/>
        <v>0</v>
      </c>
      <c r="N24" s="13">
        <f t="shared" si="24"/>
        <v>0</v>
      </c>
      <c r="O24" s="13">
        <f t="shared" si="25"/>
        <v>0</v>
      </c>
      <c r="P24" s="13">
        <f t="shared" si="26"/>
        <v>0</v>
      </c>
      <c r="Q24" s="21">
        <f t="shared" si="27"/>
        <v>0</v>
      </c>
      <c r="R24" s="23">
        <f t="shared" si="28"/>
        <v>0</v>
      </c>
      <c r="S24" s="23">
        <f t="shared" si="29"/>
        <v>0</v>
      </c>
      <c r="T24" s="13">
        <f t="shared" si="30"/>
        <v>0</v>
      </c>
      <c r="U24" s="23">
        <f t="shared" si="31"/>
        <v>0</v>
      </c>
      <c r="V24" s="13">
        <f t="shared" si="32"/>
        <v>0</v>
      </c>
      <c r="W24" s="23">
        <f t="shared" si="33"/>
        <v>0</v>
      </c>
      <c r="X24" s="13">
        <f t="shared" si="34"/>
        <v>0</v>
      </c>
      <c r="Y24" s="23">
        <f t="shared" si="35"/>
        <v>0</v>
      </c>
      <c r="AI24" s="10">
        <v>3</v>
      </c>
      <c r="AJ24" s="10">
        <v>0.25</v>
      </c>
      <c r="AK24" s="10">
        <v>0.5</v>
      </c>
      <c r="AL24" s="10">
        <v>0.8</v>
      </c>
      <c r="AM24" s="10">
        <v>0.9</v>
      </c>
      <c r="AN24" s="10">
        <v>0.9</v>
      </c>
      <c r="AO24" s="63" t="s">
        <v>244</v>
      </c>
      <c r="AU24" s="13"/>
      <c r="AV24" s="13"/>
      <c r="AW24" s="13"/>
      <c r="AX24" s="13"/>
      <c r="AY24" s="13"/>
      <c r="AZ24" s="13"/>
      <c r="BA24" s="13"/>
      <c r="BB24" s="13"/>
      <c r="BC24" s="13"/>
      <c r="BD24" s="13"/>
      <c r="BE24" s="13"/>
      <c r="BF24" s="13"/>
      <c r="BG24" s="13"/>
      <c r="BH24" s="13"/>
      <c r="BI24" s="13"/>
      <c r="BJ24" s="13"/>
      <c r="BK24" s="13"/>
      <c r="BL24" s="13"/>
      <c r="BM24" s="13"/>
      <c r="BN24" s="13"/>
      <c r="BO24" s="13"/>
      <c r="BP24" s="13"/>
      <c r="BQ24" s="13"/>
    </row>
    <row r="25" spans="1:69" ht="15.75">
      <c r="A25" s="32" t="s">
        <v>333</v>
      </c>
      <c r="B25" s="64">
        <f>(B26*27)/43560</f>
        <v>0</v>
      </c>
      <c r="C25" s="35" t="s">
        <v>266</v>
      </c>
      <c r="D25" s="65" t="e">
        <f>B25/I32</f>
        <v>#VALUE!</v>
      </c>
      <c r="E25" s="10" t="s">
        <v>334</v>
      </c>
      <c r="G25" s="42"/>
      <c r="H25" s="43"/>
      <c r="K25" s="13" t="str">
        <f t="shared" si="21"/>
        <v> </v>
      </c>
      <c r="L25" s="13" t="str">
        <f t="shared" si="22"/>
        <v> </v>
      </c>
      <c r="M25" s="21">
        <f t="shared" si="23"/>
        <v>0</v>
      </c>
      <c r="N25" s="13">
        <f t="shared" si="24"/>
        <v>0</v>
      </c>
      <c r="O25" s="13">
        <f t="shared" si="25"/>
        <v>0</v>
      </c>
      <c r="P25" s="13">
        <f t="shared" si="26"/>
        <v>0</v>
      </c>
      <c r="Q25" s="21">
        <f t="shared" si="27"/>
        <v>0</v>
      </c>
      <c r="R25" s="23">
        <f t="shared" si="28"/>
        <v>0</v>
      </c>
      <c r="S25" s="23">
        <f t="shared" si="29"/>
        <v>0</v>
      </c>
      <c r="T25" s="13">
        <f t="shared" si="30"/>
        <v>0</v>
      </c>
      <c r="U25" s="23">
        <f t="shared" si="31"/>
        <v>0</v>
      </c>
      <c r="V25" s="13">
        <f t="shared" si="32"/>
        <v>0</v>
      </c>
      <c r="W25" s="23">
        <f t="shared" si="33"/>
        <v>0</v>
      </c>
      <c r="X25" s="13">
        <f t="shared" si="34"/>
        <v>0</v>
      </c>
      <c r="Y25" s="23">
        <f t="shared" si="35"/>
        <v>0</v>
      </c>
      <c r="AI25" s="10">
        <v>4</v>
      </c>
      <c r="AJ25" s="10">
        <v>0.17</v>
      </c>
      <c r="AK25" s="10">
        <v>0.5</v>
      </c>
      <c r="AL25" s="10">
        <v>0.7</v>
      </c>
      <c r="AM25" s="10">
        <v>0.9</v>
      </c>
      <c r="AN25" s="10">
        <v>0.9</v>
      </c>
      <c r="AO25" s="63" t="s">
        <v>248</v>
      </c>
      <c r="AU25" s="13"/>
      <c r="AV25" s="13"/>
      <c r="AW25" s="13"/>
      <c r="AX25" s="13"/>
      <c r="AY25" s="13"/>
      <c r="AZ25" s="13"/>
      <c r="BA25" s="13"/>
      <c r="BB25" s="13"/>
      <c r="BC25" s="13"/>
      <c r="BD25" s="13"/>
      <c r="BE25" s="13"/>
      <c r="BF25" s="13"/>
      <c r="BG25" s="13"/>
      <c r="BH25" s="13"/>
      <c r="BI25" s="13"/>
      <c r="BJ25" s="13"/>
      <c r="BK25" s="13"/>
      <c r="BL25" s="13"/>
      <c r="BM25" s="13"/>
      <c r="BN25" s="13"/>
      <c r="BO25" s="13"/>
      <c r="BP25" s="13"/>
      <c r="BQ25" s="13"/>
    </row>
    <row r="26" spans="1:69" ht="15.75">
      <c r="A26" s="63" t="s">
        <v>335</v>
      </c>
      <c r="B26" s="66">
        <f>G679</f>
        <v>0</v>
      </c>
      <c r="C26" s="52" t="s">
        <v>336</v>
      </c>
      <c r="E26" s="29" t="s">
        <v>337</v>
      </c>
      <c r="J26" s="13"/>
      <c r="K26" s="13" t="str">
        <f t="shared" si="21"/>
        <v> </v>
      </c>
      <c r="L26" s="13" t="str">
        <f t="shared" si="22"/>
        <v> </v>
      </c>
      <c r="M26" s="21">
        <f t="shared" si="23"/>
        <v>0</v>
      </c>
      <c r="N26" s="13">
        <f t="shared" si="24"/>
        <v>0</v>
      </c>
      <c r="O26" s="13">
        <f t="shared" si="25"/>
        <v>0</v>
      </c>
      <c r="P26" s="13">
        <f t="shared" si="26"/>
        <v>0</v>
      </c>
      <c r="Q26" s="21">
        <f t="shared" si="27"/>
        <v>0</v>
      </c>
      <c r="R26" s="23">
        <f t="shared" si="28"/>
        <v>0</v>
      </c>
      <c r="S26" s="23">
        <f t="shared" si="29"/>
        <v>0</v>
      </c>
      <c r="T26" s="13">
        <f t="shared" si="30"/>
        <v>0</v>
      </c>
      <c r="U26" s="23">
        <f t="shared" si="31"/>
        <v>0</v>
      </c>
      <c r="V26" s="13">
        <f t="shared" si="32"/>
        <v>0</v>
      </c>
      <c r="W26" s="23">
        <f t="shared" si="33"/>
        <v>0</v>
      </c>
      <c r="X26" s="13">
        <f t="shared" si="34"/>
        <v>0</v>
      </c>
      <c r="Y26" s="23">
        <f t="shared" si="35"/>
        <v>0</v>
      </c>
      <c r="AI26" s="10">
        <v>5</v>
      </c>
      <c r="AJ26" s="10">
        <v>0.18</v>
      </c>
      <c r="AK26" s="10">
        <v>0.8</v>
      </c>
      <c r="AL26" s="10">
        <v>0.6</v>
      </c>
      <c r="AM26" s="10">
        <v>0.9</v>
      </c>
      <c r="AN26" s="10">
        <v>0.9</v>
      </c>
      <c r="AO26" s="63" t="s">
        <v>251</v>
      </c>
      <c r="AU26" s="13"/>
      <c r="AV26" s="13"/>
      <c r="AW26" s="13"/>
      <c r="AX26" s="13"/>
      <c r="AY26" s="13"/>
      <c r="AZ26" s="13"/>
      <c r="BA26" s="13"/>
      <c r="BB26" s="13"/>
      <c r="BC26" s="13"/>
      <c r="BD26" s="13"/>
      <c r="BE26" s="13"/>
      <c r="BF26" s="13"/>
      <c r="BG26" s="13"/>
      <c r="BH26" s="13"/>
      <c r="BI26" s="13"/>
      <c r="BJ26" s="13"/>
      <c r="BK26" s="13"/>
      <c r="BL26" s="13"/>
      <c r="BM26" s="13"/>
      <c r="BN26" s="13"/>
      <c r="BO26" s="13"/>
      <c r="BP26" s="13"/>
      <c r="BQ26" s="13"/>
    </row>
    <row r="27" spans="1:69" ht="15.75">
      <c r="A27" s="67" t="s">
        <v>338</v>
      </c>
      <c r="B27" s="56" t="s">
        <v>339</v>
      </c>
      <c r="C27" s="56" t="s">
        <v>340</v>
      </c>
      <c r="D27" s="68" t="s">
        <v>341</v>
      </c>
      <c r="F27" s="32" t="s">
        <v>342</v>
      </c>
      <c r="G27" s="45">
        <f>VLOOKUP(C4,E699:H861,2)</f>
        <v>3.5</v>
      </c>
      <c r="H27" s="69" t="s">
        <v>343</v>
      </c>
      <c r="J27" s="13"/>
      <c r="K27" s="13" t="str">
        <f t="shared" si="21"/>
        <v> </v>
      </c>
      <c r="L27" s="13" t="str">
        <f t="shared" si="22"/>
        <v> </v>
      </c>
      <c r="M27" s="21">
        <f t="shared" si="23"/>
        <v>0</v>
      </c>
      <c r="N27" s="13">
        <f t="shared" si="24"/>
        <v>0</v>
      </c>
      <c r="O27" s="13">
        <f t="shared" si="25"/>
        <v>0</v>
      </c>
      <c r="P27" s="13">
        <f t="shared" si="26"/>
        <v>0</v>
      </c>
      <c r="Q27" s="21">
        <f t="shared" si="27"/>
        <v>0</v>
      </c>
      <c r="R27" s="23">
        <f t="shared" si="28"/>
        <v>0</v>
      </c>
      <c r="S27" s="23">
        <f t="shared" si="29"/>
        <v>0</v>
      </c>
      <c r="T27" s="13">
        <f t="shared" si="30"/>
        <v>0</v>
      </c>
      <c r="U27" s="23">
        <f t="shared" si="31"/>
        <v>0</v>
      </c>
      <c r="V27" s="13">
        <f t="shared" si="32"/>
        <v>0</v>
      </c>
      <c r="W27" s="23">
        <f t="shared" si="33"/>
        <v>0</v>
      </c>
      <c r="X27" s="13">
        <f t="shared" si="34"/>
        <v>0</v>
      </c>
      <c r="Y27" s="23">
        <f t="shared" si="35"/>
        <v>0</v>
      </c>
      <c r="AI27" s="10">
        <v>6</v>
      </c>
      <c r="AL27" s="10">
        <v>0.7</v>
      </c>
      <c r="AM27" s="10">
        <v>0.9</v>
      </c>
      <c r="AN27" s="10">
        <v>0.9</v>
      </c>
      <c r="AO27" s="63" t="s">
        <v>344</v>
      </c>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ht="15.75">
      <c r="A28" s="63" t="s">
        <v>345</v>
      </c>
      <c r="B28" s="70">
        <f>C28+(D28*B30*2)</f>
        <v>0</v>
      </c>
      <c r="C28" s="16">
        <v>0</v>
      </c>
      <c r="D28" s="60">
        <v>0</v>
      </c>
      <c r="F28" s="32" t="s">
        <v>346</v>
      </c>
      <c r="G28" s="45">
        <f>VLOOKUP(C4,E699:H861,4)</f>
        <v>0.4</v>
      </c>
      <c r="H28" s="69" t="s">
        <v>347</v>
      </c>
      <c r="J28" s="13"/>
      <c r="K28" s="13" t="str">
        <f t="shared" si="21"/>
        <v>  </v>
      </c>
      <c r="L28" s="13" t="str">
        <f t="shared" si="22"/>
        <v> </v>
      </c>
      <c r="M28" s="21">
        <f t="shared" si="23"/>
        <v>0</v>
      </c>
      <c r="N28" s="13">
        <f t="shared" si="24"/>
        <v>0</v>
      </c>
      <c r="O28" s="13">
        <f t="shared" si="25"/>
        <v>0</v>
      </c>
      <c r="P28" s="13">
        <f t="shared" si="26"/>
        <v>0</v>
      </c>
      <c r="Q28" s="21">
        <f t="shared" si="27"/>
        <v>0</v>
      </c>
      <c r="R28" s="23">
        <f t="shared" si="28"/>
        <v>0</v>
      </c>
      <c r="S28" s="23">
        <f t="shared" si="29"/>
        <v>0</v>
      </c>
      <c r="T28" s="13">
        <f t="shared" si="30"/>
        <v>0</v>
      </c>
      <c r="U28" s="23">
        <f t="shared" si="31"/>
        <v>0</v>
      </c>
      <c r="V28" s="13">
        <f t="shared" si="32"/>
        <v>0</v>
      </c>
      <c r="W28" s="23">
        <f t="shared" si="33"/>
        <v>0</v>
      </c>
      <c r="X28" s="13">
        <f t="shared" si="34"/>
        <v>0</v>
      </c>
      <c r="Y28" s="23">
        <f t="shared" si="35"/>
        <v>0</v>
      </c>
      <c r="Z28" s="13"/>
      <c r="AA28" s="13"/>
      <c r="AB28" s="13"/>
      <c r="AC28" s="13"/>
      <c r="AD28" s="13"/>
      <c r="AE28" s="13"/>
      <c r="AF28" s="13"/>
      <c r="AG28" s="13"/>
      <c r="AH28" s="13"/>
      <c r="AI28" s="13">
        <v>7</v>
      </c>
      <c r="AJ28" s="13"/>
      <c r="AK28" s="13"/>
      <c r="AL28" s="13"/>
      <c r="AM28" s="13">
        <v>0.9</v>
      </c>
      <c r="AN28" s="13">
        <v>0.9</v>
      </c>
      <c r="AO28" s="53" t="s">
        <v>261</v>
      </c>
      <c r="AP28" s="13"/>
      <c r="AQ28" s="13"/>
      <c r="AR28" s="13"/>
      <c r="AS28" s="13"/>
      <c r="AT28" s="13"/>
      <c r="AU28" s="13"/>
      <c r="AV28" s="13"/>
      <c r="AW28" s="166" t="s">
        <v>332</v>
      </c>
      <c r="AX28" s="13"/>
      <c r="AY28" s="13"/>
      <c r="AZ28" s="166" t="s">
        <v>332</v>
      </c>
      <c r="BA28" s="166" t="s">
        <v>332</v>
      </c>
      <c r="BB28" s="13"/>
      <c r="BC28" s="13"/>
      <c r="BD28" s="13"/>
      <c r="BE28" s="13"/>
      <c r="BF28" s="13"/>
      <c r="BG28" s="13"/>
      <c r="BH28" s="13"/>
      <c r="BI28" s="13"/>
      <c r="BJ28" s="13"/>
      <c r="BK28" s="13"/>
      <c r="BL28" s="13"/>
      <c r="BM28" s="13"/>
      <c r="BN28" s="13"/>
      <c r="BO28" s="13"/>
      <c r="BP28" s="13"/>
      <c r="BQ28" s="13"/>
    </row>
    <row r="29" spans="1:69" ht="15.75">
      <c r="A29" s="63" t="s">
        <v>348</v>
      </c>
      <c r="B29" s="71">
        <f>(0.7854*B28^2)/43560</f>
        <v>0</v>
      </c>
      <c r="C29" s="71">
        <f>(0.7854*C28^2)/43560</f>
        <v>0</v>
      </c>
      <c r="D29" s="65" t="e">
        <f>D30/G32</f>
        <v>#VALUE!</v>
      </c>
      <c r="F29" s="32" t="s">
        <v>349</v>
      </c>
      <c r="G29" s="72" t="e">
        <f>IF(AND(G27&gt;=VLOOKUP(H3,A843:C906,2),G27&lt;=VLOOKUP(H3,A843:C906,3)),ROUND((G27-0.2*((1000-H3*10)/H3))^2/(G27+0.8*((1000-H3*10)/H3)),2),"ERR")</f>
        <v>#VALUE!</v>
      </c>
      <c r="H29" s="69" t="s">
        <v>350</v>
      </c>
      <c r="J29" s="13"/>
      <c r="K29" s="13" t="str">
        <f t="shared" si="21"/>
        <v> </v>
      </c>
      <c r="L29" s="13" t="str">
        <f>IF(E47&lt;1,$K$32,VLOOKUP(N36,$K$4:$R$16,2))</f>
        <v> </v>
      </c>
      <c r="M29" s="21">
        <f t="shared" si="23"/>
        <v>0</v>
      </c>
      <c r="N29" s="13">
        <f t="shared" si="24"/>
        <v>0</v>
      </c>
      <c r="O29" s="13">
        <f t="shared" si="25"/>
        <v>0</v>
      </c>
      <c r="P29" s="13">
        <f t="shared" si="26"/>
        <v>0</v>
      </c>
      <c r="Q29" s="21">
        <f t="shared" si="27"/>
        <v>0</v>
      </c>
      <c r="R29" s="23">
        <f t="shared" si="28"/>
        <v>0</v>
      </c>
      <c r="S29" s="23">
        <f t="shared" si="29"/>
        <v>0</v>
      </c>
      <c r="T29" s="13">
        <f t="shared" si="30"/>
        <v>0</v>
      </c>
      <c r="U29" s="23">
        <f t="shared" si="31"/>
        <v>0</v>
      </c>
      <c r="V29" s="13">
        <f t="shared" si="32"/>
        <v>0</v>
      </c>
      <c r="W29" s="23">
        <f t="shared" si="33"/>
        <v>0</v>
      </c>
      <c r="X29" s="13">
        <f t="shared" si="34"/>
        <v>0</v>
      </c>
      <c r="Y29" s="23">
        <f t="shared" si="35"/>
        <v>0</v>
      </c>
      <c r="Z29" s="13"/>
      <c r="AA29" s="13"/>
      <c r="AB29" s="13"/>
      <c r="AC29" s="13"/>
      <c r="AD29" s="13"/>
      <c r="AE29" s="13"/>
      <c r="AF29" s="13"/>
      <c r="AG29" s="13"/>
      <c r="AH29" s="13"/>
      <c r="AI29" s="13">
        <v>8</v>
      </c>
      <c r="AJ29" s="13"/>
      <c r="AK29" s="13"/>
      <c r="AL29" s="13"/>
      <c r="AM29" s="13">
        <v>0.9</v>
      </c>
      <c r="AN29" s="13">
        <v>0.9</v>
      </c>
      <c r="AO29" s="53" t="s">
        <v>267</v>
      </c>
      <c r="AP29" s="13"/>
      <c r="AQ29" s="13"/>
      <c r="AR29" s="13"/>
      <c r="AS29" s="13"/>
      <c r="AT29" s="13"/>
      <c r="AU29" s="13"/>
      <c r="AV29" s="13"/>
      <c r="AW29" s="166" t="s">
        <v>332</v>
      </c>
      <c r="AX29" s="13"/>
      <c r="AY29" s="13"/>
      <c r="AZ29" s="166" t="s">
        <v>332</v>
      </c>
      <c r="BA29" s="166" t="s">
        <v>332</v>
      </c>
      <c r="BB29" s="13"/>
      <c r="BC29" s="13"/>
      <c r="BD29" s="13"/>
      <c r="BE29" s="13"/>
      <c r="BF29" s="13"/>
      <c r="BG29" s="13"/>
      <c r="BH29" s="13"/>
      <c r="BI29" s="13"/>
      <c r="BJ29" s="13"/>
      <c r="BK29" s="13"/>
      <c r="BL29" s="13"/>
      <c r="BM29" s="13"/>
      <c r="BN29" s="13"/>
      <c r="BO29" s="13"/>
      <c r="BP29" s="13"/>
      <c r="BQ29" s="13"/>
    </row>
    <row r="30" spans="1:69" ht="15.75">
      <c r="A30" s="63" t="s">
        <v>329</v>
      </c>
      <c r="B30" s="60">
        <v>0</v>
      </c>
      <c r="C30" s="73" t="s">
        <v>351</v>
      </c>
      <c r="D30" s="74">
        <f>(0.2618*B30*(B28^2+B28*C28+C28^2))/27</f>
        <v>0</v>
      </c>
      <c r="F30" s="32" t="s">
        <v>352</v>
      </c>
      <c r="G30" s="46" t="e">
        <f>R39*H5*43560/27</f>
        <v>#VALUE!</v>
      </c>
      <c r="H30" s="69" t="s">
        <v>353</v>
      </c>
      <c r="J30" s="13"/>
      <c r="K30" s="13" t="str">
        <f t="shared" si="21"/>
        <v> </v>
      </c>
      <c r="L30" s="13" t="str">
        <f>IF(E48&lt;1,$K$32,VLOOKUP(K30,$K$4:$R$16,2))</f>
        <v> </v>
      </c>
      <c r="M30" s="21">
        <f t="shared" si="23"/>
        <v>0</v>
      </c>
      <c r="N30" s="13">
        <f t="shared" si="24"/>
        <v>0</v>
      </c>
      <c r="O30" s="13">
        <f t="shared" si="25"/>
        <v>0</v>
      </c>
      <c r="P30" s="13">
        <f t="shared" si="26"/>
        <v>0</v>
      </c>
      <c r="Q30" s="21">
        <f t="shared" si="27"/>
        <v>0</v>
      </c>
      <c r="R30" s="23">
        <f t="shared" si="28"/>
        <v>0</v>
      </c>
      <c r="S30" s="23">
        <f t="shared" si="29"/>
        <v>0</v>
      </c>
      <c r="T30" s="13">
        <f t="shared" si="30"/>
        <v>0</v>
      </c>
      <c r="U30" s="23">
        <f t="shared" si="31"/>
        <v>0</v>
      </c>
      <c r="V30" s="13">
        <f t="shared" si="32"/>
        <v>0</v>
      </c>
      <c r="W30" s="23">
        <f t="shared" si="33"/>
        <v>0</v>
      </c>
      <c r="X30" s="13">
        <f t="shared" si="34"/>
        <v>0</v>
      </c>
      <c r="Y30" s="23">
        <f t="shared" si="35"/>
        <v>0</v>
      </c>
      <c r="AI30" s="10">
        <v>9</v>
      </c>
      <c r="AM30" s="10">
        <v>0.9</v>
      </c>
      <c r="AN30" s="10">
        <v>0.9</v>
      </c>
      <c r="AO30" s="63" t="s">
        <v>269</v>
      </c>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ht="15.75">
      <c r="A31" s="1402" t="s">
        <v>354</v>
      </c>
      <c r="B31" s="1403"/>
      <c r="C31" s="1404" t="s">
        <v>355</v>
      </c>
      <c r="D31" s="1404"/>
      <c r="F31" s="32" t="s">
        <v>356</v>
      </c>
      <c r="G31" s="76">
        <f>(H5*N36)*C17</f>
        <v>0</v>
      </c>
      <c r="H31" s="69" t="s">
        <v>353</v>
      </c>
      <c r="J31" s="13"/>
      <c r="K31" s="13" t="str">
        <f t="shared" si="21"/>
        <v> </v>
      </c>
      <c r="L31" s="13" t="str">
        <f>IF(E49&lt;1,$K$32,VLOOKUP(K31,$K$4:$R$16,2))</f>
        <v> </v>
      </c>
      <c r="M31" s="21">
        <f t="shared" si="23"/>
        <v>0</v>
      </c>
      <c r="N31" s="13">
        <f t="shared" si="24"/>
        <v>0</v>
      </c>
      <c r="O31" s="13">
        <f t="shared" si="25"/>
        <v>0</v>
      </c>
      <c r="P31" s="13">
        <f t="shared" si="26"/>
        <v>0</v>
      </c>
      <c r="Q31" s="21">
        <f t="shared" si="27"/>
        <v>0</v>
      </c>
      <c r="R31" s="23">
        <f t="shared" si="28"/>
        <v>0</v>
      </c>
      <c r="S31" s="23">
        <f t="shared" si="29"/>
        <v>0</v>
      </c>
      <c r="T31" s="13">
        <f t="shared" si="30"/>
        <v>0</v>
      </c>
      <c r="U31" s="23">
        <f t="shared" si="31"/>
        <v>0</v>
      </c>
      <c r="V31" s="13">
        <f t="shared" si="32"/>
        <v>0</v>
      </c>
      <c r="W31" s="23">
        <f t="shared" si="33"/>
        <v>0</v>
      </c>
      <c r="X31" s="13">
        <f t="shared" si="34"/>
        <v>0</v>
      </c>
      <c r="Y31" s="23">
        <f t="shared" si="35"/>
        <v>0</v>
      </c>
      <c r="AI31" s="10">
        <v>10</v>
      </c>
      <c r="AM31" s="10">
        <v>0.75</v>
      </c>
      <c r="AN31" s="10">
        <v>0.75</v>
      </c>
      <c r="AO31" s="63" t="s">
        <v>271</v>
      </c>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ht="15.75">
      <c r="A32" s="77" t="s">
        <v>357</v>
      </c>
      <c r="B32" s="60">
        <v>0</v>
      </c>
      <c r="C32" s="10" t="s">
        <v>263</v>
      </c>
      <c r="E32" s="52"/>
      <c r="F32" s="50" t="s">
        <v>358</v>
      </c>
      <c r="G32" s="46" t="e">
        <f>G30+G31</f>
        <v>#VALUE!</v>
      </c>
      <c r="H32" s="40" t="s">
        <v>359</v>
      </c>
      <c r="I32" s="42" t="e">
        <f>G32*27/43560</f>
        <v>#VALUE!</v>
      </c>
      <c r="J32" s="13" t="s">
        <v>332</v>
      </c>
      <c r="K32" s="13" t="s">
        <v>332</v>
      </c>
      <c r="L32" s="13"/>
      <c r="M32" s="13"/>
      <c r="N32" s="13"/>
      <c r="O32" s="13"/>
      <c r="P32" s="13"/>
      <c r="Q32" s="13"/>
      <c r="R32" s="23">
        <f>SUM(R20:R30)</f>
        <v>0</v>
      </c>
      <c r="S32" s="23" t="e">
        <f>IF(E66&gt;1,SUM(S20:S30),SUM(S20:S30)*0.29)</f>
        <v>#VALUE!</v>
      </c>
      <c r="T32" s="13"/>
      <c r="U32" s="23">
        <f>SUM(U20:U30)</f>
        <v>0</v>
      </c>
      <c r="V32" s="13"/>
      <c r="W32" s="23">
        <f>SUM(W20:W30)</f>
        <v>0</v>
      </c>
      <c r="X32" s="13"/>
      <c r="Y32" s="23">
        <f>SUM(Y20:Y30)</f>
        <v>0</v>
      </c>
      <c r="Z32" s="13"/>
      <c r="AA32" s="13"/>
      <c r="AB32" s="13"/>
      <c r="AC32" s="13"/>
      <c r="AD32" s="13"/>
      <c r="AE32" s="13"/>
      <c r="AF32" s="13"/>
      <c r="AG32" s="13"/>
      <c r="AH32" s="13"/>
      <c r="AI32" s="13">
        <v>11</v>
      </c>
      <c r="AJ32" s="13"/>
      <c r="AK32" s="13"/>
      <c r="AL32" s="13"/>
      <c r="AM32" s="13">
        <v>0.75</v>
      </c>
      <c r="AN32" s="13">
        <v>0.75</v>
      </c>
      <c r="AO32" s="53" t="s">
        <v>273</v>
      </c>
      <c r="AP32" s="13"/>
      <c r="AQ32" s="13"/>
      <c r="AR32" s="13"/>
      <c r="AS32" s="13"/>
      <c r="AT32" s="13"/>
      <c r="AU32" s="13"/>
      <c r="AV32" s="13"/>
      <c r="AW32" s="13"/>
      <c r="AX32" s="13"/>
      <c r="AY32" s="13"/>
      <c r="AZ32" s="166" t="s">
        <v>332</v>
      </c>
      <c r="BA32" s="166" t="s">
        <v>332</v>
      </c>
      <c r="BB32" s="13"/>
      <c r="BC32" s="13"/>
      <c r="BD32" s="13"/>
      <c r="BE32" s="13"/>
      <c r="BF32" s="13"/>
      <c r="BG32" s="13"/>
      <c r="BH32" s="13"/>
      <c r="BI32" s="13"/>
      <c r="BJ32" s="13"/>
      <c r="BK32" s="13"/>
      <c r="BL32" s="13"/>
      <c r="BM32" s="13"/>
      <c r="BN32" s="13"/>
      <c r="BO32" s="13"/>
      <c r="BP32" s="13"/>
      <c r="BQ32" s="13"/>
    </row>
    <row r="33" spans="1:69" ht="15.75">
      <c r="A33" s="63" t="s">
        <v>360</v>
      </c>
      <c r="B33" s="60">
        <v>0</v>
      </c>
      <c r="C33" s="10" t="s">
        <v>263</v>
      </c>
      <c r="D33" s="1400" t="s">
        <v>361</v>
      </c>
      <c r="E33" s="1401"/>
      <c r="F33" s="1401"/>
      <c r="G33" s="1401"/>
      <c r="H33" s="1401"/>
      <c r="R33" s="12" t="s">
        <v>362</v>
      </c>
      <c r="S33" s="12" t="s">
        <v>363</v>
      </c>
      <c r="U33" s="10" t="s">
        <v>364</v>
      </c>
      <c r="W33" s="12" t="s">
        <v>365</v>
      </c>
      <c r="Y33" s="12" t="s">
        <v>366</v>
      </c>
      <c r="AI33" s="10">
        <v>12</v>
      </c>
      <c r="AM33" s="10">
        <v>0.65</v>
      </c>
      <c r="AN33" s="10">
        <v>0.65</v>
      </c>
      <c r="AO33" s="63" t="s">
        <v>276</v>
      </c>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ht="15.75">
      <c r="A34" s="63" t="s">
        <v>367</v>
      </c>
      <c r="B34" s="16">
        <v>0</v>
      </c>
      <c r="C34" s="10" t="s">
        <v>263</v>
      </c>
      <c r="D34" s="1400" t="s">
        <v>368</v>
      </c>
      <c r="E34" s="1401"/>
      <c r="F34" s="1401"/>
      <c r="G34" s="1401"/>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v>13</v>
      </c>
      <c r="AJ34" s="13"/>
      <c r="AK34" s="13"/>
      <c r="AL34" s="13"/>
      <c r="AM34" s="13">
        <v>0.4</v>
      </c>
      <c r="AN34" s="13">
        <v>0.4</v>
      </c>
      <c r="AO34" s="53" t="s">
        <v>295</v>
      </c>
      <c r="AP34" s="13"/>
      <c r="AQ34" s="13"/>
      <c r="AR34" s="13"/>
      <c r="AS34" s="13"/>
      <c r="AT34" s="13"/>
      <c r="AU34" s="13"/>
      <c r="AV34" s="13"/>
      <c r="AW34" s="13"/>
      <c r="AX34" s="13"/>
      <c r="AY34" s="13"/>
      <c r="AZ34" s="166" t="s">
        <v>332</v>
      </c>
      <c r="BA34" s="166" t="s">
        <v>332</v>
      </c>
      <c r="BB34" s="13"/>
      <c r="BC34" s="13"/>
      <c r="BD34" s="13"/>
      <c r="BE34" s="13"/>
      <c r="BF34" s="13"/>
      <c r="BG34" s="13"/>
      <c r="BH34" s="13"/>
      <c r="BI34" s="13"/>
      <c r="BJ34" s="13"/>
      <c r="BK34" s="13"/>
      <c r="BL34" s="13"/>
      <c r="BM34" s="13"/>
      <c r="BN34" s="13"/>
      <c r="BO34" s="13"/>
      <c r="BP34" s="13"/>
      <c r="BQ34" s="13"/>
    </row>
    <row r="35" spans="1:69" ht="15.75">
      <c r="A35" s="63" t="s">
        <v>369</v>
      </c>
      <c r="B35" s="60">
        <v>0</v>
      </c>
      <c r="C35" s="30" t="s">
        <v>370</v>
      </c>
      <c r="D35" s="1400" t="s">
        <v>371</v>
      </c>
      <c r="E35" s="1401"/>
      <c r="F35" s="1401"/>
      <c r="J35" s="13"/>
      <c r="K35" s="78" t="s">
        <v>372</v>
      </c>
      <c r="L35" s="78" t="s">
        <v>373</v>
      </c>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row>
    <row r="36" spans="1:69" ht="15">
      <c r="A36" s="63" t="s">
        <v>374</v>
      </c>
      <c r="B36" s="79">
        <v>0</v>
      </c>
      <c r="C36" s="30" t="s">
        <v>278</v>
      </c>
      <c r="D36" s="80" t="s">
        <v>375</v>
      </c>
      <c r="J36" s="13"/>
      <c r="K36" s="20" t="str">
        <f aca="true" t="shared" si="36" ref="K36:K49">IF(F13&gt;0,((F12+F13)/2),+$J$32)</f>
        <v> </v>
      </c>
      <c r="L36" s="20" t="str">
        <f aca="true" t="shared" si="37" ref="L36:L49">IF(E13&gt;0,(E13-E12),+$J$32)</f>
        <v> </v>
      </c>
      <c r="N36" s="81">
        <f>IF(AND(H6&gt;=0,H6&lt;=8),IF(AND(H6&gt;=0,H6&lt;4),17,50),IF(H6&lt;0,"REDO %",70))</f>
        <v>17</v>
      </c>
      <c r="O36" s="10" t="s">
        <v>376</v>
      </c>
      <c r="Q36" s="82">
        <f>($G$28/12)*H5</f>
        <v>0</v>
      </c>
      <c r="R36" s="10" t="s">
        <v>377</v>
      </c>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row>
    <row r="37" spans="1:69" ht="15.75">
      <c r="A37" s="83" t="s">
        <v>378</v>
      </c>
      <c r="B37" s="75" t="s">
        <v>379</v>
      </c>
      <c r="C37" s="30"/>
      <c r="D37" s="30"/>
      <c r="E37" s="75" t="s">
        <v>379</v>
      </c>
      <c r="F37" s="83" t="s">
        <v>380</v>
      </c>
      <c r="G37" s="37" t="s">
        <v>381</v>
      </c>
      <c r="H37" s="37" t="s">
        <v>382</v>
      </c>
      <c r="I37" s="37" t="s">
        <v>246</v>
      </c>
      <c r="J37" s="13"/>
      <c r="K37" s="20" t="str">
        <f t="shared" si="36"/>
        <v> </v>
      </c>
      <c r="L37" s="20" t="str">
        <f t="shared" si="37"/>
        <v> </v>
      </c>
      <c r="M37" s="13"/>
      <c r="N37" s="84" t="e">
        <f>((N36+G30)*27)/43560+(G27/12*C15)</f>
        <v>#VALUE!</v>
      </c>
      <c r="O37" s="13"/>
      <c r="P37" s="13"/>
      <c r="Q37" s="85">
        <f>Q36*43560/27</f>
        <v>0</v>
      </c>
      <c r="R37" s="13" t="s">
        <v>383</v>
      </c>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66" t="s">
        <v>332</v>
      </c>
      <c r="BA37" s="166" t="s">
        <v>332</v>
      </c>
      <c r="BB37" s="13"/>
      <c r="BC37" s="13"/>
      <c r="BD37" s="13"/>
      <c r="BE37" s="13"/>
      <c r="BF37" s="13"/>
      <c r="BG37" s="13"/>
      <c r="BH37" s="13"/>
      <c r="BI37" s="13"/>
      <c r="BJ37" s="13"/>
      <c r="BK37" s="13"/>
      <c r="BL37" s="13"/>
      <c r="BM37" s="13"/>
      <c r="BN37" s="13"/>
      <c r="BO37" s="13"/>
      <c r="BP37" s="13"/>
      <c r="BQ37" s="13"/>
    </row>
    <row r="38" spans="1:69" ht="15.75">
      <c r="A38" s="72" t="s">
        <v>227</v>
      </c>
      <c r="B38" s="86" t="s">
        <v>384</v>
      </c>
      <c r="C38" s="30" t="s">
        <v>385</v>
      </c>
      <c r="D38" s="87"/>
      <c r="E38" s="48">
        <f>IF('Nutrient Management Planner'!F58="","",(VLOOKUP('Nutrient Management Planner'!F58,'Nutrient Management Planner'!$M$372:$N$384,2)))</f>
      </c>
      <c r="F38" s="72" t="str">
        <f aca="true" t="shared" si="38" ref="F38:F49">IF(E38&lt;1,$K$50,VLOOKUP(E38,$K$4:$R$16,2))</f>
        <v> </v>
      </c>
      <c r="G38" s="48">
        <f>'Nutrient Management Planner'!H58</f>
        <v>0</v>
      </c>
      <c r="H38" s="48">
        <f>'Nutrient Management Planner'!I58</f>
        <v>0</v>
      </c>
      <c r="I38" s="48"/>
      <c r="J38" s="13"/>
      <c r="K38" s="20" t="str">
        <f t="shared" si="36"/>
        <v> </v>
      </c>
      <c r="L38" s="20" t="str">
        <f t="shared" si="37"/>
        <v> </v>
      </c>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spans="1:69" ht="16.5" customHeight="1">
      <c r="A39" s="72" t="s">
        <v>240</v>
      </c>
      <c r="B39" s="86" t="s">
        <v>386</v>
      </c>
      <c r="C39" s="30" t="s">
        <v>387</v>
      </c>
      <c r="D39" s="30"/>
      <c r="E39" s="48">
        <f>IF('Nutrient Management Planner'!F59="","",(VLOOKUP('Nutrient Management Planner'!F59,'Nutrient Management Planner'!$M$372:$N$384,2)))</f>
      </c>
      <c r="F39" s="72" t="str">
        <f t="shared" si="38"/>
        <v> </v>
      </c>
      <c r="G39" s="48">
        <f>'Nutrient Management Planner'!H59</f>
        <v>0</v>
      </c>
      <c r="H39" s="48">
        <f>'Nutrient Management Planner'!I59</f>
        <v>0</v>
      </c>
      <c r="I39" s="48">
        <f>'Nutrient Management Planner'!E59+0</f>
        <v>0</v>
      </c>
      <c r="J39" s="13"/>
      <c r="K39" s="20" t="str">
        <f t="shared" si="36"/>
        <v> </v>
      </c>
      <c r="L39" s="20" t="str">
        <f t="shared" si="37"/>
        <v> </v>
      </c>
      <c r="Q39" s="32" t="s">
        <v>390</v>
      </c>
      <c r="R39" s="88" t="e">
        <f>SUM(G28+G29)/12</f>
        <v>#VALUE!</v>
      </c>
      <c r="S39" s="69" t="s">
        <v>263</v>
      </c>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spans="1:53" ht="15.75">
      <c r="A40" s="72" t="s">
        <v>244</v>
      </c>
      <c r="B40" s="86" t="s">
        <v>391</v>
      </c>
      <c r="C40" s="30" t="s">
        <v>392</v>
      </c>
      <c r="D40" s="30"/>
      <c r="E40" s="48">
        <f>IF('Nutrient Management Planner'!F60="","",(VLOOKUP('Nutrient Management Planner'!F60,'Nutrient Management Planner'!$M$372:$N$384,2)))</f>
      </c>
      <c r="F40" s="72" t="str">
        <f t="shared" si="38"/>
        <v> </v>
      </c>
      <c r="G40" s="48">
        <f>'Nutrient Management Planner'!H60</f>
        <v>0</v>
      </c>
      <c r="H40" s="48">
        <f>'Nutrient Management Planner'!I60</f>
        <v>0</v>
      </c>
      <c r="I40" s="48">
        <f>'Nutrient Management Planner'!E60+0</f>
        <v>0</v>
      </c>
      <c r="J40" s="13"/>
      <c r="K40" s="20" t="str">
        <f t="shared" si="36"/>
        <v> </v>
      </c>
      <c r="L40" s="20" t="str">
        <f t="shared" si="37"/>
        <v> </v>
      </c>
      <c r="AQ40" s="13"/>
      <c r="AR40" s="13"/>
      <c r="AS40" s="13"/>
      <c r="AT40" s="13"/>
      <c r="AU40" s="13"/>
      <c r="AV40" s="13"/>
      <c r="AW40" s="13"/>
      <c r="AX40" s="13"/>
      <c r="AY40" s="13"/>
      <c r="AZ40" s="13"/>
      <c r="BA40" s="13"/>
    </row>
    <row r="41" spans="1:53" ht="15.75">
      <c r="A41" s="72" t="s">
        <v>248</v>
      </c>
      <c r="B41" s="86" t="s">
        <v>393</v>
      </c>
      <c r="C41" s="30" t="s">
        <v>394</v>
      </c>
      <c r="D41" s="30"/>
      <c r="E41" s="48">
        <f>IF('Nutrient Management Planner'!F61="","",(VLOOKUP('Nutrient Management Planner'!F61,'Nutrient Management Planner'!$M$372:$N$384,2)))</f>
      </c>
      <c r="F41" s="72" t="str">
        <f t="shared" si="38"/>
        <v> </v>
      </c>
      <c r="G41" s="48">
        <f>'Nutrient Management Planner'!H61</f>
        <v>0</v>
      </c>
      <c r="H41" s="48">
        <f>'Nutrient Management Planner'!I61</f>
        <v>0</v>
      </c>
      <c r="I41" s="48">
        <f>'Nutrient Management Planner'!E61+0</f>
        <v>0</v>
      </c>
      <c r="J41" s="13"/>
      <c r="K41" s="20" t="str">
        <f t="shared" si="36"/>
        <v> </v>
      </c>
      <c r="L41" s="20" t="str">
        <f t="shared" si="37"/>
        <v> </v>
      </c>
      <c r="AQ41" s="13"/>
      <c r="AR41" s="13"/>
      <c r="AS41" s="13"/>
      <c r="AT41" s="13"/>
      <c r="AU41" s="13"/>
      <c r="AV41" s="13"/>
      <c r="AW41" s="13"/>
      <c r="AX41" s="13"/>
      <c r="AY41" s="13"/>
      <c r="AZ41" s="13"/>
      <c r="BA41" s="13"/>
    </row>
    <row r="42" spans="1:53" ht="15.75">
      <c r="A42" s="20" t="s">
        <v>251</v>
      </c>
      <c r="B42" s="86" t="s">
        <v>395</v>
      </c>
      <c r="C42" s="13" t="s">
        <v>396</v>
      </c>
      <c r="D42" s="13"/>
      <c r="E42" s="732" t="s">
        <v>332</v>
      </c>
      <c r="F42" s="733" t="str">
        <f t="shared" si="38"/>
        <v> </v>
      </c>
      <c r="G42" s="732"/>
      <c r="H42" s="732"/>
      <c r="I42" s="732"/>
      <c r="J42" s="13"/>
      <c r="K42" s="20" t="str">
        <f t="shared" si="36"/>
        <v> </v>
      </c>
      <c r="L42" s="20" t="str">
        <f t="shared" si="37"/>
        <v> </v>
      </c>
      <c r="AQ42" s="13"/>
      <c r="AR42" s="13"/>
      <c r="AS42" s="13"/>
      <c r="AT42" s="13"/>
      <c r="AU42" s="13"/>
      <c r="AV42" s="13"/>
      <c r="AW42" s="13"/>
      <c r="AX42" s="13"/>
      <c r="AY42" s="13"/>
      <c r="AZ42" s="13"/>
      <c r="BA42" s="13"/>
    </row>
    <row r="43" spans="1:12" ht="15.75">
      <c r="A43" s="20" t="s">
        <v>254</v>
      </c>
      <c r="B43" s="86" t="s">
        <v>397</v>
      </c>
      <c r="C43" s="13" t="s">
        <v>332</v>
      </c>
      <c r="D43" s="13"/>
      <c r="E43" s="732" t="s">
        <v>332</v>
      </c>
      <c r="F43" s="733" t="str">
        <f t="shared" si="38"/>
        <v> </v>
      </c>
      <c r="G43" s="732"/>
      <c r="H43" s="732"/>
      <c r="I43" s="732"/>
      <c r="J43" s="13"/>
      <c r="K43" s="20" t="str">
        <f t="shared" si="36"/>
        <v> </v>
      </c>
      <c r="L43" s="20" t="str">
        <f t="shared" si="37"/>
        <v> </v>
      </c>
    </row>
    <row r="44" spans="1:12" ht="15.75">
      <c r="A44" s="20" t="s">
        <v>261</v>
      </c>
      <c r="B44" s="86" t="s">
        <v>398</v>
      </c>
      <c r="C44" s="13" t="s">
        <v>399</v>
      </c>
      <c r="D44" s="13"/>
      <c r="E44" s="732" t="s">
        <v>332</v>
      </c>
      <c r="F44" s="733" t="str">
        <f t="shared" si="38"/>
        <v> </v>
      </c>
      <c r="G44" s="732"/>
      <c r="H44" s="732"/>
      <c r="I44" s="732"/>
      <c r="J44" s="13"/>
      <c r="K44" s="20" t="str">
        <f t="shared" si="36"/>
        <v> </v>
      </c>
      <c r="L44" s="20" t="str">
        <f t="shared" si="37"/>
        <v> </v>
      </c>
    </row>
    <row r="45" spans="1:21" ht="15.75">
      <c r="A45" s="20" t="s">
        <v>267</v>
      </c>
      <c r="B45" s="86" t="s">
        <v>400</v>
      </c>
      <c r="C45" s="13" t="s">
        <v>401</v>
      </c>
      <c r="D45" s="13"/>
      <c r="E45" s="732" t="s">
        <v>332</v>
      </c>
      <c r="F45" s="733" t="str">
        <f t="shared" si="38"/>
        <v> </v>
      </c>
      <c r="G45" s="732"/>
      <c r="H45" s="732"/>
      <c r="I45" s="732"/>
      <c r="J45" s="13"/>
      <c r="K45" s="20" t="str">
        <f t="shared" si="36"/>
        <v> </v>
      </c>
      <c r="L45" s="20" t="str">
        <f t="shared" si="37"/>
        <v> </v>
      </c>
      <c r="U45" s="63" t="s">
        <v>402</v>
      </c>
    </row>
    <row r="46" spans="1:21" ht="15.75">
      <c r="A46" s="20" t="s">
        <v>269</v>
      </c>
      <c r="B46" s="86" t="s">
        <v>403</v>
      </c>
      <c r="C46" s="13" t="s">
        <v>404</v>
      </c>
      <c r="D46" s="13"/>
      <c r="E46" s="732" t="s">
        <v>405</v>
      </c>
      <c r="F46" s="733" t="str">
        <f t="shared" si="38"/>
        <v> </v>
      </c>
      <c r="G46" s="732"/>
      <c r="H46" s="732"/>
      <c r="I46" s="732"/>
      <c r="J46" s="13"/>
      <c r="K46" s="20" t="str">
        <f t="shared" si="36"/>
        <v> </v>
      </c>
      <c r="L46" s="20" t="str">
        <f t="shared" si="37"/>
        <v> </v>
      </c>
      <c r="U46" s="10" t="s">
        <v>406</v>
      </c>
    </row>
    <row r="47" spans="1:21" ht="15.75">
      <c r="A47" s="20" t="s">
        <v>271</v>
      </c>
      <c r="B47" s="86" t="s">
        <v>407</v>
      </c>
      <c r="C47" s="13" t="s">
        <v>408</v>
      </c>
      <c r="D47" s="13"/>
      <c r="E47" s="732" t="s">
        <v>332</v>
      </c>
      <c r="F47" s="733" t="str">
        <f t="shared" si="38"/>
        <v> </v>
      </c>
      <c r="G47" s="732"/>
      <c r="H47" s="732"/>
      <c r="I47" s="732"/>
      <c r="K47" s="20" t="str">
        <f t="shared" si="36"/>
        <v> </v>
      </c>
      <c r="L47" s="20" t="str">
        <f t="shared" si="37"/>
        <v> </v>
      </c>
      <c r="U47" s="10" t="s">
        <v>409</v>
      </c>
    </row>
    <row r="48" spans="1:12" ht="15.75">
      <c r="A48" s="20" t="s">
        <v>273</v>
      </c>
      <c r="B48" s="86" t="s">
        <v>410</v>
      </c>
      <c r="C48" s="13" t="s">
        <v>411</v>
      </c>
      <c r="D48" s="13"/>
      <c r="E48" s="732" t="s">
        <v>332</v>
      </c>
      <c r="F48" s="733" t="str">
        <f t="shared" si="38"/>
        <v> </v>
      </c>
      <c r="G48" s="732"/>
      <c r="H48" s="732"/>
      <c r="I48" s="732"/>
      <c r="K48" s="20" t="str">
        <f t="shared" si="36"/>
        <v> </v>
      </c>
      <c r="L48" s="20" t="str">
        <f t="shared" si="37"/>
        <v> </v>
      </c>
    </row>
    <row r="49" spans="1:12" ht="15.75">
      <c r="A49" s="20" t="s">
        <v>276</v>
      </c>
      <c r="B49" s="86" t="s">
        <v>412</v>
      </c>
      <c r="C49" s="13" t="s">
        <v>413</v>
      </c>
      <c r="D49" s="13"/>
      <c r="E49" s="732" t="s">
        <v>332</v>
      </c>
      <c r="F49" s="733" t="str">
        <f t="shared" si="38"/>
        <v> </v>
      </c>
      <c r="G49" s="732"/>
      <c r="H49" s="732"/>
      <c r="I49" s="732"/>
      <c r="K49" s="20" t="str">
        <f t="shared" si="36"/>
        <v> </v>
      </c>
      <c r="L49" s="20" t="str">
        <f t="shared" si="37"/>
        <v> </v>
      </c>
    </row>
    <row r="50" spans="1:11" ht="15.75">
      <c r="A50" s="20" t="s">
        <v>295</v>
      </c>
      <c r="B50" s="86" t="s">
        <v>414</v>
      </c>
      <c r="C50" s="13" t="s">
        <v>415</v>
      </c>
      <c r="E50" s="732"/>
      <c r="F50" s="733"/>
      <c r="G50" s="732"/>
      <c r="H50" s="732"/>
      <c r="I50" s="732"/>
      <c r="K50" s="10" t="s">
        <v>332</v>
      </c>
    </row>
    <row r="51" ht="15"/>
    <row r="52" spans="1:5" ht="15">
      <c r="A52" s="13"/>
      <c r="B52" s="13"/>
      <c r="C52" s="53" t="s">
        <v>416</v>
      </c>
      <c r="D52" s="23">
        <f>AG18</f>
        <v>0</v>
      </c>
      <c r="E52" s="10" t="s">
        <v>417</v>
      </c>
    </row>
    <row r="53" spans="1:5" ht="15">
      <c r="A53" s="13"/>
      <c r="B53" s="13"/>
      <c r="C53" s="53" t="s">
        <v>418</v>
      </c>
      <c r="D53" s="23">
        <f>AF18</f>
        <v>0</v>
      </c>
      <c r="E53" s="10" t="s">
        <v>417</v>
      </c>
    </row>
    <row r="54" ht="15"/>
    <row r="55" ht="15"/>
    <row r="56" spans="1:3" ht="15">
      <c r="A56" s="24" t="s">
        <v>419</v>
      </c>
      <c r="C56" s="24" t="s">
        <v>420</v>
      </c>
    </row>
    <row r="57" ht="15"/>
    <row r="58" spans="4:7" ht="15.75">
      <c r="D58" s="67" t="s">
        <v>421</v>
      </c>
      <c r="F58" s="14"/>
      <c r="G58" s="81"/>
    </row>
    <row r="59" spans="1:7" ht="15.75">
      <c r="A59" s="67" t="s">
        <v>422</v>
      </c>
      <c r="G59" s="67" t="s">
        <v>423</v>
      </c>
    </row>
    <row r="60" spans="1:8" ht="15">
      <c r="A60" s="89" t="e">
        <f>A62/27</f>
        <v>#VALUE!</v>
      </c>
      <c r="B60" s="13" t="s">
        <v>424</v>
      </c>
      <c r="C60" s="13"/>
      <c r="D60" s="13"/>
      <c r="E60" s="13"/>
      <c r="F60" s="53" t="s">
        <v>425</v>
      </c>
      <c r="G60" s="89">
        <f>R32/27</f>
        <v>0</v>
      </c>
      <c r="H60" s="10" t="s">
        <v>336</v>
      </c>
    </row>
    <row r="61" spans="1:8" ht="15">
      <c r="A61" s="89" t="e">
        <f>(A60)*27*0.8036</f>
        <v>#VALUE!</v>
      </c>
      <c r="B61" s="13" t="s">
        <v>426</v>
      </c>
      <c r="C61" s="13"/>
      <c r="D61" s="13"/>
      <c r="E61" s="13"/>
      <c r="F61" s="53" t="s">
        <v>427</v>
      </c>
      <c r="G61" s="89">
        <f>SUM(($H$4*$C$7)/9)*0.5/27</f>
        <v>0</v>
      </c>
      <c r="H61" s="10" t="s">
        <v>336</v>
      </c>
    </row>
    <row r="62" spans="1:8" ht="15">
      <c r="A62" s="89" t="e">
        <f>A63*2000/60</f>
        <v>#VALUE!</v>
      </c>
      <c r="B62" s="13" t="s">
        <v>428</v>
      </c>
      <c r="C62" s="13"/>
      <c r="D62" s="13"/>
      <c r="E62" s="13"/>
      <c r="F62" s="53" t="s">
        <v>429</v>
      </c>
      <c r="G62" s="89">
        <f>G60+G61</f>
        <v>0</v>
      </c>
      <c r="H62" s="10" t="s">
        <v>336</v>
      </c>
    </row>
    <row r="63" spans="1:2" ht="15">
      <c r="A63" s="89" t="e">
        <f>L90+L91</f>
        <v>#VALUE!</v>
      </c>
      <c r="B63" s="10" t="s">
        <v>235</v>
      </c>
    </row>
    <row r="64" spans="1:9" ht="15">
      <c r="A64" s="90"/>
      <c r="B64" s="90"/>
      <c r="C64" s="90"/>
      <c r="D64" s="90"/>
      <c r="E64" s="90"/>
      <c r="F64" s="90"/>
      <c r="G64" s="90"/>
      <c r="H64" s="90"/>
      <c r="I64" s="90"/>
    </row>
    <row r="65" spans="1:8" ht="15.75">
      <c r="A65" s="67" t="s">
        <v>430</v>
      </c>
      <c r="G65" s="29" t="s">
        <v>431</v>
      </c>
      <c r="H65" s="62"/>
    </row>
    <row r="66" spans="1:7" ht="15.75">
      <c r="A66" s="13"/>
      <c r="B66" s="13"/>
      <c r="C66" s="13"/>
      <c r="D66" s="53" t="s">
        <v>432</v>
      </c>
      <c r="E66" s="27" t="e">
        <f>VLOOKUP('Nutrient Management Planner'!D66,'Nutrient Management Planner'!B373:C378,2)</f>
        <v>#VALUE!</v>
      </c>
      <c r="G66" s="12" t="s">
        <v>433</v>
      </c>
    </row>
    <row r="67" spans="1:13" ht="15.75">
      <c r="A67" s="91" t="s">
        <v>434</v>
      </c>
      <c r="F67" s="50" t="s">
        <v>435</v>
      </c>
      <c r="G67" s="162">
        <f>'Nutrient Management Planner'!F77</f>
        <v>0.12</v>
      </c>
      <c r="H67" s="92" t="e">
        <f>($B$88+$F$93)*$G$67</f>
        <v>#VALUE!</v>
      </c>
      <c r="I67" s="93" t="s">
        <v>436</v>
      </c>
      <c r="M67" s="10" t="e">
        <f>IF($E$66=1,T224,X224)</f>
        <v>#VALUE!</v>
      </c>
    </row>
    <row r="68" spans="1:10" ht="15.75">
      <c r="A68" s="91" t="s">
        <v>437</v>
      </c>
      <c r="F68" s="50" t="s">
        <v>438</v>
      </c>
      <c r="G68" s="162">
        <f>'Nutrient Management Planner'!F78</f>
        <v>0.2</v>
      </c>
      <c r="H68" s="92">
        <f>$B$89*$G$68</f>
        <v>0</v>
      </c>
      <c r="J68" s="24"/>
    </row>
    <row r="69" spans="1:8" ht="15.75">
      <c r="A69" s="91" t="s">
        <v>439</v>
      </c>
      <c r="F69" s="50" t="s">
        <v>440</v>
      </c>
      <c r="G69" s="162">
        <f>'Nutrient Management Planner'!F79</f>
        <v>0.02</v>
      </c>
      <c r="H69" s="92">
        <f>$B$90*$G$69</f>
        <v>0</v>
      </c>
    </row>
    <row r="70" spans="1:8" ht="15">
      <c r="A70" s="91" t="s">
        <v>449</v>
      </c>
      <c r="G70" s="50" t="s">
        <v>450</v>
      </c>
      <c r="H70" s="92" t="e">
        <f>SUM(H67:H69)</f>
        <v>#VALUE!</v>
      </c>
    </row>
    <row r="71" ht="15">
      <c r="A71" s="91" t="s">
        <v>451</v>
      </c>
    </row>
    <row r="72" ht="15"/>
    <row r="73" spans="2:3" ht="15.75">
      <c r="B73" s="11" t="s">
        <v>452</v>
      </c>
      <c r="C73" s="409">
        <f>'Nutrient Risk Assessment'!I15</f>
        <v>1</v>
      </c>
    </row>
    <row r="74" spans="1:6" ht="15">
      <c r="A74" s="94" t="s">
        <v>453</v>
      </c>
      <c r="B74" s="95" t="s">
        <v>454</v>
      </c>
      <c r="C74" s="13"/>
      <c r="D74" s="13"/>
      <c r="E74" s="94" t="s">
        <v>455</v>
      </c>
      <c r="F74" s="24" t="s">
        <v>456</v>
      </c>
    </row>
    <row r="75" spans="1:6" ht="15">
      <c r="A75" s="94" t="s">
        <v>457</v>
      </c>
      <c r="B75" s="95" t="s">
        <v>458</v>
      </c>
      <c r="C75" s="13"/>
      <c r="D75" s="13"/>
      <c r="E75" s="94" t="s">
        <v>459</v>
      </c>
      <c r="F75" s="24" t="s">
        <v>460</v>
      </c>
    </row>
    <row r="76" spans="1:6" ht="15">
      <c r="A76" s="94" t="s">
        <v>461</v>
      </c>
      <c r="B76" s="95" t="s">
        <v>462</v>
      </c>
      <c r="C76" s="13"/>
      <c r="D76" s="13"/>
      <c r="E76" s="94" t="s">
        <v>463</v>
      </c>
      <c r="F76" s="24" t="s">
        <v>464</v>
      </c>
    </row>
    <row r="77" ht="15"/>
    <row r="78" spans="1:7" ht="15.75">
      <c r="A78" s="13"/>
      <c r="B78" s="13"/>
      <c r="C78" s="13"/>
      <c r="F78" s="11" t="s">
        <v>465</v>
      </c>
      <c r="G78" s="25" t="e">
        <f>'Nutrient Management Planner'!F410</f>
        <v>#N/A</v>
      </c>
    </row>
    <row r="79" ht="15">
      <c r="A79" s="20" t="s">
        <v>466</v>
      </c>
    </row>
    <row r="80" spans="1:9" ht="15">
      <c r="A80" s="20" t="s">
        <v>467</v>
      </c>
      <c r="C80" s="12" t="s">
        <v>468</v>
      </c>
      <c r="E80" s="12" t="s">
        <v>468</v>
      </c>
      <c r="G80" s="12" t="s">
        <v>469</v>
      </c>
      <c r="H80" s="13"/>
      <c r="I80" s="13"/>
    </row>
    <row r="81" spans="1:9" ht="15">
      <c r="A81" s="20" t="s">
        <v>470</v>
      </c>
      <c r="B81" s="13"/>
      <c r="C81" s="20" t="s">
        <v>471</v>
      </c>
      <c r="D81" s="13"/>
      <c r="E81" s="20" t="s">
        <v>472</v>
      </c>
      <c r="F81" s="13"/>
      <c r="G81" s="20" t="s">
        <v>472</v>
      </c>
      <c r="H81" s="13"/>
      <c r="I81" s="13"/>
    </row>
    <row r="82" spans="1:13" ht="15">
      <c r="A82" s="20" t="s">
        <v>473</v>
      </c>
      <c r="B82" s="13"/>
      <c r="C82" s="84">
        <v>0.7</v>
      </c>
      <c r="D82" s="20"/>
      <c r="E82" s="84">
        <v>0.9</v>
      </c>
      <c r="F82" s="20"/>
      <c r="G82" s="84">
        <v>1</v>
      </c>
      <c r="J82" s="13"/>
      <c r="K82" s="13"/>
      <c r="L82" s="13"/>
      <c r="M82" s="96" t="s">
        <v>474</v>
      </c>
    </row>
    <row r="83" spans="1:13" ht="15">
      <c r="A83" s="20" t="s">
        <v>475</v>
      </c>
      <c r="B83" s="13"/>
      <c r="C83" s="84">
        <v>0.6</v>
      </c>
      <c r="D83" s="20"/>
      <c r="E83" s="84">
        <v>0.8</v>
      </c>
      <c r="F83" s="20"/>
      <c r="G83" s="84">
        <v>0.95</v>
      </c>
      <c r="J83" s="13"/>
      <c r="K83" s="13"/>
      <c r="L83" s="13"/>
      <c r="M83" s="96" t="s">
        <v>476</v>
      </c>
    </row>
    <row r="84" spans="1:13" ht="15">
      <c r="A84" s="20" t="s">
        <v>477</v>
      </c>
      <c r="B84" s="13"/>
      <c r="C84" s="84">
        <v>0.5</v>
      </c>
      <c r="D84" s="20"/>
      <c r="E84" s="84">
        <v>0.7</v>
      </c>
      <c r="F84" s="20"/>
      <c r="G84" s="84">
        <v>0.9</v>
      </c>
      <c r="H84" s="13"/>
      <c r="I84" s="13"/>
      <c r="M84" s="10" t="s">
        <v>332</v>
      </c>
    </row>
    <row r="85" ht="15"/>
    <row r="86" spans="1:14" ht="15.75">
      <c r="A86" s="97" t="s">
        <v>478</v>
      </c>
      <c r="J86" s="13"/>
      <c r="K86" s="13"/>
      <c r="L86" s="13"/>
      <c r="M86" s="26" t="b">
        <f>ISERR(G28)</f>
        <v>0</v>
      </c>
      <c r="N86" s="10" t="s">
        <v>332</v>
      </c>
    </row>
    <row r="87" spans="2:13" ht="15">
      <c r="B87" s="56" t="s">
        <v>479</v>
      </c>
      <c r="D87" s="56" t="s">
        <v>480</v>
      </c>
      <c r="F87" s="56" t="s">
        <v>481</v>
      </c>
      <c r="H87" s="56" t="s">
        <v>482</v>
      </c>
      <c r="M87" s="10" t="s">
        <v>483</v>
      </c>
    </row>
    <row r="88" spans="1:9" ht="15">
      <c r="A88" s="53" t="s">
        <v>484</v>
      </c>
      <c r="B88" s="89">
        <f>$AW$19</f>
        <v>0</v>
      </c>
      <c r="C88" s="13" t="s">
        <v>308</v>
      </c>
      <c r="D88" s="98" t="e">
        <f>IF(C117&lt;1,+B88/$S$32,C117*G78)</f>
        <v>#VALUE!</v>
      </c>
      <c r="F88" s="99" t="e">
        <f>B88/$A$61</f>
        <v>#VALUE!</v>
      </c>
      <c r="H88" s="99" t="e">
        <f>B88/$A$62</f>
        <v>#VALUE!</v>
      </c>
      <c r="I88" s="13"/>
    </row>
    <row r="89" spans="1:9" ht="15">
      <c r="A89" s="53" t="s">
        <v>485</v>
      </c>
      <c r="B89" s="89">
        <f>W32*0.6</f>
        <v>0</v>
      </c>
      <c r="C89" s="13" t="s">
        <v>308</v>
      </c>
      <c r="D89" s="98" t="e">
        <f>IF(D117&lt;1,+B89/$S$32,+D117*G78)</f>
        <v>#VALUE!</v>
      </c>
      <c r="F89" s="99" t="e">
        <f>B89/$A$61</f>
        <v>#VALUE!</v>
      </c>
      <c r="H89" s="99" t="e">
        <f>B89/$A$62</f>
        <v>#VALUE!</v>
      </c>
      <c r="I89" s="13"/>
    </row>
    <row r="90" spans="1:13" ht="15">
      <c r="A90" s="53" t="s">
        <v>486</v>
      </c>
      <c r="B90" s="89">
        <f>Y32*0.7</f>
        <v>0</v>
      </c>
      <c r="C90" s="13" t="s">
        <v>308</v>
      </c>
      <c r="D90" s="98" t="e">
        <f>IF(E117&lt;1,+B90/$S$32,+E117*G78)</f>
        <v>#VALUE!</v>
      </c>
      <c r="F90" s="99" t="e">
        <f>B90/$A$61</f>
        <v>#VALUE!</v>
      </c>
      <c r="H90" s="99" t="e">
        <f>B90/$A$62</f>
        <v>#VALUE!</v>
      </c>
      <c r="J90" s="13"/>
      <c r="K90" s="13"/>
      <c r="L90" s="23" t="e">
        <f>S32</f>
        <v>#VALUE!</v>
      </c>
      <c r="M90" s="10" t="s">
        <v>491</v>
      </c>
    </row>
    <row r="91" spans="2:13" ht="15">
      <c r="B91" s="23"/>
      <c r="C91" s="13"/>
      <c r="D91" s="22"/>
      <c r="E91" s="13"/>
      <c r="F91" s="22"/>
      <c r="G91" s="13"/>
      <c r="H91" s="22"/>
      <c r="J91" s="13"/>
      <c r="K91" s="13"/>
      <c r="L91" s="100">
        <f>((H4*C7)*0.5)/2000</f>
        <v>0</v>
      </c>
      <c r="M91" s="10" t="s">
        <v>498</v>
      </c>
    </row>
    <row r="92" spans="1:8" ht="15.75">
      <c r="A92" s="101" t="s">
        <v>499</v>
      </c>
      <c r="G92" s="56"/>
      <c r="H92" s="10" t="s">
        <v>500</v>
      </c>
    </row>
    <row r="93" spans="1:9" ht="15">
      <c r="A93" s="89" t="e">
        <f>G30*202</f>
        <v>#VALUE!</v>
      </c>
      <c r="B93" s="13" t="s">
        <v>501</v>
      </c>
      <c r="C93" s="13"/>
      <c r="E93" s="53" t="s">
        <v>502</v>
      </c>
      <c r="F93" s="89" t="e">
        <f>I32*720</f>
        <v>#VALUE!</v>
      </c>
      <c r="G93" s="13" t="s">
        <v>308</v>
      </c>
      <c r="H93" s="84" t="e">
        <f>(IF(F93&lt;1,0,SUM(F93/(G30*202/1000))))</f>
        <v>#VALUE!</v>
      </c>
      <c r="I93" s="10" t="s">
        <v>226</v>
      </c>
    </row>
    <row r="94" ht="15"/>
    <row r="95" spans="1:8" ht="15">
      <c r="A95" s="62" t="s">
        <v>503</v>
      </c>
      <c r="B95" s="62"/>
      <c r="C95" s="62"/>
      <c r="D95" s="62"/>
      <c r="E95" s="62"/>
      <c r="F95" s="62"/>
      <c r="G95" s="62"/>
      <c r="H95" s="62"/>
    </row>
    <row r="96" spans="1:8" ht="15">
      <c r="A96" s="62" t="s">
        <v>504</v>
      </c>
      <c r="B96" s="62"/>
      <c r="C96" s="62"/>
      <c r="D96" s="62"/>
      <c r="E96" s="62"/>
      <c r="F96" s="62"/>
      <c r="G96" s="62"/>
      <c r="H96" s="62"/>
    </row>
    <row r="97" spans="1:9" ht="15">
      <c r="A97" s="62" t="s">
        <v>505</v>
      </c>
      <c r="B97" s="62"/>
      <c r="C97" s="62"/>
      <c r="D97" s="62"/>
      <c r="E97" s="62"/>
      <c r="F97" s="62"/>
      <c r="G97" s="62"/>
      <c r="H97" s="62"/>
      <c r="I97" s="62"/>
    </row>
    <row r="98" spans="1:9" ht="15">
      <c r="A98" s="62" t="s">
        <v>506</v>
      </c>
      <c r="B98" s="62"/>
      <c r="C98" s="62"/>
      <c r="D98" s="62"/>
      <c r="E98" s="62"/>
      <c r="F98" s="62"/>
      <c r="G98" s="62"/>
      <c r="H98" s="62"/>
      <c r="I98" s="62"/>
    </row>
    <row r="99" spans="1:9" ht="15">
      <c r="A99" s="62" t="s">
        <v>507</v>
      </c>
      <c r="B99" s="62"/>
      <c r="C99" s="62"/>
      <c r="D99" s="62"/>
      <c r="E99" s="62"/>
      <c r="F99" s="62"/>
      <c r="G99" s="62"/>
      <c r="H99" s="62"/>
      <c r="I99" s="62"/>
    </row>
    <row r="100" spans="1:9" ht="15">
      <c r="A100" s="62" t="s">
        <v>508</v>
      </c>
      <c r="B100" s="62"/>
      <c r="C100" s="62"/>
      <c r="D100" s="62"/>
      <c r="E100" s="62"/>
      <c r="F100" s="62"/>
      <c r="G100" s="62"/>
      <c r="H100" s="62"/>
      <c r="I100" s="62"/>
    </row>
    <row r="101" spans="1:9" ht="15">
      <c r="A101" s="62" t="s">
        <v>509</v>
      </c>
      <c r="B101" s="62"/>
      <c r="C101" s="62"/>
      <c r="D101" s="62"/>
      <c r="E101" s="62"/>
      <c r="F101" s="62"/>
      <c r="G101" s="62"/>
      <c r="H101" s="62"/>
      <c r="I101" s="62"/>
    </row>
    <row r="102" spans="1:9" ht="15">
      <c r="A102" s="62" t="s">
        <v>510</v>
      </c>
      <c r="B102" s="62"/>
      <c r="C102" s="62"/>
      <c r="D102" s="62"/>
      <c r="E102" s="62"/>
      <c r="F102" s="62"/>
      <c r="G102" s="62"/>
      <c r="H102" s="62"/>
      <c r="I102" s="62"/>
    </row>
    <row r="103" ht="15">
      <c r="I103" s="62"/>
    </row>
    <row r="104" spans="1:9" ht="15.75">
      <c r="A104" s="102" t="s">
        <v>511</v>
      </c>
      <c r="B104" s="62" t="s">
        <v>512</v>
      </c>
      <c r="C104" s="62"/>
      <c r="D104" s="62"/>
      <c r="E104" s="62"/>
      <c r="F104" s="62"/>
      <c r="G104" s="62"/>
      <c r="H104" s="62"/>
      <c r="I104" s="62"/>
    </row>
    <row r="105" spans="2:9" ht="15">
      <c r="B105" s="62" t="s">
        <v>513</v>
      </c>
      <c r="C105" s="62"/>
      <c r="E105" s="62"/>
      <c r="F105" s="62"/>
      <c r="G105" s="62"/>
      <c r="H105" s="62"/>
      <c r="I105" s="62"/>
    </row>
    <row r="106" spans="2:9" ht="15">
      <c r="B106" s="62" t="s">
        <v>514</v>
      </c>
      <c r="C106" s="62"/>
      <c r="D106" s="62"/>
      <c r="E106" s="62"/>
      <c r="F106" s="62"/>
      <c r="G106" s="62"/>
      <c r="H106" s="62"/>
      <c r="I106" s="62"/>
    </row>
    <row r="107" ht="15"/>
    <row r="108" ht="15"/>
    <row r="109" ht="15"/>
    <row r="110" spans="1:13" ht="15">
      <c r="A110" s="103" t="s">
        <v>515</v>
      </c>
      <c r="B110" s="104"/>
      <c r="C110" s="104"/>
      <c r="D110" s="104"/>
      <c r="E110" s="104"/>
      <c r="F110" s="105" t="s">
        <v>516</v>
      </c>
      <c r="G110" s="104"/>
      <c r="H110" s="104"/>
      <c r="I110" s="104"/>
      <c r="J110" s="13"/>
      <c r="K110" s="13"/>
      <c r="L110" s="21" t="e">
        <f>(O134-1400)*0.0875/C116</f>
        <v>#DIV/0!</v>
      </c>
      <c r="M110" s="10" t="s">
        <v>517</v>
      </c>
    </row>
    <row r="111" spans="1:9" ht="15">
      <c r="A111" s="103" t="s">
        <v>518</v>
      </c>
      <c r="B111" s="104"/>
      <c r="C111" s="104"/>
      <c r="D111" s="104"/>
      <c r="E111" s="104"/>
      <c r="F111" s="103" t="s">
        <v>519</v>
      </c>
      <c r="G111" s="104"/>
      <c r="H111" s="104"/>
      <c r="I111" s="104"/>
    </row>
    <row r="112" ht="15"/>
    <row r="113" spans="1:3" ht="15.75">
      <c r="A113" s="13"/>
      <c r="B113" s="13"/>
      <c r="C113" s="106" t="s">
        <v>520</v>
      </c>
    </row>
    <row r="114" ht="15"/>
    <row r="115" spans="1:12" ht="15.75">
      <c r="A115" s="13"/>
      <c r="B115" s="13"/>
      <c r="C115" s="107" t="s">
        <v>181</v>
      </c>
      <c r="D115" s="107" t="s">
        <v>189</v>
      </c>
      <c r="E115" s="107" t="s">
        <v>188</v>
      </c>
      <c r="L115" s="10" t="b">
        <f>ISERR(P137)</f>
        <v>0</v>
      </c>
    </row>
    <row r="116" spans="1:12" ht="15.75">
      <c r="A116" s="13"/>
      <c r="B116" s="53" t="s">
        <v>521</v>
      </c>
      <c r="C116" s="168">
        <f>0+'Nutrient Management Planner'!C20</f>
        <v>0</v>
      </c>
      <c r="D116" s="168">
        <f>0+'Nutrient Management Planner'!D20</f>
        <v>0</v>
      </c>
      <c r="E116" s="168">
        <v>0</v>
      </c>
      <c r="F116" s="10" t="s">
        <v>522</v>
      </c>
      <c r="K116" s="10" t="s">
        <v>332</v>
      </c>
      <c r="L116" s="10" t="s">
        <v>523</v>
      </c>
    </row>
    <row r="117" spans="1:13" ht="15.75">
      <c r="A117" s="13"/>
      <c r="B117" s="53" t="s">
        <v>524</v>
      </c>
      <c r="C117" s="168">
        <f>0+'Nutrient Management Planner'!R67</f>
        <v>0</v>
      </c>
      <c r="D117" s="168">
        <f>0+'Nutrient Management Planner'!S67</f>
        <v>0</v>
      </c>
      <c r="E117" s="168">
        <f>0+'Nutrient Management Planner'!T67</f>
        <v>0</v>
      </c>
      <c r="F117" s="13" t="s">
        <v>217</v>
      </c>
      <c r="G117" s="13"/>
      <c r="H117" s="13"/>
      <c r="I117" s="13"/>
      <c r="J117" s="13"/>
      <c r="K117" s="13"/>
      <c r="L117" s="13" t="s">
        <v>332</v>
      </c>
      <c r="M117" s="164" t="str">
        <f>C4</f>
        <v>Golden Valley</v>
      </c>
    </row>
    <row r="118" ht="15">
      <c r="C118" s="80" t="s">
        <v>525</v>
      </c>
    </row>
    <row r="119" ht="15">
      <c r="N119" s="10" t="e">
        <f>A62/A63</f>
        <v>#VALUE!</v>
      </c>
    </row>
    <row r="120" ht="15"/>
    <row r="121" ht="15"/>
    <row r="122" spans="4:28" ht="15">
      <c r="D122" s="10" t="s">
        <v>526</v>
      </c>
      <c r="G122" s="10" t="s">
        <v>527</v>
      </c>
      <c r="AB122" s="10" t="s">
        <v>528</v>
      </c>
    </row>
    <row r="123" spans="4:35" ht="15">
      <c r="D123" s="10" t="s">
        <v>529</v>
      </c>
      <c r="G123" s="10" t="s">
        <v>530</v>
      </c>
      <c r="J123" s="10" t="s">
        <v>332</v>
      </c>
      <c r="K123" s="10" t="s">
        <v>531</v>
      </c>
      <c r="Q123" s="10" t="s">
        <v>532</v>
      </c>
      <c r="W123" s="10" t="s">
        <v>533</v>
      </c>
      <c r="AB123" s="10" t="s">
        <v>534</v>
      </c>
      <c r="AF123" s="10" t="s">
        <v>535</v>
      </c>
      <c r="AI123" s="10" t="s">
        <v>536</v>
      </c>
    </row>
    <row r="124" spans="1:36" ht="15">
      <c r="A124" s="108" t="s">
        <v>537</v>
      </c>
      <c r="B124" s="108" t="s">
        <v>538</v>
      </c>
      <c r="C124" s="108" t="s">
        <v>239</v>
      </c>
      <c r="D124" s="108" t="s">
        <v>235</v>
      </c>
      <c r="E124" s="108" t="s">
        <v>539</v>
      </c>
      <c r="F124" s="108" t="s">
        <v>306</v>
      </c>
      <c r="G124" s="108" t="s">
        <v>181</v>
      </c>
      <c r="H124" s="108" t="s">
        <v>188</v>
      </c>
      <c r="I124" s="55" t="s">
        <v>540</v>
      </c>
      <c r="J124" s="12" t="s">
        <v>181</v>
      </c>
      <c r="K124" s="12" t="s">
        <v>189</v>
      </c>
      <c r="L124" s="12" t="s">
        <v>188</v>
      </c>
      <c r="O124" s="12" t="s">
        <v>538</v>
      </c>
      <c r="P124" s="12" t="s">
        <v>181</v>
      </c>
      <c r="Q124" s="12" t="s">
        <v>189</v>
      </c>
      <c r="R124" s="12" t="s">
        <v>188</v>
      </c>
      <c r="W124" s="10" t="s">
        <v>541</v>
      </c>
      <c r="AB124" s="12" t="s">
        <v>181</v>
      </c>
      <c r="AC124" s="12" t="s">
        <v>189</v>
      </c>
      <c r="AD124" s="12" t="s">
        <v>188</v>
      </c>
      <c r="AE124" s="12" t="s">
        <v>181</v>
      </c>
      <c r="AF124" s="12" t="s">
        <v>189</v>
      </c>
      <c r="AG124" s="12" t="s">
        <v>188</v>
      </c>
      <c r="AH124" s="12" t="s">
        <v>181</v>
      </c>
      <c r="AI124" s="12" t="s">
        <v>189</v>
      </c>
      <c r="AJ124" s="12" t="s">
        <v>188</v>
      </c>
    </row>
    <row r="125" spans="1:36" ht="15.75">
      <c r="A125" s="129" t="s">
        <v>1065</v>
      </c>
      <c r="B125" s="168">
        <f>IF(A125='Nutrient Management Planner'!B7,'Nutrient Management Planner'!D7,IF(A125='Nutrient Management Planner'!B8,'Nutrient Management Planner'!D8,IF(A125='Nutrient Management Planner'!B9,'Nutrient Management Planner'!D9,IF(A125='Nutrient Management Planner'!B10,'Nutrient Management Planner'!D10,IF(A125='Nutrient Management Planner'!B11,'Nutrient Management Planner'!D11,IF(A125='Nutrient Management Planner'!B12,'Nutrient Management Planner'!D12,0))))))</f>
        <v>0</v>
      </c>
      <c r="C125" s="81">
        <f aca="true" t="shared" si="39" ref="C125:C152">IF(ISERR($A$63/D125),0,$A$63/D125)</f>
        <v>0</v>
      </c>
      <c r="D125" s="81">
        <f>IF(ISERR(AD125/$D$90),0,(AD125/$D$90))</f>
        <v>0</v>
      </c>
      <c r="E125" s="81" t="e">
        <f aca="true" t="shared" si="40" ref="E125:E152">D125*$N$119*0.8036</f>
        <v>#VALUE!</v>
      </c>
      <c r="F125" s="81" t="e">
        <f aca="true" t="shared" si="41" ref="F125:F152">D125*$N$119</f>
        <v>#VALUE!</v>
      </c>
      <c r="G125" s="81" t="e">
        <f aca="true" t="shared" si="42" ref="G125:G136">IF(AE125&lt;1,0,AE125)</f>
        <v>#VALUE!</v>
      </c>
      <c r="H125" s="81" t="e">
        <f aca="true" t="shared" si="43" ref="H125:H136">IF(AG125&lt;1,0,AG125)</f>
        <v>#VALUE!</v>
      </c>
      <c r="I125" s="109" t="str">
        <f aca="true" t="shared" si="44" ref="I125:I152">IF(B125&gt;1,(F125/43560)*12,$J$123)</f>
        <v> </v>
      </c>
      <c r="J125" s="26">
        <v>0</v>
      </c>
      <c r="K125" s="26">
        <f>(Q125-(0.7*D116))*O125</f>
        <v>0</v>
      </c>
      <c r="L125" s="26">
        <f>(R125-(0.175*E116))*O125</f>
        <v>0</v>
      </c>
      <c r="M125" s="13" t="s">
        <v>542</v>
      </c>
      <c r="N125" s="13"/>
      <c r="O125" s="13">
        <f aca="true" t="shared" si="45" ref="O125:O152">IF(ISERR(+B125),0,+B125)</f>
        <v>0</v>
      </c>
      <c r="P125" s="13">
        <v>0</v>
      </c>
      <c r="Q125" s="13">
        <v>21</v>
      </c>
      <c r="R125" s="13">
        <v>52.5</v>
      </c>
      <c r="S125" s="13" t="s">
        <v>542</v>
      </c>
      <c r="T125" s="13"/>
      <c r="U125" s="13"/>
      <c r="V125" s="13"/>
      <c r="W125" s="23" t="e">
        <f aca="true" t="shared" si="46" ref="W125:W152">C125*G125</f>
        <v>#VALUE!</v>
      </c>
      <c r="X125" s="23" t="e">
        <v>#VALUE!</v>
      </c>
      <c r="Y125" s="23" t="e">
        <f aca="true" t="shared" si="47" ref="Y125:Y152">C125*H125</f>
        <v>#VALUE!</v>
      </c>
      <c r="Z125" s="13"/>
      <c r="AA125" s="13" t="s">
        <v>542</v>
      </c>
      <c r="AB125" s="23">
        <f aca="true" t="shared" si="48" ref="AB125:AB136">IF(J125&lt;1,0,J125)</f>
        <v>0</v>
      </c>
      <c r="AC125" s="23">
        <f>IF(K125&lt;1,0,K125)</f>
        <v>0</v>
      </c>
      <c r="AD125" s="23">
        <f aca="true" t="shared" si="49" ref="AD125:AD136">IF(L125&lt;1,0,L125)</f>
        <v>0</v>
      </c>
      <c r="AE125" s="26" t="e">
        <f aca="true" t="shared" si="50" ref="AE125:AE152">IF(+AB125-AH125&lt;1,0,(+AB125-AH125))</f>
        <v>#VALUE!</v>
      </c>
      <c r="AF125" s="26" t="e">
        <f aca="true" t="shared" si="51" ref="AF125:AF152">IF(+AC125-AI125&lt;1,0,(+AC125-AI125))</f>
        <v>#VALUE!</v>
      </c>
      <c r="AG125" s="26" t="e">
        <f aca="true" t="shared" si="52" ref="AG125:AG152">IF(+AD125-AJ125&lt;1,0,(+AD125-AJ125))</f>
        <v>#VALUE!</v>
      </c>
      <c r="AH125" s="26" t="e">
        <f aca="true" t="shared" si="53" ref="AH125:AH152">D125*$D$88</f>
        <v>#VALUE!</v>
      </c>
      <c r="AI125" s="26" t="e">
        <f aca="true" t="shared" si="54" ref="AI125:AI152">D125*$D$89</f>
        <v>#VALUE!</v>
      </c>
      <c r="AJ125" s="26" t="e">
        <f aca="true" t="shared" si="55" ref="AJ125:AJ152">D125*$D$90</f>
        <v>#VALUE!</v>
      </c>
    </row>
    <row r="126" spans="1:36" ht="15.75">
      <c r="A126" s="129" t="s">
        <v>1044</v>
      </c>
      <c r="B126" s="168">
        <f>IF(A126='Nutrient Management Planner'!B7,'Nutrient Management Planner'!D7,IF(A126='Nutrient Management Planner'!B8,'Nutrient Management Planner'!D8,IF(A126='Nutrient Management Planner'!B9,'Nutrient Management Planner'!D9,IF(A126='Nutrient Management Planner'!B10,'Nutrient Management Planner'!D10,IF(A126='Nutrient Management Planner'!B11,'Nutrient Management Planner'!D11,IF(A126='Nutrient Management Planner'!B12,'Nutrient Management Planner'!D12,0))))))</f>
        <v>0</v>
      </c>
      <c r="C126" s="81">
        <f t="shared" si="39"/>
        <v>0</v>
      </c>
      <c r="D126" s="81">
        <f aca="true" t="shared" si="56" ref="D126:D150">IF(ISERR(AC126/$D$89),0,(AC126/$D$89))</f>
        <v>0</v>
      </c>
      <c r="E126" s="81" t="e">
        <f t="shared" si="40"/>
        <v>#VALUE!</v>
      </c>
      <c r="F126" s="81" t="e">
        <f t="shared" si="41"/>
        <v>#VALUE!</v>
      </c>
      <c r="G126" s="81" t="e">
        <f t="shared" si="42"/>
        <v>#VALUE!</v>
      </c>
      <c r="H126" s="81" t="e">
        <f t="shared" si="43"/>
        <v>#VALUE!</v>
      </c>
      <c r="I126" s="109" t="str">
        <f t="shared" si="44"/>
        <v> </v>
      </c>
      <c r="J126" s="26">
        <f>(O126*P126)-$C$116</f>
        <v>0</v>
      </c>
      <c r="K126" s="23">
        <f>(Q126-(0.023*$D$116))*O126</f>
        <v>0</v>
      </c>
      <c r="L126" s="26">
        <f>(R126-(0.0046*$E$116))*O126</f>
        <v>0</v>
      </c>
      <c r="M126" s="13" t="s">
        <v>543</v>
      </c>
      <c r="N126" s="13"/>
      <c r="O126" s="13">
        <f t="shared" si="45"/>
        <v>0</v>
      </c>
      <c r="P126" s="13">
        <v>1.75</v>
      </c>
      <c r="Q126" s="13">
        <v>0.69</v>
      </c>
      <c r="R126" s="13">
        <v>1.4</v>
      </c>
      <c r="S126" s="13" t="s">
        <v>543</v>
      </c>
      <c r="T126" s="13"/>
      <c r="U126" s="13"/>
      <c r="V126" s="13"/>
      <c r="W126" s="23" t="e">
        <f t="shared" si="46"/>
        <v>#VALUE!</v>
      </c>
      <c r="X126" s="23" t="e">
        <v>#VALUE!</v>
      </c>
      <c r="Y126" s="23" t="e">
        <f t="shared" si="47"/>
        <v>#VALUE!</v>
      </c>
      <c r="Z126" s="13"/>
      <c r="AA126" s="13" t="s">
        <v>543</v>
      </c>
      <c r="AB126" s="23">
        <f t="shared" si="48"/>
        <v>0</v>
      </c>
      <c r="AC126" s="23">
        <f aca="true" t="shared" si="57" ref="AC126:AC136">IF(K126&lt;1,0,K126)</f>
        <v>0</v>
      </c>
      <c r="AD126" s="23">
        <f t="shared" si="49"/>
        <v>0</v>
      </c>
      <c r="AE126" s="26" t="e">
        <f t="shared" si="50"/>
        <v>#VALUE!</v>
      </c>
      <c r="AF126" s="26" t="e">
        <f t="shared" si="51"/>
        <v>#VALUE!</v>
      </c>
      <c r="AG126" s="26" t="e">
        <f t="shared" si="52"/>
        <v>#VALUE!</v>
      </c>
      <c r="AH126" s="26" t="e">
        <f t="shared" si="53"/>
        <v>#VALUE!</v>
      </c>
      <c r="AI126" s="26" t="e">
        <f t="shared" si="54"/>
        <v>#VALUE!</v>
      </c>
      <c r="AJ126" s="26" t="e">
        <f t="shared" si="55"/>
        <v>#VALUE!</v>
      </c>
    </row>
    <row r="127" spans="1:36" ht="15.75">
      <c r="A127" s="129" t="s">
        <v>1064</v>
      </c>
      <c r="B127" s="168">
        <f>IF(A127='Nutrient Management Planner'!B7,'Nutrient Management Planner'!D7,IF(A127='Nutrient Management Planner'!B8,'Nutrient Management Planner'!D8,IF(A127='Nutrient Management Planner'!B9,'Nutrient Management Planner'!D9,IF(A127='Nutrient Management Planner'!B10,'Nutrient Management Planner'!D10,IF(A127='Nutrient Management Planner'!B11,'Nutrient Management Planner'!D11,IF(A127='Nutrient Management Planner'!B12,'Nutrient Management Planner'!D12,0))))))</f>
        <v>0</v>
      </c>
      <c r="C127" s="81">
        <f t="shared" si="39"/>
        <v>0</v>
      </c>
      <c r="D127" s="81">
        <f t="shared" si="56"/>
        <v>0</v>
      </c>
      <c r="E127" s="81" t="e">
        <f t="shared" si="40"/>
        <v>#VALUE!</v>
      </c>
      <c r="F127" s="81" t="e">
        <f t="shared" si="41"/>
        <v>#VALUE!</v>
      </c>
      <c r="G127" s="81" t="e">
        <f t="shared" si="42"/>
        <v>#VALUE!</v>
      </c>
      <c r="H127" s="81" t="e">
        <f t="shared" si="43"/>
        <v>#VALUE!</v>
      </c>
      <c r="I127" s="109" t="str">
        <f t="shared" si="44"/>
        <v> </v>
      </c>
      <c r="J127" s="26">
        <f>(O127*P127)-$C$116</f>
        <v>0</v>
      </c>
      <c r="K127" s="23">
        <f>(Q127-(0.023*$D$116))*O127</f>
        <v>0</v>
      </c>
      <c r="L127" s="26">
        <f>(R127-(0.0046*$E$116))*O127</f>
        <v>0</v>
      </c>
      <c r="M127" s="13" t="s">
        <v>544</v>
      </c>
      <c r="N127" s="13"/>
      <c r="O127" s="13">
        <f t="shared" si="45"/>
        <v>0</v>
      </c>
      <c r="P127" s="13">
        <v>1.5</v>
      </c>
      <c r="Q127" s="13">
        <v>0.69</v>
      </c>
      <c r="R127" s="13">
        <v>1.4</v>
      </c>
      <c r="S127" s="13" t="s">
        <v>544</v>
      </c>
      <c r="T127" s="13"/>
      <c r="U127" s="13"/>
      <c r="V127" s="13"/>
      <c r="W127" s="23" t="e">
        <f t="shared" si="46"/>
        <v>#VALUE!</v>
      </c>
      <c r="X127" s="23" t="e">
        <v>#VALUE!</v>
      </c>
      <c r="Y127" s="23" t="e">
        <f t="shared" si="47"/>
        <v>#VALUE!</v>
      </c>
      <c r="Z127" s="13"/>
      <c r="AA127" s="13" t="s">
        <v>544</v>
      </c>
      <c r="AB127" s="23">
        <f t="shared" si="48"/>
        <v>0</v>
      </c>
      <c r="AC127" s="23">
        <f t="shared" si="57"/>
        <v>0</v>
      </c>
      <c r="AD127" s="23">
        <f t="shared" si="49"/>
        <v>0</v>
      </c>
      <c r="AE127" s="26" t="e">
        <f t="shared" si="50"/>
        <v>#VALUE!</v>
      </c>
      <c r="AF127" s="26" t="e">
        <f t="shared" si="51"/>
        <v>#VALUE!</v>
      </c>
      <c r="AG127" s="26" t="e">
        <f t="shared" si="52"/>
        <v>#VALUE!</v>
      </c>
      <c r="AH127" s="26" t="e">
        <f t="shared" si="53"/>
        <v>#VALUE!</v>
      </c>
      <c r="AI127" s="26" t="e">
        <f t="shared" si="54"/>
        <v>#VALUE!</v>
      </c>
      <c r="AJ127" s="26" t="e">
        <f t="shared" si="55"/>
        <v>#VALUE!</v>
      </c>
    </row>
    <row r="128" spans="1:36" ht="15.75">
      <c r="A128" s="129" t="s">
        <v>1046</v>
      </c>
      <c r="B128" s="168">
        <f>IF(A128='Nutrient Management Planner'!B7,'Nutrient Management Planner'!D7,IF(A128='Nutrient Management Planner'!B8,'Nutrient Management Planner'!D8,IF(A128='Nutrient Management Planner'!B9,'Nutrient Management Planner'!D9,IF(A128='Nutrient Management Planner'!B10,'Nutrient Management Planner'!D10,IF(A128='Nutrient Management Planner'!B11,'Nutrient Management Planner'!D11,IF(A128='Nutrient Management Planner'!B12,'Nutrient Management Planner'!D12,0))))))</f>
        <v>0</v>
      </c>
      <c r="C128" s="81">
        <f t="shared" si="39"/>
        <v>0</v>
      </c>
      <c r="D128" s="81">
        <f t="shared" si="56"/>
        <v>0</v>
      </c>
      <c r="E128" s="81" t="e">
        <f t="shared" si="40"/>
        <v>#VALUE!</v>
      </c>
      <c r="F128" s="81" t="e">
        <f t="shared" si="41"/>
        <v>#VALUE!</v>
      </c>
      <c r="G128" s="81" t="e">
        <f t="shared" si="42"/>
        <v>#VALUE!</v>
      </c>
      <c r="H128" s="81" t="e">
        <f t="shared" si="43"/>
        <v>#VALUE!</v>
      </c>
      <c r="I128" s="109" t="str">
        <f t="shared" si="44"/>
        <v> </v>
      </c>
      <c r="J128" s="26">
        <f>(O128*P128)-$C$116</f>
        <v>0</v>
      </c>
      <c r="K128" s="26">
        <f>(Q128-(0.044*$D$116))*O128</f>
        <v>0</v>
      </c>
      <c r="L128" s="26">
        <f>(R128-(0.0062*$E$116))*O128</f>
        <v>0</v>
      </c>
      <c r="M128" s="13" t="s">
        <v>545</v>
      </c>
      <c r="N128" s="13"/>
      <c r="O128" s="13">
        <f t="shared" si="45"/>
        <v>0</v>
      </c>
      <c r="P128" s="13">
        <v>2.2</v>
      </c>
      <c r="Q128" s="13">
        <v>1.32</v>
      </c>
      <c r="R128" s="13">
        <v>1.86</v>
      </c>
      <c r="S128" s="13" t="s">
        <v>545</v>
      </c>
      <c r="T128" s="13"/>
      <c r="U128" s="13"/>
      <c r="V128" s="13"/>
      <c r="W128" s="23" t="e">
        <f t="shared" si="46"/>
        <v>#VALUE!</v>
      </c>
      <c r="X128" s="23" t="e">
        <v>#VALUE!</v>
      </c>
      <c r="Y128" s="23" t="e">
        <f t="shared" si="47"/>
        <v>#VALUE!</v>
      </c>
      <c r="Z128" s="13"/>
      <c r="AA128" s="13" t="s">
        <v>545</v>
      </c>
      <c r="AB128" s="23">
        <f t="shared" si="48"/>
        <v>0</v>
      </c>
      <c r="AC128" s="23">
        <f t="shared" si="57"/>
        <v>0</v>
      </c>
      <c r="AD128" s="23">
        <f t="shared" si="49"/>
        <v>0</v>
      </c>
      <c r="AE128" s="26" t="e">
        <f t="shared" si="50"/>
        <v>#VALUE!</v>
      </c>
      <c r="AF128" s="26" t="e">
        <f t="shared" si="51"/>
        <v>#VALUE!</v>
      </c>
      <c r="AG128" s="26" t="e">
        <f t="shared" si="52"/>
        <v>#VALUE!</v>
      </c>
      <c r="AH128" s="26" t="e">
        <f t="shared" si="53"/>
        <v>#VALUE!</v>
      </c>
      <c r="AI128" s="26" t="e">
        <f t="shared" si="54"/>
        <v>#VALUE!</v>
      </c>
      <c r="AJ128" s="26" t="e">
        <f t="shared" si="55"/>
        <v>#VALUE!</v>
      </c>
    </row>
    <row r="129" spans="1:36" ht="15.75">
      <c r="A129" s="129" t="s">
        <v>1066</v>
      </c>
      <c r="B129" s="168">
        <f>IF(A129='Nutrient Management Planner'!B7,'Nutrient Management Planner'!D7,IF(A129='Nutrient Management Planner'!B8,'Nutrient Management Planner'!D8,IF(A129='Nutrient Management Planner'!B9,'Nutrient Management Planner'!D9,IF(A129='Nutrient Management Planner'!B10,'Nutrient Management Planner'!D10,IF(A129='Nutrient Management Planner'!B11,'Nutrient Management Planner'!D11,IF(A129='Nutrient Management Planner'!B12,'Nutrient Management Planner'!D12,0))))))</f>
        <v>0</v>
      </c>
      <c r="C129" s="81">
        <f t="shared" si="39"/>
        <v>0</v>
      </c>
      <c r="D129" s="81">
        <f t="shared" si="56"/>
        <v>0</v>
      </c>
      <c r="E129" s="81" t="e">
        <f t="shared" si="40"/>
        <v>#VALUE!</v>
      </c>
      <c r="F129" s="81" t="e">
        <f t="shared" si="41"/>
        <v>#VALUE!</v>
      </c>
      <c r="G129" s="81" t="e">
        <f t="shared" si="42"/>
        <v>#VALUE!</v>
      </c>
      <c r="H129" s="81" t="e">
        <f t="shared" si="43"/>
        <v>#VALUE!</v>
      </c>
      <c r="I129" s="109" t="str">
        <f t="shared" si="44"/>
        <v> </v>
      </c>
      <c r="J129" s="26">
        <f>(O129*P129)-$C$116</f>
        <v>0</v>
      </c>
      <c r="K129" s="26">
        <f>(Q129-(0.00057*$D$116))*O129</f>
        <v>0</v>
      </c>
      <c r="L129" s="26">
        <f>(R129-(0.0001*$E$116))*O129</f>
        <v>0</v>
      </c>
      <c r="M129" s="13" t="s">
        <v>546</v>
      </c>
      <c r="N129" s="13"/>
      <c r="O129" s="13">
        <f t="shared" si="45"/>
        <v>0</v>
      </c>
      <c r="P129" s="13">
        <v>0.03</v>
      </c>
      <c r="Q129" s="13">
        <v>0.017</v>
      </c>
      <c r="R129" s="13">
        <v>0.03</v>
      </c>
      <c r="S129" s="13" t="s">
        <v>546</v>
      </c>
      <c r="T129" s="13"/>
      <c r="U129" s="13"/>
      <c r="V129" s="13"/>
      <c r="W129" s="23" t="e">
        <f t="shared" si="46"/>
        <v>#VALUE!</v>
      </c>
      <c r="X129" s="23" t="e">
        <v>#VALUE!</v>
      </c>
      <c r="Y129" s="23" t="e">
        <f t="shared" si="47"/>
        <v>#VALUE!</v>
      </c>
      <c r="Z129" s="13"/>
      <c r="AA129" s="13" t="s">
        <v>546</v>
      </c>
      <c r="AB129" s="23">
        <f t="shared" si="48"/>
        <v>0</v>
      </c>
      <c r="AC129" s="23">
        <f t="shared" si="57"/>
        <v>0</v>
      </c>
      <c r="AD129" s="23">
        <f t="shared" si="49"/>
        <v>0</v>
      </c>
      <c r="AE129" s="26" t="e">
        <f t="shared" si="50"/>
        <v>#VALUE!</v>
      </c>
      <c r="AF129" s="26" t="e">
        <f t="shared" si="51"/>
        <v>#VALUE!</v>
      </c>
      <c r="AG129" s="26" t="e">
        <f t="shared" si="52"/>
        <v>#VALUE!</v>
      </c>
      <c r="AH129" s="26" t="e">
        <f t="shared" si="53"/>
        <v>#VALUE!</v>
      </c>
      <c r="AI129" s="26" t="e">
        <f t="shared" si="54"/>
        <v>#VALUE!</v>
      </c>
      <c r="AJ129" s="26" t="e">
        <f t="shared" si="55"/>
        <v>#VALUE!</v>
      </c>
    </row>
    <row r="130" spans="1:36" ht="15.75">
      <c r="A130" s="129" t="s">
        <v>1050</v>
      </c>
      <c r="B130" s="168">
        <f>IF(A130='Nutrient Management Planner'!B7,'Nutrient Management Planner'!D7,IF(A130='Nutrient Management Planner'!B8,'Nutrient Management Planner'!D8,IF(A130='Nutrient Management Planner'!B9,'Nutrient Management Planner'!D9,IF(A130='Nutrient Management Planner'!B10,'Nutrient Management Planner'!D10,IF(A130='Nutrient Management Planner'!B11,'Nutrient Management Planner'!D11,IF(A130='Nutrient Management Planner'!B12,'Nutrient Management Planner'!D12,0))))))</f>
        <v>0</v>
      </c>
      <c r="C130" s="81">
        <f t="shared" si="39"/>
        <v>0</v>
      </c>
      <c r="D130" s="81">
        <f t="shared" si="56"/>
        <v>0</v>
      </c>
      <c r="E130" s="81" t="e">
        <f t="shared" si="40"/>
        <v>#VALUE!</v>
      </c>
      <c r="F130" s="81" t="e">
        <f t="shared" si="41"/>
        <v>#VALUE!</v>
      </c>
      <c r="G130" s="81" t="e">
        <f t="shared" si="42"/>
        <v>#VALUE!</v>
      </c>
      <c r="H130" s="81" t="e">
        <f t="shared" si="43"/>
        <v>#VALUE!</v>
      </c>
      <c r="I130" s="109" t="str">
        <f t="shared" si="44"/>
        <v> </v>
      </c>
      <c r="J130" s="26">
        <f>(O130*0.065)-$C$116</f>
        <v>0</v>
      </c>
      <c r="K130" s="26">
        <f>(Q130-(0.0012*$D$116))*O130</f>
        <v>0</v>
      </c>
      <c r="L130" s="26">
        <f>(R130-(0.00018*$E$116))*O130</f>
        <v>0</v>
      </c>
      <c r="M130" s="13" t="s">
        <v>547</v>
      </c>
      <c r="N130" s="13"/>
      <c r="O130" s="13">
        <f t="shared" si="45"/>
        <v>0</v>
      </c>
      <c r="P130" s="13">
        <v>0.065</v>
      </c>
      <c r="Q130" s="13">
        <v>0.036000000000000004</v>
      </c>
      <c r="R130" s="13">
        <v>0.054</v>
      </c>
      <c r="S130" s="13" t="s">
        <v>547</v>
      </c>
      <c r="T130" s="13"/>
      <c r="U130" s="13"/>
      <c r="V130" s="13"/>
      <c r="W130" s="23" t="e">
        <f t="shared" si="46"/>
        <v>#VALUE!</v>
      </c>
      <c r="X130" s="23" t="e">
        <v>#VALUE!</v>
      </c>
      <c r="Y130" s="23" t="e">
        <f t="shared" si="47"/>
        <v>#VALUE!</v>
      </c>
      <c r="Z130" s="13"/>
      <c r="AA130" s="13" t="s">
        <v>547</v>
      </c>
      <c r="AB130" s="23">
        <f t="shared" si="48"/>
        <v>0</v>
      </c>
      <c r="AC130" s="23">
        <f t="shared" si="57"/>
        <v>0</v>
      </c>
      <c r="AD130" s="23">
        <f t="shared" si="49"/>
        <v>0</v>
      </c>
      <c r="AE130" s="26" t="e">
        <f t="shared" si="50"/>
        <v>#VALUE!</v>
      </c>
      <c r="AF130" s="26" t="e">
        <f t="shared" si="51"/>
        <v>#VALUE!</v>
      </c>
      <c r="AG130" s="26" t="e">
        <f t="shared" si="52"/>
        <v>#VALUE!</v>
      </c>
      <c r="AH130" s="26" t="e">
        <f t="shared" si="53"/>
        <v>#VALUE!</v>
      </c>
      <c r="AI130" s="26" t="e">
        <f t="shared" si="54"/>
        <v>#VALUE!</v>
      </c>
      <c r="AJ130" s="26" t="e">
        <f t="shared" si="55"/>
        <v>#VALUE!</v>
      </c>
    </row>
    <row r="131" spans="1:36" ht="15.75">
      <c r="A131" s="129" t="s">
        <v>1067</v>
      </c>
      <c r="B131" s="168">
        <f>IF(A131='Nutrient Management Planner'!B7,'Nutrient Management Planner'!D7,IF(A131='Nutrient Management Planner'!B8,'Nutrient Management Planner'!D8,IF(A131='Nutrient Management Planner'!B9,'Nutrient Management Planner'!D9,IF(A131='Nutrient Management Planner'!B10,'Nutrient Management Planner'!D10,IF(A131='Nutrient Management Planner'!B11,'Nutrient Management Planner'!D11,IF(A131='Nutrient Management Planner'!B12,'Nutrient Management Planner'!D12,0))))))</f>
        <v>0</v>
      </c>
      <c r="C131" s="81">
        <f t="shared" si="39"/>
        <v>0</v>
      </c>
      <c r="D131" s="81">
        <f t="shared" si="56"/>
        <v>0</v>
      </c>
      <c r="E131" s="81" t="e">
        <f t="shared" si="40"/>
        <v>#VALUE!</v>
      </c>
      <c r="F131" s="81" t="e">
        <f t="shared" si="41"/>
        <v>#VALUE!</v>
      </c>
      <c r="G131" s="81" t="e">
        <f t="shared" si="42"/>
        <v>#VALUE!</v>
      </c>
      <c r="H131" s="81" t="e">
        <f t="shared" si="43"/>
        <v>#VALUE!</v>
      </c>
      <c r="I131" s="109" t="str">
        <f t="shared" si="44"/>
        <v> </v>
      </c>
      <c r="J131" s="26">
        <f>(O131*P131)-$C$116</f>
        <v>0</v>
      </c>
      <c r="K131" s="26">
        <f>(Q131-(0.0193*$D$116))*O131</f>
        <v>0</v>
      </c>
      <c r="L131" s="26">
        <f>(R131-(0.0046*$E$116))*O131</f>
        <v>0</v>
      </c>
      <c r="M131" s="13" t="s">
        <v>548</v>
      </c>
      <c r="N131" s="13"/>
      <c r="O131" s="13">
        <f t="shared" si="45"/>
        <v>0</v>
      </c>
      <c r="P131" s="13">
        <v>1.25</v>
      </c>
      <c r="Q131" s="13">
        <v>0.579</v>
      </c>
      <c r="R131" s="13">
        <v>1.375</v>
      </c>
      <c r="S131" s="13" t="s">
        <v>548</v>
      </c>
      <c r="T131" s="13"/>
      <c r="U131" s="13"/>
      <c r="V131" s="13"/>
      <c r="W131" s="23" t="e">
        <f t="shared" si="46"/>
        <v>#VALUE!</v>
      </c>
      <c r="X131" s="23" t="e">
        <v>#VALUE!</v>
      </c>
      <c r="Y131" s="23" t="e">
        <f t="shared" si="47"/>
        <v>#VALUE!</v>
      </c>
      <c r="Z131" s="13"/>
      <c r="AA131" s="13" t="s">
        <v>548</v>
      </c>
      <c r="AB131" s="23">
        <f t="shared" si="48"/>
        <v>0</v>
      </c>
      <c r="AC131" s="23">
        <f t="shared" si="57"/>
        <v>0</v>
      </c>
      <c r="AD131" s="23">
        <f t="shared" si="49"/>
        <v>0</v>
      </c>
      <c r="AE131" s="26" t="e">
        <f t="shared" si="50"/>
        <v>#VALUE!</v>
      </c>
      <c r="AF131" s="26" t="e">
        <f t="shared" si="51"/>
        <v>#VALUE!</v>
      </c>
      <c r="AG131" s="26" t="e">
        <f t="shared" si="52"/>
        <v>#VALUE!</v>
      </c>
      <c r="AH131" s="26" t="e">
        <f t="shared" si="53"/>
        <v>#VALUE!</v>
      </c>
      <c r="AI131" s="26" t="e">
        <f t="shared" si="54"/>
        <v>#VALUE!</v>
      </c>
      <c r="AJ131" s="26" t="e">
        <f t="shared" si="55"/>
        <v>#VALUE!</v>
      </c>
    </row>
    <row r="132" spans="1:36" ht="15.75">
      <c r="A132" s="129" t="s">
        <v>1068</v>
      </c>
      <c r="B132" s="168">
        <f>IF(A132='Nutrient Management Planner'!B7,'Nutrient Management Planner'!D7,IF(A132='Nutrient Management Planner'!B8,'Nutrient Management Planner'!D8,IF(A132='Nutrient Management Planner'!B9,'Nutrient Management Planner'!D9,IF(A132='Nutrient Management Planner'!B10,'Nutrient Management Planner'!D10,IF(A132='Nutrient Management Planner'!B11,'Nutrient Management Planner'!D11,IF(A132='Nutrient Management Planner'!B12,'Nutrient Management Planner'!D12,0))))))</f>
        <v>0</v>
      </c>
      <c r="C132" s="81">
        <f t="shared" si="39"/>
        <v>0</v>
      </c>
      <c r="D132" s="81">
        <f t="shared" si="56"/>
        <v>0</v>
      </c>
      <c r="E132" s="81" t="e">
        <f t="shared" si="40"/>
        <v>#VALUE!</v>
      </c>
      <c r="F132" s="81" t="e">
        <f t="shared" si="41"/>
        <v>#VALUE!</v>
      </c>
      <c r="G132" s="81" t="e">
        <f t="shared" si="42"/>
        <v>#VALUE!</v>
      </c>
      <c r="H132" s="81" t="e">
        <f t="shared" si="43"/>
        <v>#VALUE!</v>
      </c>
      <c r="I132" s="109" t="str">
        <f t="shared" si="44"/>
        <v> </v>
      </c>
      <c r="J132" s="26">
        <f>(O132*P132)-$C$116</f>
        <v>0</v>
      </c>
      <c r="K132" s="26">
        <f>(Q132-(0.154*$D$116))*O132</f>
        <v>0</v>
      </c>
      <c r="L132" s="26">
        <f>(R132-(0.035*$E$116))*O132</f>
        <v>0</v>
      </c>
      <c r="M132" s="13" t="s">
        <v>549</v>
      </c>
      <c r="N132" s="13"/>
      <c r="O132" s="13">
        <f t="shared" si="45"/>
        <v>0</v>
      </c>
      <c r="P132" s="13">
        <v>6.75</v>
      </c>
      <c r="Q132" s="13">
        <v>4.62</v>
      </c>
      <c r="R132" s="13">
        <v>10.5</v>
      </c>
      <c r="S132" s="13" t="s">
        <v>549</v>
      </c>
      <c r="T132" s="13"/>
      <c r="U132" s="13"/>
      <c r="V132" s="13"/>
      <c r="W132" s="23" t="e">
        <f t="shared" si="46"/>
        <v>#VALUE!</v>
      </c>
      <c r="X132" s="23" t="e">
        <v>#VALUE!</v>
      </c>
      <c r="Y132" s="23" t="e">
        <f t="shared" si="47"/>
        <v>#VALUE!</v>
      </c>
      <c r="Z132" s="13"/>
      <c r="AA132" s="13" t="s">
        <v>549</v>
      </c>
      <c r="AB132" s="23">
        <f t="shared" si="48"/>
        <v>0</v>
      </c>
      <c r="AC132" s="23">
        <f t="shared" si="57"/>
        <v>0</v>
      </c>
      <c r="AD132" s="23">
        <f t="shared" si="49"/>
        <v>0</v>
      </c>
      <c r="AE132" s="26" t="e">
        <f t="shared" si="50"/>
        <v>#VALUE!</v>
      </c>
      <c r="AF132" s="26" t="e">
        <f t="shared" si="51"/>
        <v>#VALUE!</v>
      </c>
      <c r="AG132" s="26" t="e">
        <f t="shared" si="52"/>
        <v>#VALUE!</v>
      </c>
      <c r="AH132" s="26" t="e">
        <f t="shared" si="53"/>
        <v>#VALUE!</v>
      </c>
      <c r="AI132" s="26" t="e">
        <f t="shared" si="54"/>
        <v>#VALUE!</v>
      </c>
      <c r="AJ132" s="26" t="e">
        <f t="shared" si="55"/>
        <v>#VALUE!</v>
      </c>
    </row>
    <row r="133" spans="1:36" ht="15.75">
      <c r="A133" s="129" t="s">
        <v>1072</v>
      </c>
      <c r="B133" s="168">
        <f>IF(A133='Nutrient Management Planner'!B7,'Nutrient Management Planner'!D7,IF(A133='Nutrient Management Planner'!B8,'Nutrient Management Planner'!D8,IF(A133='Nutrient Management Planner'!B9,'Nutrient Management Planner'!D9,IF(A133='Nutrient Management Planner'!B10,'Nutrient Management Planner'!D10,IF(A133='Nutrient Management Planner'!B11,'Nutrient Management Planner'!D11,IF(A133='Nutrient Management Planner'!B12,'Nutrient Management Planner'!D12,0))))))</f>
        <v>0</v>
      </c>
      <c r="C133" s="81">
        <f t="shared" si="39"/>
        <v>0</v>
      </c>
      <c r="D133" s="81">
        <f t="shared" si="56"/>
        <v>0</v>
      </c>
      <c r="E133" s="81" t="e">
        <f t="shared" si="40"/>
        <v>#VALUE!</v>
      </c>
      <c r="F133" s="81" t="e">
        <f t="shared" si="41"/>
        <v>#VALUE!</v>
      </c>
      <c r="G133" s="81" t="e">
        <f t="shared" si="42"/>
        <v>#VALUE!</v>
      </c>
      <c r="H133" s="81" t="e">
        <f t="shared" si="43"/>
        <v>#VALUE!</v>
      </c>
      <c r="I133" s="109" t="str">
        <f t="shared" si="44"/>
        <v> </v>
      </c>
      <c r="J133" s="26">
        <f>(O133*P133)-$C$116</f>
        <v>0</v>
      </c>
      <c r="K133" s="26">
        <f>(Q133-(0.029*$D$116))*O133</f>
        <v>0</v>
      </c>
      <c r="L133" s="26">
        <f>(R133-(0.009*$E$116))*O133</f>
        <v>0</v>
      </c>
      <c r="M133" s="13" t="s">
        <v>550</v>
      </c>
      <c r="N133" s="13"/>
      <c r="O133" s="13">
        <f t="shared" si="45"/>
        <v>0</v>
      </c>
      <c r="P133" s="13">
        <v>2.5</v>
      </c>
      <c r="Q133" s="13">
        <v>1.033</v>
      </c>
      <c r="R133" s="13">
        <v>2.67</v>
      </c>
      <c r="S133" s="13" t="s">
        <v>550</v>
      </c>
      <c r="T133" s="13"/>
      <c r="U133" s="13"/>
      <c r="V133" s="13"/>
      <c r="W133" s="23" t="e">
        <f t="shared" si="46"/>
        <v>#VALUE!</v>
      </c>
      <c r="X133" s="23" t="e">
        <v>#VALUE!</v>
      </c>
      <c r="Y133" s="23" t="e">
        <f t="shared" si="47"/>
        <v>#VALUE!</v>
      </c>
      <c r="Z133" s="13"/>
      <c r="AA133" s="13" t="s">
        <v>550</v>
      </c>
      <c r="AB133" s="23">
        <f t="shared" si="48"/>
        <v>0</v>
      </c>
      <c r="AC133" s="23">
        <f t="shared" si="57"/>
        <v>0</v>
      </c>
      <c r="AD133" s="23">
        <f t="shared" si="49"/>
        <v>0</v>
      </c>
      <c r="AE133" s="26" t="e">
        <f t="shared" si="50"/>
        <v>#VALUE!</v>
      </c>
      <c r="AF133" s="26" t="e">
        <f t="shared" si="51"/>
        <v>#VALUE!</v>
      </c>
      <c r="AG133" s="26" t="e">
        <f t="shared" si="52"/>
        <v>#VALUE!</v>
      </c>
      <c r="AH133" s="26" t="e">
        <f t="shared" si="53"/>
        <v>#VALUE!</v>
      </c>
      <c r="AI133" s="26" t="e">
        <f t="shared" si="54"/>
        <v>#VALUE!</v>
      </c>
      <c r="AJ133" s="26" t="e">
        <f t="shared" si="55"/>
        <v>#VALUE!</v>
      </c>
    </row>
    <row r="134" spans="1:36" ht="15.75">
      <c r="A134" s="129" t="s">
        <v>1051</v>
      </c>
      <c r="B134" s="168">
        <f>IF(A134='Nutrient Management Planner'!B7,'Nutrient Management Planner'!D7,IF(A134='Nutrient Management Planner'!B8,'Nutrient Management Planner'!D8,IF(A134='Nutrient Management Planner'!B9,'Nutrient Management Planner'!D9,IF(A134='Nutrient Management Planner'!B10,'Nutrient Management Planner'!D10,IF(A134='Nutrient Management Planner'!B11,'Nutrient Management Planner'!D11,IF(A134='Nutrient Management Planner'!B12,'Nutrient Management Planner'!D12,0))))))</f>
        <v>0</v>
      </c>
      <c r="C134" s="81">
        <f t="shared" si="39"/>
        <v>0</v>
      </c>
      <c r="D134" s="81">
        <f t="shared" si="56"/>
        <v>0</v>
      </c>
      <c r="E134" s="81" t="e">
        <f t="shared" si="40"/>
        <v>#VALUE!</v>
      </c>
      <c r="F134" s="81" t="e">
        <f t="shared" si="41"/>
        <v>#VALUE!</v>
      </c>
      <c r="G134" s="81" t="e">
        <f t="shared" si="42"/>
        <v>#VALUE!</v>
      </c>
      <c r="H134" s="81" t="e">
        <f t="shared" si="43"/>
        <v>#VALUE!</v>
      </c>
      <c r="I134" s="109" t="str">
        <f t="shared" si="44"/>
        <v> </v>
      </c>
      <c r="J134" s="26">
        <f>(O134-1400)*(0.0875)-($C$116)</f>
        <v>-122.50000000000001</v>
      </c>
      <c r="K134" s="26">
        <f>(Q134-(0.0009*$D$116))*O134</f>
        <v>0</v>
      </c>
      <c r="L134" s="26">
        <f>(R134-(0.00014*$E$116))*O134</f>
        <v>0</v>
      </c>
      <c r="M134" s="13" t="s">
        <v>551</v>
      </c>
      <c r="N134" s="13"/>
      <c r="O134" s="13">
        <f t="shared" si="45"/>
        <v>0</v>
      </c>
      <c r="P134" s="13">
        <v>0</v>
      </c>
      <c r="Q134" s="13">
        <v>0.027</v>
      </c>
      <c r="R134" s="13">
        <v>0.043000000000000003</v>
      </c>
      <c r="S134" s="13" t="s">
        <v>551</v>
      </c>
      <c r="T134" s="13"/>
      <c r="U134" s="13"/>
      <c r="V134" s="13"/>
      <c r="W134" s="23" t="e">
        <f t="shared" si="46"/>
        <v>#VALUE!</v>
      </c>
      <c r="X134" s="23" t="e">
        <v>#VALUE!</v>
      </c>
      <c r="Y134" s="23" t="e">
        <f t="shared" si="47"/>
        <v>#VALUE!</v>
      </c>
      <c r="Z134" s="13"/>
      <c r="AA134" s="13" t="s">
        <v>551</v>
      </c>
      <c r="AB134" s="23">
        <f t="shared" si="48"/>
        <v>0</v>
      </c>
      <c r="AC134" s="23">
        <f t="shared" si="57"/>
        <v>0</v>
      </c>
      <c r="AD134" s="23">
        <f t="shared" si="49"/>
        <v>0</v>
      </c>
      <c r="AE134" s="26" t="e">
        <f t="shared" si="50"/>
        <v>#VALUE!</v>
      </c>
      <c r="AF134" s="26" t="e">
        <f t="shared" si="51"/>
        <v>#VALUE!</v>
      </c>
      <c r="AG134" s="26" t="e">
        <f t="shared" si="52"/>
        <v>#VALUE!</v>
      </c>
      <c r="AH134" s="26" t="e">
        <f t="shared" si="53"/>
        <v>#VALUE!</v>
      </c>
      <c r="AI134" s="26" t="e">
        <f t="shared" si="54"/>
        <v>#VALUE!</v>
      </c>
      <c r="AJ134" s="26" t="e">
        <f t="shared" si="55"/>
        <v>#VALUE!</v>
      </c>
    </row>
    <row r="135" spans="1:36" ht="15.75">
      <c r="A135" s="129" t="s">
        <v>1069</v>
      </c>
      <c r="B135" s="168">
        <f>IF(A135='Nutrient Management Planner'!B7,'Nutrient Management Planner'!D7,IF(A135='Nutrient Management Planner'!B8,'Nutrient Management Planner'!D8,IF(A135='Nutrient Management Planner'!B9,'Nutrient Management Planner'!D9,IF(A135='Nutrient Management Planner'!B10,'Nutrient Management Planner'!D10,IF(A135='Nutrient Management Planner'!B11,'Nutrient Management Planner'!D11,IF(A135='Nutrient Management Planner'!B12,'Nutrient Management Planner'!D12,0))))))</f>
        <v>0</v>
      </c>
      <c r="C135" s="81">
        <f t="shared" si="39"/>
        <v>0</v>
      </c>
      <c r="D135" s="81">
        <f t="shared" si="56"/>
        <v>0</v>
      </c>
      <c r="E135" s="81" t="e">
        <f t="shared" si="40"/>
        <v>#VALUE!</v>
      </c>
      <c r="F135" s="81" t="e">
        <f t="shared" si="41"/>
        <v>#VALUE!</v>
      </c>
      <c r="G135" s="81" t="e">
        <f t="shared" si="42"/>
        <v>#VALUE!</v>
      </c>
      <c r="H135" s="81" t="e">
        <f t="shared" si="43"/>
        <v>#VALUE!</v>
      </c>
      <c r="I135" s="109" t="str">
        <f t="shared" si="44"/>
        <v> </v>
      </c>
      <c r="J135" s="26">
        <v>0</v>
      </c>
      <c r="K135" s="26">
        <f>(Q135-(0.00057*$D$116))*O135</f>
        <v>0</v>
      </c>
      <c r="L135" s="26">
        <f>(R135-(0.0001*$E$116))*O135</f>
        <v>0</v>
      </c>
      <c r="M135" s="13" t="s">
        <v>552</v>
      </c>
      <c r="N135" s="13"/>
      <c r="O135" s="13">
        <f t="shared" si="45"/>
        <v>0</v>
      </c>
      <c r="P135" s="13">
        <v>0</v>
      </c>
      <c r="Q135" s="13">
        <v>0.017</v>
      </c>
      <c r="R135" s="13">
        <v>0.03</v>
      </c>
      <c r="S135" s="13" t="s">
        <v>552</v>
      </c>
      <c r="T135" s="13"/>
      <c r="U135" s="13"/>
      <c r="V135" s="13"/>
      <c r="W135" s="23" t="e">
        <f t="shared" si="46"/>
        <v>#VALUE!</v>
      </c>
      <c r="X135" s="23" t="e">
        <v>#VALUE!</v>
      </c>
      <c r="Y135" s="23" t="e">
        <f t="shared" si="47"/>
        <v>#VALUE!</v>
      </c>
      <c r="Z135" s="13"/>
      <c r="AA135" s="13" t="s">
        <v>552</v>
      </c>
      <c r="AB135" s="23">
        <f t="shared" si="48"/>
        <v>0</v>
      </c>
      <c r="AC135" s="23">
        <f t="shared" si="57"/>
        <v>0</v>
      </c>
      <c r="AD135" s="23">
        <f t="shared" si="49"/>
        <v>0</v>
      </c>
      <c r="AE135" s="26" t="e">
        <f t="shared" si="50"/>
        <v>#VALUE!</v>
      </c>
      <c r="AF135" s="26" t="e">
        <f t="shared" si="51"/>
        <v>#VALUE!</v>
      </c>
      <c r="AG135" s="26" t="e">
        <f t="shared" si="52"/>
        <v>#VALUE!</v>
      </c>
      <c r="AH135" s="26" t="e">
        <f t="shared" si="53"/>
        <v>#VALUE!</v>
      </c>
      <c r="AI135" s="26" t="e">
        <f t="shared" si="54"/>
        <v>#VALUE!</v>
      </c>
      <c r="AJ135" s="26" t="e">
        <f t="shared" si="55"/>
        <v>#VALUE!</v>
      </c>
    </row>
    <row r="136" spans="1:36" ht="15.75">
      <c r="A136" s="129" t="s">
        <v>1073</v>
      </c>
      <c r="B136" s="168">
        <f>IF(A136='Nutrient Management Planner'!B7,'Nutrient Management Planner'!D7,IF(A136='Nutrient Management Planner'!B8,'Nutrient Management Planner'!D8,IF(A136='Nutrient Management Planner'!B9,'Nutrient Management Planner'!D9,IF(A136='Nutrient Management Planner'!B10,'Nutrient Management Planner'!D10,IF(A136='Nutrient Management Planner'!B11,'Nutrient Management Planner'!D11,IF(A136='Nutrient Management Planner'!B12,'Nutrient Management Planner'!D12,0))))))</f>
        <v>0</v>
      </c>
      <c r="C136" s="81">
        <f t="shared" si="39"/>
        <v>0</v>
      </c>
      <c r="D136" s="81">
        <f t="shared" si="56"/>
        <v>0</v>
      </c>
      <c r="E136" s="81" t="e">
        <f t="shared" si="40"/>
        <v>#VALUE!</v>
      </c>
      <c r="F136" s="81" t="e">
        <f t="shared" si="41"/>
        <v>#VALUE!</v>
      </c>
      <c r="G136" s="81" t="e">
        <f t="shared" si="42"/>
        <v>#VALUE!</v>
      </c>
      <c r="H136" s="81" t="e">
        <f t="shared" si="43"/>
        <v>#VALUE!</v>
      </c>
      <c r="I136" s="109" t="str">
        <f t="shared" si="44"/>
        <v> </v>
      </c>
      <c r="J136" s="26">
        <f>(O136*P136)-$C$116</f>
        <v>0</v>
      </c>
      <c r="K136" s="26">
        <f>(Q136-(0.039*$D$116))*O136</f>
        <v>0</v>
      </c>
      <c r="L136" s="26">
        <f>(R136-(0.013*$E$116))*O136</f>
        <v>0</v>
      </c>
      <c r="M136" s="13" t="s">
        <v>553</v>
      </c>
      <c r="N136" s="13"/>
      <c r="O136" s="13">
        <f t="shared" si="45"/>
        <v>0</v>
      </c>
      <c r="P136" s="13">
        <v>3</v>
      </c>
      <c r="Q136" s="13">
        <v>1.17</v>
      </c>
      <c r="R136" s="13">
        <v>3.9</v>
      </c>
      <c r="S136" s="13" t="s">
        <v>553</v>
      </c>
      <c r="T136" s="13"/>
      <c r="U136" s="13"/>
      <c r="V136" s="13"/>
      <c r="W136" s="23" t="e">
        <f t="shared" si="46"/>
        <v>#VALUE!</v>
      </c>
      <c r="X136" s="23" t="e">
        <v>#VALUE!</v>
      </c>
      <c r="Y136" s="23" t="e">
        <f t="shared" si="47"/>
        <v>#VALUE!</v>
      </c>
      <c r="Z136" s="13"/>
      <c r="AA136" s="13" t="s">
        <v>553</v>
      </c>
      <c r="AB136" s="23">
        <f t="shared" si="48"/>
        <v>0</v>
      </c>
      <c r="AC136" s="23">
        <f t="shared" si="57"/>
        <v>0</v>
      </c>
      <c r="AD136" s="23">
        <f t="shared" si="49"/>
        <v>0</v>
      </c>
      <c r="AE136" s="26" t="e">
        <f t="shared" si="50"/>
        <v>#VALUE!</v>
      </c>
      <c r="AF136" s="26" t="e">
        <f t="shared" si="51"/>
        <v>#VALUE!</v>
      </c>
      <c r="AG136" s="26" t="e">
        <f t="shared" si="52"/>
        <v>#VALUE!</v>
      </c>
      <c r="AH136" s="26" t="e">
        <f t="shared" si="53"/>
        <v>#VALUE!</v>
      </c>
      <c r="AI136" s="26" t="e">
        <f t="shared" si="54"/>
        <v>#VALUE!</v>
      </c>
      <c r="AJ136" s="26" t="e">
        <f t="shared" si="55"/>
        <v>#VALUE!</v>
      </c>
    </row>
    <row r="137" spans="1:36" ht="15.75">
      <c r="A137" s="129" t="s">
        <v>559</v>
      </c>
      <c r="B137" s="168">
        <f>IF(A137='Nutrient Management Planner'!B7,'Nutrient Management Planner'!D7,IF(A137='Nutrient Management Planner'!B8,'Nutrient Management Planner'!D8,IF(A137='Nutrient Management Planner'!B9,'Nutrient Management Planner'!D9,IF(A137='Nutrient Management Planner'!B10,'Nutrient Management Planner'!D10,IF(A137='Nutrient Management Planner'!B11,'Nutrient Management Planner'!D11,IF(A137='Nutrient Management Planner'!B12,'Nutrient Management Planner'!D12,0))))))</f>
        <v>0</v>
      </c>
      <c r="C137" s="81">
        <f t="shared" si="39"/>
        <v>0</v>
      </c>
      <c r="D137" s="81">
        <f t="shared" si="56"/>
        <v>0</v>
      </c>
      <c r="E137" s="81" t="e">
        <f t="shared" si="40"/>
        <v>#VALUE!</v>
      </c>
      <c r="F137" s="81" t="e">
        <f t="shared" si="41"/>
        <v>#VALUE!</v>
      </c>
      <c r="G137" s="81">
        <f>IF(B137&lt;1,0,AE137)</f>
        <v>0</v>
      </c>
      <c r="H137" s="81">
        <f>IF(B137&lt;1,0,AG137)</f>
        <v>0</v>
      </c>
      <c r="I137" s="109" t="str">
        <f t="shared" si="44"/>
        <v> </v>
      </c>
      <c r="J137" s="13">
        <v>150</v>
      </c>
      <c r="K137" s="13">
        <f>VLOOKUP($D$116,$AM$218:$AN$222,2)</f>
        <v>30</v>
      </c>
      <c r="L137" s="13">
        <f>VLOOKUP($E$116,$AM$225:$AN$229,2)</f>
        <v>100</v>
      </c>
      <c r="M137" s="13" t="s">
        <v>559</v>
      </c>
      <c r="N137" s="13"/>
      <c r="O137" s="13">
        <f t="shared" si="45"/>
        <v>0</v>
      </c>
      <c r="P137" s="13">
        <v>150</v>
      </c>
      <c r="Q137" s="13">
        <v>10</v>
      </c>
      <c r="R137" s="13">
        <v>50</v>
      </c>
      <c r="S137" s="13" t="s">
        <v>559</v>
      </c>
      <c r="T137" s="13"/>
      <c r="U137" s="13"/>
      <c r="V137" s="13"/>
      <c r="W137" s="23">
        <f t="shared" si="46"/>
        <v>0</v>
      </c>
      <c r="X137" s="23" t="e">
        <v>#VALUE!</v>
      </c>
      <c r="Y137" s="23">
        <f t="shared" si="47"/>
        <v>0</v>
      </c>
      <c r="Z137" s="13"/>
      <c r="AA137" s="13" t="s">
        <v>559</v>
      </c>
      <c r="AB137" s="23">
        <v>150</v>
      </c>
      <c r="AC137" s="13">
        <f>IF(B137&gt;0,+K137,0)</f>
        <v>0</v>
      </c>
      <c r="AD137" s="13">
        <f>L137</f>
        <v>100</v>
      </c>
      <c r="AE137" s="26" t="e">
        <f t="shared" si="50"/>
        <v>#VALUE!</v>
      </c>
      <c r="AF137" s="26" t="e">
        <f t="shared" si="51"/>
        <v>#VALUE!</v>
      </c>
      <c r="AG137" s="26" t="e">
        <f t="shared" si="52"/>
        <v>#VALUE!</v>
      </c>
      <c r="AH137" s="26" t="e">
        <f t="shared" si="53"/>
        <v>#VALUE!</v>
      </c>
      <c r="AI137" s="26" t="e">
        <f t="shared" si="54"/>
        <v>#VALUE!</v>
      </c>
      <c r="AJ137" s="26" t="e">
        <f t="shared" si="55"/>
        <v>#VALUE!</v>
      </c>
    </row>
    <row r="138" spans="1:36" ht="15.75">
      <c r="A138" s="129" t="s">
        <v>555</v>
      </c>
      <c r="B138" s="168">
        <f>IF(A138='Nutrient Management Planner'!B7,'Nutrient Management Planner'!D7,IF(A138='Nutrient Management Planner'!B8,'Nutrient Management Planner'!D8,IF(A138='Nutrient Management Planner'!B9,'Nutrient Management Planner'!D9,IF(A138='Nutrient Management Planner'!B10,'Nutrient Management Planner'!D10,IF(A138='Nutrient Management Planner'!B11,'Nutrient Management Planner'!D11,IF(A138='Nutrient Management Planner'!B12,'Nutrient Management Planner'!D12,0))))))</f>
        <v>0</v>
      </c>
      <c r="C138" s="81">
        <f t="shared" si="39"/>
        <v>0</v>
      </c>
      <c r="D138" s="81">
        <f t="shared" si="56"/>
        <v>0</v>
      </c>
      <c r="E138" s="81" t="e">
        <f t="shared" si="40"/>
        <v>#VALUE!</v>
      </c>
      <c r="F138" s="81" t="e">
        <f t="shared" si="41"/>
        <v>#VALUE!</v>
      </c>
      <c r="G138" s="81">
        <f>IF(B138&lt;1,0,AE138)</f>
        <v>0</v>
      </c>
      <c r="H138" s="81">
        <f>IF(B138&lt;1,0,AG138)</f>
        <v>0</v>
      </c>
      <c r="I138" s="109" t="str">
        <f t="shared" si="44"/>
        <v> </v>
      </c>
      <c r="J138" s="13">
        <f>VLOOKUP($M$117,$AA$221:$AH$385,6)</f>
        <v>50</v>
      </c>
      <c r="K138" s="13">
        <f>VLOOKUP($D$116,$AJ$218:$AK$222,2)</f>
        <v>20</v>
      </c>
      <c r="L138" s="13">
        <f>VLOOKUP($E$116,$AJ$225:$AK$229,2)</f>
        <v>80</v>
      </c>
      <c r="M138" s="13" t="s">
        <v>555</v>
      </c>
      <c r="N138" s="13"/>
      <c r="O138" s="13">
        <f t="shared" si="45"/>
        <v>0</v>
      </c>
      <c r="P138" s="13">
        <f>VLOOKUP($M$117,$AA$221:$AH$385,6)</f>
        <v>50</v>
      </c>
      <c r="Q138" s="13">
        <f>VLOOKUP($M$117,$AA$221:$AH$385,7)</f>
        <v>10</v>
      </c>
      <c r="R138" s="13">
        <f>VLOOKUP($M$117,$AA$221:$AH$385,8)</f>
        <v>20</v>
      </c>
      <c r="S138" s="13" t="s">
        <v>555</v>
      </c>
      <c r="T138" s="13"/>
      <c r="U138" s="13"/>
      <c r="V138" s="13"/>
      <c r="W138" s="23">
        <f t="shared" si="46"/>
        <v>0</v>
      </c>
      <c r="X138" s="23" t="e">
        <v>#VALUE!</v>
      </c>
      <c r="Y138" s="23">
        <f t="shared" si="47"/>
        <v>0</v>
      </c>
      <c r="Z138" s="13"/>
      <c r="AA138" s="13" t="s">
        <v>555</v>
      </c>
      <c r="AB138" s="23">
        <f>IF(J138&lt;1,0,J138)</f>
        <v>50</v>
      </c>
      <c r="AC138" s="13">
        <f>IF(B138&gt;0,+K138,0)</f>
        <v>0</v>
      </c>
      <c r="AD138" s="13">
        <f>L138</f>
        <v>80</v>
      </c>
      <c r="AE138" s="26" t="e">
        <f t="shared" si="50"/>
        <v>#VALUE!</v>
      </c>
      <c r="AF138" s="26" t="e">
        <f t="shared" si="51"/>
        <v>#VALUE!</v>
      </c>
      <c r="AG138" s="26" t="e">
        <f t="shared" si="52"/>
        <v>#VALUE!</v>
      </c>
      <c r="AH138" s="26" t="e">
        <f t="shared" si="53"/>
        <v>#VALUE!</v>
      </c>
      <c r="AI138" s="26" t="e">
        <f t="shared" si="54"/>
        <v>#VALUE!</v>
      </c>
      <c r="AJ138" s="26" t="e">
        <f t="shared" si="55"/>
        <v>#VALUE!</v>
      </c>
    </row>
    <row r="139" spans="1:36" ht="15.75">
      <c r="A139" s="129" t="s">
        <v>557</v>
      </c>
      <c r="B139" s="168">
        <f>IF(A139='Nutrient Management Planner'!B7,'Nutrient Management Planner'!D7,IF(A139='Nutrient Management Planner'!B8,'Nutrient Management Planner'!D8,IF(A139='Nutrient Management Planner'!B9,'Nutrient Management Planner'!D9,IF(A139='Nutrient Management Planner'!B10,'Nutrient Management Planner'!D10,IF(A139='Nutrient Management Planner'!B11,'Nutrient Management Planner'!D11,IF(A139='Nutrient Management Planner'!B12,'Nutrient Management Planner'!D12,0))))))</f>
        <v>0</v>
      </c>
      <c r="C139" s="81">
        <f t="shared" si="39"/>
        <v>0</v>
      </c>
      <c r="D139" s="81">
        <f t="shared" si="56"/>
        <v>0</v>
      </c>
      <c r="E139" s="81" t="e">
        <f t="shared" si="40"/>
        <v>#VALUE!</v>
      </c>
      <c r="F139" s="81" t="e">
        <f t="shared" si="41"/>
        <v>#VALUE!</v>
      </c>
      <c r="G139" s="81">
        <f>IF(B139&lt;1,0,AE139)</f>
        <v>0</v>
      </c>
      <c r="H139" s="81">
        <f>IF(B139&lt;1,0,AG139)</f>
        <v>0</v>
      </c>
      <c r="I139" s="109" t="str">
        <f t="shared" si="44"/>
        <v> </v>
      </c>
      <c r="J139" s="13">
        <f>VLOOKUP($M$117,$AA$221:$AH$385,3)</f>
        <v>50</v>
      </c>
      <c r="K139" s="13">
        <f>VLOOKUP($D$116,$AJ$218:$AK$222,2)</f>
        <v>20</v>
      </c>
      <c r="L139" s="13">
        <f>VLOOKUP($E$116,$AJ$225:$AK$229,2)</f>
        <v>80</v>
      </c>
      <c r="M139" s="13" t="s">
        <v>557</v>
      </c>
      <c r="N139" s="13"/>
      <c r="O139" s="13">
        <f t="shared" si="45"/>
        <v>0</v>
      </c>
      <c r="P139" s="13">
        <f>VLOOKUP($M$117,$AA$221:$AH$385,3)</f>
        <v>50</v>
      </c>
      <c r="Q139" s="13">
        <f>VLOOKUP($M$117,$AA$221:$AH$385,4)</f>
        <v>10</v>
      </c>
      <c r="R139" s="13">
        <f>VLOOKUP($M$117,$AA$221:$AH$385,5)</f>
        <v>20</v>
      </c>
      <c r="S139" s="13" t="s">
        <v>557</v>
      </c>
      <c r="T139" s="13"/>
      <c r="U139" s="13"/>
      <c r="V139" s="13"/>
      <c r="W139" s="23">
        <f t="shared" si="46"/>
        <v>0</v>
      </c>
      <c r="X139" s="23" t="e">
        <v>#VALUE!</v>
      </c>
      <c r="Y139" s="23">
        <f t="shared" si="47"/>
        <v>0</v>
      </c>
      <c r="Z139" s="13"/>
      <c r="AA139" s="13" t="s">
        <v>557</v>
      </c>
      <c r="AB139" s="23">
        <f>IF(J139&lt;1,0,J139)</f>
        <v>50</v>
      </c>
      <c r="AC139" s="13">
        <f>IF(B139&gt;0,+K139,0)</f>
        <v>0</v>
      </c>
      <c r="AD139" s="13">
        <f>L139</f>
        <v>80</v>
      </c>
      <c r="AE139" s="26" t="e">
        <f t="shared" si="50"/>
        <v>#VALUE!</v>
      </c>
      <c r="AF139" s="26" t="e">
        <f t="shared" si="51"/>
        <v>#VALUE!</v>
      </c>
      <c r="AG139" s="26" t="e">
        <f t="shared" si="52"/>
        <v>#VALUE!</v>
      </c>
      <c r="AH139" s="26" t="e">
        <f t="shared" si="53"/>
        <v>#VALUE!</v>
      </c>
      <c r="AI139" s="26" t="e">
        <f t="shared" si="54"/>
        <v>#VALUE!</v>
      </c>
      <c r="AJ139" s="26" t="e">
        <f t="shared" si="55"/>
        <v>#VALUE!</v>
      </c>
    </row>
    <row r="140" spans="1:36" ht="15.75">
      <c r="A140" s="129" t="s">
        <v>1052</v>
      </c>
      <c r="B140" s="168">
        <f>IF(A140='Nutrient Management Planner'!B7,'Nutrient Management Planner'!D7,IF(A140='Nutrient Management Planner'!B8,'Nutrient Management Planner'!D8,IF(A140='Nutrient Management Planner'!B9,'Nutrient Management Planner'!D9,IF(A140='Nutrient Management Planner'!B10,'Nutrient Management Planner'!D10,IF(A140='Nutrient Management Planner'!B11,'Nutrient Management Planner'!D11,IF(A140='Nutrient Management Planner'!B12,'Nutrient Management Planner'!D12,0))))))</f>
        <v>0</v>
      </c>
      <c r="C140" s="81">
        <f t="shared" si="39"/>
        <v>0</v>
      </c>
      <c r="D140" s="81">
        <f t="shared" si="56"/>
        <v>0</v>
      </c>
      <c r="E140" s="81" t="e">
        <f t="shared" si="40"/>
        <v>#VALUE!</v>
      </c>
      <c r="F140" s="81" t="e">
        <f t="shared" si="41"/>
        <v>#VALUE!</v>
      </c>
      <c r="G140" s="81" t="e">
        <f aca="true" t="shared" si="58" ref="G140:G152">IF(AE140&lt;1,0,AE140)</f>
        <v>#VALUE!</v>
      </c>
      <c r="H140" s="81" t="e">
        <f aca="true" t="shared" si="59" ref="H140:H152">IF(AG140&lt;1,0,AG140)</f>
        <v>#VALUE!</v>
      </c>
      <c r="I140" s="109" t="str">
        <f t="shared" si="44"/>
        <v> </v>
      </c>
      <c r="J140" s="26">
        <v>0</v>
      </c>
      <c r="K140" s="26">
        <f>(Q140-(0.00057*$D$116))*O140</f>
        <v>0</v>
      </c>
      <c r="L140" s="26">
        <f>(R140-(0.0001*$E$116))*O140</f>
        <v>0</v>
      </c>
      <c r="M140" s="13" t="s">
        <v>560</v>
      </c>
      <c r="N140" s="13"/>
      <c r="O140" s="13">
        <f t="shared" si="45"/>
        <v>0</v>
      </c>
      <c r="P140" s="13">
        <v>0</v>
      </c>
      <c r="Q140" s="13">
        <v>0.017</v>
      </c>
      <c r="R140" s="13">
        <v>0.03</v>
      </c>
      <c r="S140" s="13" t="s">
        <v>560</v>
      </c>
      <c r="T140" s="13"/>
      <c r="U140" s="13"/>
      <c r="V140" s="13"/>
      <c r="W140" s="23" t="e">
        <f t="shared" si="46"/>
        <v>#VALUE!</v>
      </c>
      <c r="X140" s="23" t="e">
        <v>#VALUE!</v>
      </c>
      <c r="Y140" s="23" t="e">
        <f t="shared" si="47"/>
        <v>#VALUE!</v>
      </c>
      <c r="Z140" s="13"/>
      <c r="AA140" s="13" t="s">
        <v>560</v>
      </c>
      <c r="AB140" s="23">
        <f aca="true" t="shared" si="60" ref="AB140:AB152">IF(J140&lt;1,0,J140)</f>
        <v>0</v>
      </c>
      <c r="AC140" s="23">
        <f aca="true" t="shared" si="61" ref="AC140:AC152">IF(K140&lt;1,0,K140)</f>
        <v>0</v>
      </c>
      <c r="AD140" s="23">
        <f aca="true" t="shared" si="62" ref="AD140:AD152">IF(L140&lt;1,0,L140)</f>
        <v>0</v>
      </c>
      <c r="AE140" s="26" t="e">
        <f t="shared" si="50"/>
        <v>#VALUE!</v>
      </c>
      <c r="AF140" s="26" t="e">
        <f t="shared" si="51"/>
        <v>#VALUE!</v>
      </c>
      <c r="AG140" s="26" t="e">
        <f t="shared" si="52"/>
        <v>#VALUE!</v>
      </c>
      <c r="AH140" s="26" t="e">
        <f t="shared" si="53"/>
        <v>#VALUE!</v>
      </c>
      <c r="AI140" s="26" t="e">
        <f t="shared" si="54"/>
        <v>#VALUE!</v>
      </c>
      <c r="AJ140" s="26" t="e">
        <f t="shared" si="55"/>
        <v>#VALUE!</v>
      </c>
    </row>
    <row r="141" spans="1:36" ht="15.75">
      <c r="A141" s="129" t="s">
        <v>1074</v>
      </c>
      <c r="B141" s="168">
        <f>IF(A141='Nutrient Management Planner'!B7,'Nutrient Management Planner'!D7,IF(A141='Nutrient Management Planner'!B8,'Nutrient Management Planner'!D8,IF(A141='Nutrient Management Planner'!B9,'Nutrient Management Planner'!D9,IF(A141='Nutrient Management Planner'!B10,'Nutrient Management Planner'!D10,IF(A141='Nutrient Management Planner'!B11,'Nutrient Management Planner'!D11,IF(A141='Nutrient Management Planner'!B12,'Nutrient Management Planner'!D12,0))))))</f>
        <v>0</v>
      </c>
      <c r="C141" s="81">
        <f t="shared" si="39"/>
        <v>0</v>
      </c>
      <c r="D141" s="81">
        <f t="shared" si="56"/>
        <v>0</v>
      </c>
      <c r="E141" s="81" t="e">
        <f t="shared" si="40"/>
        <v>#VALUE!</v>
      </c>
      <c r="F141" s="81" t="e">
        <f t="shared" si="41"/>
        <v>#VALUE!</v>
      </c>
      <c r="G141" s="81" t="e">
        <f t="shared" si="58"/>
        <v>#VALUE!</v>
      </c>
      <c r="H141" s="81" t="e">
        <f t="shared" si="59"/>
        <v>#VALUE!</v>
      </c>
      <c r="I141" s="109" t="str">
        <f t="shared" si="44"/>
        <v> </v>
      </c>
      <c r="J141" s="26">
        <f>(O141*P141)-$C$116</f>
        <v>0</v>
      </c>
      <c r="K141" s="26">
        <f>(Q141-(0.00057*$D$116))*O141</f>
        <v>0</v>
      </c>
      <c r="L141" s="26">
        <f>(R141-(0.0001*$E$116))*O141</f>
        <v>0</v>
      </c>
      <c r="M141" s="13" t="s">
        <v>561</v>
      </c>
      <c r="N141" s="13"/>
      <c r="O141" s="13">
        <f t="shared" si="45"/>
        <v>0</v>
      </c>
      <c r="P141" s="13">
        <v>0.04</v>
      </c>
      <c r="Q141" s="13">
        <v>0.017</v>
      </c>
      <c r="R141" s="13">
        <v>0.03</v>
      </c>
      <c r="S141" s="13" t="s">
        <v>561</v>
      </c>
      <c r="T141" s="13"/>
      <c r="U141" s="13"/>
      <c r="V141" s="13"/>
      <c r="W141" s="23" t="e">
        <f t="shared" si="46"/>
        <v>#VALUE!</v>
      </c>
      <c r="X141" s="23" t="e">
        <v>#VALUE!</v>
      </c>
      <c r="Y141" s="23" t="e">
        <f t="shared" si="47"/>
        <v>#VALUE!</v>
      </c>
      <c r="Z141" s="13"/>
      <c r="AA141" s="13" t="s">
        <v>561</v>
      </c>
      <c r="AB141" s="23">
        <f t="shared" si="60"/>
        <v>0</v>
      </c>
      <c r="AC141" s="23">
        <f t="shared" si="61"/>
        <v>0</v>
      </c>
      <c r="AD141" s="23">
        <f t="shared" si="62"/>
        <v>0</v>
      </c>
      <c r="AE141" s="26" t="e">
        <f t="shared" si="50"/>
        <v>#VALUE!</v>
      </c>
      <c r="AF141" s="26" t="e">
        <f t="shared" si="51"/>
        <v>#VALUE!</v>
      </c>
      <c r="AG141" s="26" t="e">
        <f t="shared" si="52"/>
        <v>#VALUE!</v>
      </c>
      <c r="AH141" s="26" t="e">
        <f t="shared" si="53"/>
        <v>#VALUE!</v>
      </c>
      <c r="AI141" s="26" t="e">
        <f t="shared" si="54"/>
        <v>#VALUE!</v>
      </c>
      <c r="AJ141" s="26" t="e">
        <f t="shared" si="55"/>
        <v>#VALUE!</v>
      </c>
    </row>
    <row r="142" spans="1:36" ht="15.75">
      <c r="A142" s="129" t="s">
        <v>1075</v>
      </c>
      <c r="B142" s="168">
        <f>IF(A142='Nutrient Management Planner'!B7,'Nutrient Management Planner'!D7,IF(A142='Nutrient Management Planner'!B8,'Nutrient Management Planner'!D8,IF(A142='Nutrient Management Planner'!B9,'Nutrient Management Planner'!D9,IF(A142='Nutrient Management Planner'!B10,'Nutrient Management Planner'!D10,IF(A142='Nutrient Management Planner'!B11,'Nutrient Management Planner'!D11,IF(A142='Nutrient Management Planner'!B12,'Nutrient Management Planner'!D12,0))))))</f>
        <v>0</v>
      </c>
      <c r="C142" s="81">
        <f t="shared" si="39"/>
        <v>0</v>
      </c>
      <c r="D142" s="81">
        <f t="shared" si="56"/>
        <v>0</v>
      </c>
      <c r="E142" s="81" t="e">
        <f t="shared" si="40"/>
        <v>#VALUE!</v>
      </c>
      <c r="F142" s="81" t="e">
        <f t="shared" si="41"/>
        <v>#VALUE!</v>
      </c>
      <c r="G142" s="81" t="e">
        <f t="shared" si="58"/>
        <v>#VALUE!</v>
      </c>
      <c r="H142" s="81" t="e">
        <f t="shared" si="59"/>
        <v>#VALUE!</v>
      </c>
      <c r="I142" s="109" t="str">
        <f t="shared" si="44"/>
        <v> </v>
      </c>
      <c r="J142" s="26">
        <f>(O142*0.065)-$C$116</f>
        <v>0</v>
      </c>
      <c r="K142" s="26">
        <f>(Q142-(0.0012*$D$116))*O142</f>
        <v>0</v>
      </c>
      <c r="L142" s="26">
        <f>(R142-(0.00018*$E$116))*O142</f>
        <v>0</v>
      </c>
      <c r="M142" s="13" t="s">
        <v>562</v>
      </c>
      <c r="N142" s="13"/>
      <c r="O142" s="13">
        <f t="shared" si="45"/>
        <v>0</v>
      </c>
      <c r="P142" s="13">
        <v>0.065</v>
      </c>
      <c r="Q142" s="13">
        <v>0.036000000000000004</v>
      </c>
      <c r="R142" s="13">
        <v>0.054</v>
      </c>
      <c r="S142" s="13" t="s">
        <v>562</v>
      </c>
      <c r="T142" s="13"/>
      <c r="U142" s="13"/>
      <c r="V142" s="13"/>
      <c r="W142" s="23" t="e">
        <f t="shared" si="46"/>
        <v>#VALUE!</v>
      </c>
      <c r="X142" s="23" t="e">
        <v>#VALUE!</v>
      </c>
      <c r="Y142" s="23" t="e">
        <f t="shared" si="47"/>
        <v>#VALUE!</v>
      </c>
      <c r="Z142" s="13"/>
      <c r="AA142" s="13" t="s">
        <v>562</v>
      </c>
      <c r="AB142" s="23">
        <f t="shared" si="60"/>
        <v>0</v>
      </c>
      <c r="AC142" s="23">
        <f t="shared" si="61"/>
        <v>0</v>
      </c>
      <c r="AD142" s="23">
        <f t="shared" si="62"/>
        <v>0</v>
      </c>
      <c r="AE142" s="26" t="e">
        <f t="shared" si="50"/>
        <v>#VALUE!</v>
      </c>
      <c r="AF142" s="26" t="e">
        <f t="shared" si="51"/>
        <v>#VALUE!</v>
      </c>
      <c r="AG142" s="26" t="e">
        <f t="shared" si="52"/>
        <v>#VALUE!</v>
      </c>
      <c r="AH142" s="26" t="e">
        <f t="shared" si="53"/>
        <v>#VALUE!</v>
      </c>
      <c r="AI142" s="26" t="e">
        <f t="shared" si="54"/>
        <v>#VALUE!</v>
      </c>
      <c r="AJ142" s="26" t="e">
        <f t="shared" si="55"/>
        <v>#VALUE!</v>
      </c>
    </row>
    <row r="143" spans="1:36" ht="15.75">
      <c r="A143" s="129" t="s">
        <v>1071</v>
      </c>
      <c r="B143" s="168">
        <f>IF(A143='Nutrient Management Planner'!B7,'Nutrient Management Planner'!D7,IF(A143='Nutrient Management Planner'!B8,'Nutrient Management Planner'!D8,IF(A143='Nutrient Management Planner'!B9,'Nutrient Management Planner'!D9,IF(A143='Nutrient Management Planner'!B10,'Nutrient Management Planner'!D10,IF(A143='Nutrient Management Planner'!B11,'Nutrient Management Planner'!D11,IF(A143='Nutrient Management Planner'!B12,'Nutrient Management Planner'!D12,0))))))</f>
        <v>0</v>
      </c>
      <c r="C143" s="81">
        <f t="shared" si="39"/>
        <v>0</v>
      </c>
      <c r="D143" s="81">
        <f t="shared" si="56"/>
        <v>0</v>
      </c>
      <c r="E143" s="81" t="e">
        <f t="shared" si="40"/>
        <v>#VALUE!</v>
      </c>
      <c r="F143" s="81" t="e">
        <f t="shared" si="41"/>
        <v>#VALUE!</v>
      </c>
      <c r="G143" s="81" t="e">
        <f t="shared" si="58"/>
        <v>#VALUE!</v>
      </c>
      <c r="H143" s="81" t="e">
        <f t="shared" si="59"/>
        <v>#VALUE!</v>
      </c>
      <c r="I143" s="109" t="str">
        <f t="shared" si="44"/>
        <v> </v>
      </c>
      <c r="J143" s="26">
        <f>(O143*P143)-$C$116</f>
        <v>0</v>
      </c>
      <c r="K143" s="26">
        <f>(Q143-(0.0147*$D$116))*O143</f>
        <v>0</v>
      </c>
      <c r="L143" s="26">
        <f>(R143-(0.0043*$E$116))*O143</f>
        <v>0</v>
      </c>
      <c r="M143" s="13" t="s">
        <v>563</v>
      </c>
      <c r="N143" s="13"/>
      <c r="O143" s="13">
        <f t="shared" si="45"/>
        <v>0</v>
      </c>
      <c r="P143" s="13">
        <v>1.35</v>
      </c>
      <c r="Q143" s="13">
        <v>0.44</v>
      </c>
      <c r="R143" s="13">
        <v>1.29</v>
      </c>
      <c r="S143" s="13" t="s">
        <v>563</v>
      </c>
      <c r="T143" s="13"/>
      <c r="U143" s="13"/>
      <c r="V143" s="13"/>
      <c r="W143" s="23" t="e">
        <f t="shared" si="46"/>
        <v>#VALUE!</v>
      </c>
      <c r="X143" s="23" t="e">
        <v>#VALUE!</v>
      </c>
      <c r="Y143" s="23" t="e">
        <f t="shared" si="47"/>
        <v>#VALUE!</v>
      </c>
      <c r="Z143" s="13"/>
      <c r="AA143" s="13" t="s">
        <v>563</v>
      </c>
      <c r="AB143" s="23">
        <f t="shared" si="60"/>
        <v>0</v>
      </c>
      <c r="AC143" s="23">
        <f t="shared" si="61"/>
        <v>0</v>
      </c>
      <c r="AD143" s="23">
        <f t="shared" si="62"/>
        <v>0</v>
      </c>
      <c r="AE143" s="26" t="e">
        <f t="shared" si="50"/>
        <v>#VALUE!</v>
      </c>
      <c r="AF143" s="26" t="e">
        <f t="shared" si="51"/>
        <v>#VALUE!</v>
      </c>
      <c r="AG143" s="26" t="e">
        <f t="shared" si="52"/>
        <v>#VALUE!</v>
      </c>
      <c r="AH143" s="26" t="e">
        <f t="shared" si="53"/>
        <v>#VALUE!</v>
      </c>
      <c r="AI143" s="26" t="e">
        <f t="shared" si="54"/>
        <v>#VALUE!</v>
      </c>
      <c r="AJ143" s="26" t="e">
        <f t="shared" si="55"/>
        <v>#VALUE!</v>
      </c>
    </row>
    <row r="144" spans="1:36" ht="15.75">
      <c r="A144" s="129" t="s">
        <v>1076</v>
      </c>
      <c r="B144" s="168">
        <f>IF(A144='Nutrient Management Planner'!B7,'Nutrient Management Planner'!D7,IF(A144='Nutrient Management Planner'!B8,'Nutrient Management Planner'!D8,IF(A144='Nutrient Management Planner'!B9,'Nutrient Management Planner'!D9,IF(A144='Nutrient Management Planner'!B10,'Nutrient Management Planner'!D10,IF(A144='Nutrient Management Planner'!B11,'Nutrient Management Planner'!D11,IF(A144='Nutrient Management Planner'!B12,'Nutrient Management Planner'!D12,0))))))</f>
        <v>0</v>
      </c>
      <c r="C144" s="81">
        <f t="shared" si="39"/>
        <v>0</v>
      </c>
      <c r="D144" s="81">
        <f t="shared" si="56"/>
        <v>0</v>
      </c>
      <c r="E144" s="81" t="e">
        <f t="shared" si="40"/>
        <v>#VALUE!</v>
      </c>
      <c r="F144" s="81" t="e">
        <f t="shared" si="41"/>
        <v>#VALUE!</v>
      </c>
      <c r="G144" s="81" t="e">
        <f t="shared" si="58"/>
        <v>#VALUE!</v>
      </c>
      <c r="H144" s="81" t="e">
        <f t="shared" si="59"/>
        <v>#VALUE!</v>
      </c>
      <c r="I144" s="109" t="str">
        <f t="shared" si="44"/>
        <v> </v>
      </c>
      <c r="J144" s="26">
        <f>(O144*0.4)-$C$116</f>
        <v>0</v>
      </c>
      <c r="K144" s="26">
        <f>(Q144-(0.017*$D$116))*O144</f>
        <v>0</v>
      </c>
      <c r="L144" s="26">
        <f>(R144-(0.0029*$E$116))*O144</f>
        <v>0</v>
      </c>
      <c r="M144" s="13" t="s">
        <v>565</v>
      </c>
      <c r="N144" s="13"/>
      <c r="O144" s="13">
        <f t="shared" si="45"/>
        <v>0</v>
      </c>
      <c r="P144" s="13">
        <v>0.4</v>
      </c>
      <c r="Q144" s="13">
        <v>0.51</v>
      </c>
      <c r="R144" s="13">
        <v>0.87</v>
      </c>
      <c r="S144" s="13" t="s">
        <v>565</v>
      </c>
      <c r="T144" s="13"/>
      <c r="U144" s="13"/>
      <c r="V144" s="13"/>
      <c r="W144" s="23" t="e">
        <f t="shared" si="46"/>
        <v>#VALUE!</v>
      </c>
      <c r="X144" s="23" t="e">
        <v>#VALUE!</v>
      </c>
      <c r="Y144" s="23" t="e">
        <f t="shared" si="47"/>
        <v>#VALUE!</v>
      </c>
      <c r="Z144" s="13"/>
      <c r="AA144" s="13" t="s">
        <v>565</v>
      </c>
      <c r="AB144" s="23">
        <f t="shared" si="60"/>
        <v>0</v>
      </c>
      <c r="AC144" s="23">
        <f t="shared" si="61"/>
        <v>0</v>
      </c>
      <c r="AD144" s="23">
        <f t="shared" si="62"/>
        <v>0</v>
      </c>
      <c r="AE144" s="26" t="e">
        <f t="shared" si="50"/>
        <v>#VALUE!</v>
      </c>
      <c r="AF144" s="26" t="e">
        <f t="shared" si="51"/>
        <v>#VALUE!</v>
      </c>
      <c r="AG144" s="26" t="e">
        <f t="shared" si="52"/>
        <v>#VALUE!</v>
      </c>
      <c r="AH144" s="26" t="e">
        <f t="shared" si="53"/>
        <v>#VALUE!</v>
      </c>
      <c r="AI144" s="26" t="e">
        <f t="shared" si="54"/>
        <v>#VALUE!</v>
      </c>
      <c r="AJ144" s="26" t="e">
        <f t="shared" si="55"/>
        <v>#VALUE!</v>
      </c>
    </row>
    <row r="145" spans="1:36" ht="15.75">
      <c r="A145" s="129" t="s">
        <v>1077</v>
      </c>
      <c r="B145" s="168">
        <f>IF(A145='Nutrient Management Planner'!B7,'Nutrient Management Planner'!D7,IF(A145='Nutrient Management Planner'!B8,'Nutrient Management Planner'!D8,IF(A145='Nutrient Management Planner'!B9,'Nutrient Management Planner'!D9,IF(A145='Nutrient Management Planner'!B10,'Nutrient Management Planner'!D10,IF(A145='Nutrient Management Planner'!B11,'Nutrient Management Planner'!D11,IF(A145='Nutrient Management Planner'!B12,'Nutrient Management Planner'!D12,0))))))</f>
        <v>0</v>
      </c>
      <c r="C145" s="81">
        <f t="shared" si="39"/>
        <v>0</v>
      </c>
      <c r="D145" s="81">
        <f t="shared" si="56"/>
        <v>0</v>
      </c>
      <c r="E145" s="81" t="e">
        <f t="shared" si="40"/>
        <v>#VALUE!</v>
      </c>
      <c r="F145" s="81" t="e">
        <f t="shared" si="41"/>
        <v>#VALUE!</v>
      </c>
      <c r="G145" s="81" t="e">
        <f t="shared" si="58"/>
        <v>#VALUE!</v>
      </c>
      <c r="H145" s="81" t="e">
        <f t="shared" si="59"/>
        <v>#VALUE!</v>
      </c>
      <c r="I145" s="109" t="str">
        <f t="shared" si="44"/>
        <v> </v>
      </c>
      <c r="J145" s="26">
        <f>(O145*0.065)-$C$116</f>
        <v>0</v>
      </c>
      <c r="K145" s="26">
        <f>(Q145-(0.0012*$D$116))*O145</f>
        <v>0</v>
      </c>
      <c r="L145" s="26">
        <f>(R145-(0.00018*$E$116))*O145</f>
        <v>0</v>
      </c>
      <c r="M145" s="13" t="s">
        <v>566</v>
      </c>
      <c r="N145" s="13"/>
      <c r="O145" s="13">
        <f t="shared" si="45"/>
        <v>0</v>
      </c>
      <c r="P145" s="13">
        <v>0.065</v>
      </c>
      <c r="Q145" s="13">
        <v>0.036000000000000004</v>
      </c>
      <c r="R145" s="13">
        <v>0.054</v>
      </c>
      <c r="S145" s="13" t="s">
        <v>566</v>
      </c>
      <c r="T145" s="13"/>
      <c r="U145" s="13"/>
      <c r="V145" s="13"/>
      <c r="W145" s="23" t="e">
        <f t="shared" si="46"/>
        <v>#VALUE!</v>
      </c>
      <c r="X145" s="23" t="e">
        <v>#VALUE!</v>
      </c>
      <c r="Y145" s="23" t="e">
        <f t="shared" si="47"/>
        <v>#VALUE!</v>
      </c>
      <c r="Z145" s="13"/>
      <c r="AA145" s="13" t="s">
        <v>566</v>
      </c>
      <c r="AB145" s="23">
        <f t="shared" si="60"/>
        <v>0</v>
      </c>
      <c r="AC145" s="23">
        <f t="shared" si="61"/>
        <v>0</v>
      </c>
      <c r="AD145" s="23">
        <f t="shared" si="62"/>
        <v>0</v>
      </c>
      <c r="AE145" s="26" t="e">
        <f t="shared" si="50"/>
        <v>#VALUE!</v>
      </c>
      <c r="AF145" s="26" t="e">
        <f t="shared" si="51"/>
        <v>#VALUE!</v>
      </c>
      <c r="AG145" s="26" t="e">
        <f t="shared" si="52"/>
        <v>#VALUE!</v>
      </c>
      <c r="AH145" s="26" t="e">
        <f t="shared" si="53"/>
        <v>#VALUE!</v>
      </c>
      <c r="AI145" s="26" t="e">
        <f t="shared" si="54"/>
        <v>#VALUE!</v>
      </c>
      <c r="AJ145" s="26" t="e">
        <f t="shared" si="55"/>
        <v>#VALUE!</v>
      </c>
    </row>
    <row r="146" spans="1:36" ht="15.75">
      <c r="A146" s="129" t="s">
        <v>1053</v>
      </c>
      <c r="B146" s="168">
        <f>IF(A146='Nutrient Management Planner'!B7,'Nutrient Management Planner'!D7,IF(A146='Nutrient Management Planner'!B8,'Nutrient Management Planner'!D8,IF(A146='Nutrient Management Planner'!B9,'Nutrient Management Planner'!D9,IF(A146='Nutrient Management Planner'!B10,'Nutrient Management Planner'!D10,IF(A146='Nutrient Management Planner'!B11,'Nutrient Management Planner'!D11,IF(A146='Nutrient Management Planner'!B12,'Nutrient Management Planner'!D12,0))))))</f>
        <v>0</v>
      </c>
      <c r="C146" s="81">
        <f t="shared" si="39"/>
        <v>0</v>
      </c>
      <c r="D146" s="81">
        <f t="shared" si="56"/>
        <v>0</v>
      </c>
      <c r="E146" s="81" t="e">
        <f t="shared" si="40"/>
        <v>#VALUE!</v>
      </c>
      <c r="F146" s="81" t="e">
        <f t="shared" si="41"/>
        <v>#VALUE!</v>
      </c>
      <c r="G146" s="81" t="e">
        <f t="shared" si="58"/>
        <v>#VALUE!</v>
      </c>
      <c r="H146" s="81" t="e">
        <f t="shared" si="59"/>
        <v>#VALUE!</v>
      </c>
      <c r="I146" s="109" t="str">
        <f t="shared" si="44"/>
        <v> </v>
      </c>
      <c r="J146" s="26">
        <f>(O146*P146)-$C$116</f>
        <v>0</v>
      </c>
      <c r="K146" s="26">
        <f>(Q146-(0.029*$D$116))*O146</f>
        <v>0</v>
      </c>
      <c r="L146" s="26">
        <f>(R146-(0.009*$E$116))*O146</f>
        <v>0</v>
      </c>
      <c r="M146" s="13" t="s">
        <v>567</v>
      </c>
      <c r="N146" s="13"/>
      <c r="O146" s="13">
        <f t="shared" si="45"/>
        <v>0</v>
      </c>
      <c r="P146" s="13">
        <v>2.5</v>
      </c>
      <c r="Q146" s="13">
        <v>1.033</v>
      </c>
      <c r="R146" s="13">
        <v>2.67</v>
      </c>
      <c r="S146" s="13" t="s">
        <v>567</v>
      </c>
      <c r="T146" s="13"/>
      <c r="U146" s="13"/>
      <c r="V146" s="13"/>
      <c r="W146" s="23" t="e">
        <f t="shared" si="46"/>
        <v>#VALUE!</v>
      </c>
      <c r="X146" s="23" t="e">
        <v>#VALUE!</v>
      </c>
      <c r="Y146" s="23" t="e">
        <f t="shared" si="47"/>
        <v>#VALUE!</v>
      </c>
      <c r="Z146" s="13"/>
      <c r="AA146" s="13" t="s">
        <v>567</v>
      </c>
      <c r="AB146" s="23">
        <f t="shared" si="60"/>
        <v>0</v>
      </c>
      <c r="AC146" s="23">
        <f t="shared" si="61"/>
        <v>0</v>
      </c>
      <c r="AD146" s="23">
        <f t="shared" si="62"/>
        <v>0</v>
      </c>
      <c r="AE146" s="26" t="e">
        <f t="shared" si="50"/>
        <v>#VALUE!</v>
      </c>
      <c r="AF146" s="26" t="e">
        <f t="shared" si="51"/>
        <v>#VALUE!</v>
      </c>
      <c r="AG146" s="26" t="e">
        <f t="shared" si="52"/>
        <v>#VALUE!</v>
      </c>
      <c r="AH146" s="26" t="e">
        <f t="shared" si="53"/>
        <v>#VALUE!</v>
      </c>
      <c r="AI146" s="26" t="e">
        <f t="shared" si="54"/>
        <v>#VALUE!</v>
      </c>
      <c r="AJ146" s="26" t="e">
        <f t="shared" si="55"/>
        <v>#VALUE!</v>
      </c>
    </row>
    <row r="147" spans="1:36" ht="15.75">
      <c r="A147" s="129" t="s">
        <v>1078</v>
      </c>
      <c r="B147" s="168">
        <f>IF(A147='Nutrient Management Planner'!B7,'Nutrient Management Planner'!D7,IF(A147='Nutrient Management Planner'!B8,'Nutrient Management Planner'!D8,IF(A147='Nutrient Management Planner'!B9,'Nutrient Management Planner'!D9,IF(A147='Nutrient Management Planner'!B10,'Nutrient Management Planner'!D10,IF(A147='Nutrient Management Planner'!B11,'Nutrient Management Planner'!D11,IF(A147='Nutrient Management Planner'!B12,'Nutrient Management Planner'!D12,0))))))</f>
        <v>0</v>
      </c>
      <c r="C147" s="81">
        <f t="shared" si="39"/>
        <v>0</v>
      </c>
      <c r="D147" s="81">
        <f t="shared" si="56"/>
        <v>0</v>
      </c>
      <c r="E147" s="81" t="e">
        <f t="shared" si="40"/>
        <v>#VALUE!</v>
      </c>
      <c r="F147" s="81" t="e">
        <f t="shared" si="41"/>
        <v>#VALUE!</v>
      </c>
      <c r="G147" s="81" t="e">
        <f t="shared" si="58"/>
        <v>#VALUE!</v>
      </c>
      <c r="H147" s="81" t="e">
        <f t="shared" si="59"/>
        <v>#VALUE!</v>
      </c>
      <c r="I147" s="109" t="str">
        <f t="shared" si="44"/>
        <v> </v>
      </c>
      <c r="J147" s="26">
        <f>(O147*P147)-$C$116</f>
        <v>0</v>
      </c>
      <c r="K147" s="26">
        <f>(Q147-0.0009*$D$116)*O147</f>
        <v>0</v>
      </c>
      <c r="L147" s="26">
        <f>(R147-(0.00015*$E$116))*O147</f>
        <v>0</v>
      </c>
      <c r="M147" s="13" t="s">
        <v>568</v>
      </c>
      <c r="N147" s="13"/>
      <c r="O147" s="13">
        <f t="shared" si="45"/>
        <v>0</v>
      </c>
      <c r="P147" s="13">
        <v>0.05</v>
      </c>
      <c r="Q147" s="13">
        <v>0.027</v>
      </c>
      <c r="R147" s="13">
        <v>0.045</v>
      </c>
      <c r="S147" s="13" t="s">
        <v>568</v>
      </c>
      <c r="T147" s="13"/>
      <c r="U147" s="13"/>
      <c r="V147" s="13"/>
      <c r="W147" s="23" t="e">
        <f t="shared" si="46"/>
        <v>#VALUE!</v>
      </c>
      <c r="X147" s="23" t="e">
        <v>#VALUE!</v>
      </c>
      <c r="Y147" s="23" t="e">
        <f t="shared" si="47"/>
        <v>#VALUE!</v>
      </c>
      <c r="Z147" s="13"/>
      <c r="AA147" s="13" t="s">
        <v>568</v>
      </c>
      <c r="AB147" s="23">
        <f t="shared" si="60"/>
        <v>0</v>
      </c>
      <c r="AC147" s="23">
        <f t="shared" si="61"/>
        <v>0</v>
      </c>
      <c r="AD147" s="23">
        <f t="shared" si="62"/>
        <v>0</v>
      </c>
      <c r="AE147" s="26" t="e">
        <f t="shared" si="50"/>
        <v>#VALUE!</v>
      </c>
      <c r="AF147" s="26" t="e">
        <f t="shared" si="51"/>
        <v>#VALUE!</v>
      </c>
      <c r="AG147" s="26" t="e">
        <f t="shared" si="52"/>
        <v>#VALUE!</v>
      </c>
      <c r="AH147" s="26" t="e">
        <f t="shared" si="53"/>
        <v>#VALUE!</v>
      </c>
      <c r="AI147" s="26" t="e">
        <f t="shared" si="54"/>
        <v>#VALUE!</v>
      </c>
      <c r="AJ147" s="26" t="e">
        <f t="shared" si="55"/>
        <v>#VALUE!</v>
      </c>
    </row>
    <row r="148" spans="1:36" ht="15.75">
      <c r="A148" s="129" t="s">
        <v>1079</v>
      </c>
      <c r="B148" s="168">
        <f>IF(A148='Nutrient Management Planner'!B7,'Nutrient Management Planner'!D7,IF(A148='Nutrient Management Planner'!B8,'Nutrient Management Planner'!D8,IF(A148='Nutrient Management Planner'!B9,'Nutrient Management Planner'!D9,IF(A148='Nutrient Management Planner'!B10,'Nutrient Management Planner'!D10,IF(A148='Nutrient Management Planner'!B11,'Nutrient Management Planner'!D11,IF(A148='Nutrient Management Planner'!B12,'Nutrient Management Planner'!D12,0))))))</f>
        <v>0</v>
      </c>
      <c r="C148" s="81">
        <f t="shared" si="39"/>
        <v>0</v>
      </c>
      <c r="D148" s="81">
        <f t="shared" si="56"/>
        <v>0</v>
      </c>
      <c r="E148" s="81" t="e">
        <f t="shared" si="40"/>
        <v>#VALUE!</v>
      </c>
      <c r="F148" s="81" t="e">
        <f t="shared" si="41"/>
        <v>#VALUE!</v>
      </c>
      <c r="G148" s="81" t="e">
        <f t="shared" si="58"/>
        <v>#VALUE!</v>
      </c>
      <c r="H148" s="81" t="e">
        <f t="shared" si="59"/>
        <v>#VALUE!</v>
      </c>
      <c r="I148" s="109" t="str">
        <f t="shared" si="44"/>
        <v> </v>
      </c>
      <c r="J148" s="26">
        <v>0</v>
      </c>
      <c r="K148" s="26">
        <f>(Q148-(0.047*$D$116))*O148</f>
        <v>0</v>
      </c>
      <c r="L148" s="26">
        <f>(R148-(0.0062*$E$116))*O148</f>
        <v>0</v>
      </c>
      <c r="M148" s="13" t="s">
        <v>569</v>
      </c>
      <c r="N148" s="13"/>
      <c r="O148" s="13">
        <f t="shared" si="45"/>
        <v>0</v>
      </c>
      <c r="P148" s="13">
        <v>0</v>
      </c>
      <c r="Q148" s="13">
        <v>1.41</v>
      </c>
      <c r="R148" s="13">
        <v>1.86</v>
      </c>
      <c r="S148" s="13" t="s">
        <v>569</v>
      </c>
      <c r="T148" s="13"/>
      <c r="U148" s="13"/>
      <c r="V148" s="13"/>
      <c r="W148" s="23" t="e">
        <f t="shared" si="46"/>
        <v>#VALUE!</v>
      </c>
      <c r="X148" s="23" t="e">
        <v>#VALUE!</v>
      </c>
      <c r="Y148" s="23" t="e">
        <f t="shared" si="47"/>
        <v>#VALUE!</v>
      </c>
      <c r="Z148" s="13"/>
      <c r="AA148" s="13" t="s">
        <v>569</v>
      </c>
      <c r="AB148" s="23">
        <f t="shared" si="60"/>
        <v>0</v>
      </c>
      <c r="AC148" s="23">
        <f t="shared" si="61"/>
        <v>0</v>
      </c>
      <c r="AD148" s="23">
        <f t="shared" si="62"/>
        <v>0</v>
      </c>
      <c r="AE148" s="26" t="e">
        <f t="shared" si="50"/>
        <v>#VALUE!</v>
      </c>
      <c r="AF148" s="26" t="e">
        <f t="shared" si="51"/>
        <v>#VALUE!</v>
      </c>
      <c r="AG148" s="26" t="e">
        <f t="shared" si="52"/>
        <v>#VALUE!</v>
      </c>
      <c r="AH148" s="26" t="e">
        <f t="shared" si="53"/>
        <v>#VALUE!</v>
      </c>
      <c r="AI148" s="26" t="e">
        <f t="shared" si="54"/>
        <v>#VALUE!</v>
      </c>
      <c r="AJ148" s="26" t="e">
        <f t="shared" si="55"/>
        <v>#VALUE!</v>
      </c>
    </row>
    <row r="149" spans="1:36" ht="15.75">
      <c r="A149" s="129" t="s">
        <v>1080</v>
      </c>
      <c r="B149" s="168">
        <f>IF(A149='Nutrient Management Planner'!B7,'Nutrient Management Planner'!D7,IF(A149='Nutrient Management Planner'!B8,'Nutrient Management Planner'!D8,IF(A149='Nutrient Management Planner'!B9,'Nutrient Management Planner'!D9,IF(A149='Nutrient Management Planner'!B10,'Nutrient Management Planner'!D10,IF(A149='Nutrient Management Planner'!B11,'Nutrient Management Planner'!D11,IF(A149='Nutrient Management Planner'!B12,'Nutrient Management Planner'!D12,0))))))</f>
        <v>0</v>
      </c>
      <c r="C149" s="81">
        <f t="shared" si="39"/>
        <v>0</v>
      </c>
      <c r="D149" s="81">
        <f t="shared" si="56"/>
        <v>0</v>
      </c>
      <c r="E149" s="81" t="e">
        <f t="shared" si="40"/>
        <v>#VALUE!</v>
      </c>
      <c r="F149" s="81" t="e">
        <f t="shared" si="41"/>
        <v>#VALUE!</v>
      </c>
      <c r="G149" s="81" t="e">
        <f t="shared" si="58"/>
        <v>#VALUE!</v>
      </c>
      <c r="H149" s="81" t="e">
        <f t="shared" si="59"/>
        <v>#VALUE!</v>
      </c>
      <c r="I149" s="109" t="str">
        <f t="shared" si="44"/>
        <v> </v>
      </c>
      <c r="J149" s="26">
        <f>(O149*P149)-$C$116</f>
        <v>0</v>
      </c>
      <c r="K149" s="26">
        <f>(Q149-(0.017*$D$116))*O149</f>
        <v>0</v>
      </c>
      <c r="L149" s="26">
        <f>(R149-(0.0029*$E$116))*O149</f>
        <v>0</v>
      </c>
      <c r="M149" s="13" t="s">
        <v>570</v>
      </c>
      <c r="N149" s="13"/>
      <c r="O149" s="13">
        <f t="shared" si="45"/>
        <v>0</v>
      </c>
      <c r="P149" s="13">
        <v>7.5</v>
      </c>
      <c r="Q149" s="13">
        <v>2.5</v>
      </c>
      <c r="R149" s="13">
        <v>4</v>
      </c>
      <c r="S149" s="13" t="s">
        <v>570</v>
      </c>
      <c r="T149" s="13"/>
      <c r="U149" s="13"/>
      <c r="V149" s="13"/>
      <c r="W149" s="23" t="e">
        <f t="shared" si="46"/>
        <v>#VALUE!</v>
      </c>
      <c r="X149" s="23" t="e">
        <v>#VALUE!</v>
      </c>
      <c r="Y149" s="23" t="e">
        <f t="shared" si="47"/>
        <v>#VALUE!</v>
      </c>
      <c r="Z149" s="13"/>
      <c r="AA149" s="13" t="s">
        <v>570</v>
      </c>
      <c r="AB149" s="23">
        <f t="shared" si="60"/>
        <v>0</v>
      </c>
      <c r="AC149" s="23">
        <f t="shared" si="61"/>
        <v>0</v>
      </c>
      <c r="AD149" s="23">
        <f t="shared" si="62"/>
        <v>0</v>
      </c>
      <c r="AE149" s="26" t="e">
        <f t="shared" si="50"/>
        <v>#VALUE!</v>
      </c>
      <c r="AF149" s="26" t="e">
        <f t="shared" si="51"/>
        <v>#VALUE!</v>
      </c>
      <c r="AG149" s="26" t="e">
        <f t="shared" si="52"/>
        <v>#VALUE!</v>
      </c>
      <c r="AH149" s="26" t="e">
        <f t="shared" si="53"/>
        <v>#VALUE!</v>
      </c>
      <c r="AI149" s="26" t="e">
        <f t="shared" si="54"/>
        <v>#VALUE!</v>
      </c>
      <c r="AJ149" s="26" t="e">
        <f t="shared" si="55"/>
        <v>#VALUE!</v>
      </c>
    </row>
    <row r="150" spans="1:36" ht="15.75">
      <c r="A150" s="129" t="s">
        <v>1054</v>
      </c>
      <c r="B150" s="168">
        <f>IF(A150='Nutrient Management Planner'!B7,'Nutrient Management Planner'!D7,IF(A150='Nutrient Management Planner'!B8,'Nutrient Management Planner'!D8,IF(A150='Nutrient Management Planner'!B9,'Nutrient Management Planner'!D9,IF(A150='Nutrient Management Planner'!B10,'Nutrient Management Planner'!D10,IF(A150='Nutrient Management Planner'!B11,'Nutrient Management Planner'!D11,IF(A150='Nutrient Management Planner'!B12,'Nutrient Management Planner'!D12,0))))))</f>
        <v>0</v>
      </c>
      <c r="C150" s="81">
        <f t="shared" si="39"/>
        <v>0</v>
      </c>
      <c r="D150" s="81">
        <f t="shared" si="56"/>
        <v>0</v>
      </c>
      <c r="E150" s="81" t="e">
        <f t="shared" si="40"/>
        <v>#VALUE!</v>
      </c>
      <c r="F150" s="81" t="e">
        <f t="shared" si="41"/>
        <v>#VALUE!</v>
      </c>
      <c r="G150" s="81" t="e">
        <f t="shared" si="58"/>
        <v>#VALUE!</v>
      </c>
      <c r="H150" s="81" t="e">
        <f t="shared" si="59"/>
        <v>#VALUE!</v>
      </c>
      <c r="I150" s="109" t="str">
        <f t="shared" si="44"/>
        <v> </v>
      </c>
      <c r="J150" s="26">
        <f>(O150*P150)-$C$116</f>
        <v>0</v>
      </c>
      <c r="K150" s="26">
        <f>(Q150-(0.0007*$D$116))*O150</f>
        <v>0</v>
      </c>
      <c r="L150" s="26">
        <f>(R150-(0.00015*$E$116))*O150</f>
        <v>0</v>
      </c>
      <c r="M150" s="13" t="s">
        <v>571</v>
      </c>
      <c r="N150" s="13"/>
      <c r="O150" s="13">
        <f t="shared" si="45"/>
        <v>0</v>
      </c>
      <c r="P150" s="13">
        <v>0.05</v>
      </c>
      <c r="Q150" s="13">
        <v>0.021</v>
      </c>
      <c r="R150" s="13">
        <v>0.045</v>
      </c>
      <c r="S150" s="13" t="s">
        <v>571</v>
      </c>
      <c r="T150" s="13"/>
      <c r="U150" s="13"/>
      <c r="V150" s="13"/>
      <c r="W150" s="23" t="e">
        <f t="shared" si="46"/>
        <v>#VALUE!</v>
      </c>
      <c r="X150" s="23" t="e">
        <v>#VALUE!</v>
      </c>
      <c r="Y150" s="23" t="e">
        <f t="shared" si="47"/>
        <v>#VALUE!</v>
      </c>
      <c r="Z150" s="13"/>
      <c r="AA150" s="13" t="s">
        <v>571</v>
      </c>
      <c r="AB150" s="23">
        <f t="shared" si="60"/>
        <v>0</v>
      </c>
      <c r="AC150" s="23">
        <f t="shared" si="61"/>
        <v>0</v>
      </c>
      <c r="AD150" s="23">
        <f t="shared" si="62"/>
        <v>0</v>
      </c>
      <c r="AE150" s="26" t="e">
        <f t="shared" si="50"/>
        <v>#VALUE!</v>
      </c>
      <c r="AF150" s="26" t="e">
        <f t="shared" si="51"/>
        <v>#VALUE!</v>
      </c>
      <c r="AG150" s="26" t="e">
        <f t="shared" si="52"/>
        <v>#VALUE!</v>
      </c>
      <c r="AH150" s="26" t="e">
        <f t="shared" si="53"/>
        <v>#VALUE!</v>
      </c>
      <c r="AI150" s="26" t="e">
        <f t="shared" si="54"/>
        <v>#VALUE!</v>
      </c>
      <c r="AJ150" s="26" t="e">
        <f t="shared" si="55"/>
        <v>#VALUE!</v>
      </c>
    </row>
    <row r="151" spans="1:36" ht="15.75">
      <c r="A151" s="129" t="s">
        <v>1055</v>
      </c>
      <c r="B151" s="168">
        <f>IF(A151='Nutrient Management Planner'!B7,'Nutrient Management Planner'!D7,IF(A151='Nutrient Management Planner'!B8,'Nutrient Management Planner'!D8,IF(A151='Nutrient Management Planner'!B9,'Nutrient Management Planner'!D9,IF(A151='Nutrient Management Planner'!B10,'Nutrient Management Planner'!D10,IF(A151='Nutrient Management Planner'!B11,'Nutrient Management Planner'!D11,IF(A151='Nutrient Management Planner'!B12,'Nutrient Management Planner'!D12,0))))))</f>
        <v>0</v>
      </c>
      <c r="C151" s="81">
        <f t="shared" si="39"/>
        <v>0</v>
      </c>
      <c r="D151" s="81">
        <f>IF(ISERR(AD151/$D$90),0,(AD151/$D$90))</f>
        <v>0</v>
      </c>
      <c r="E151" s="81" t="e">
        <f t="shared" si="40"/>
        <v>#VALUE!</v>
      </c>
      <c r="F151" s="81" t="e">
        <f t="shared" si="41"/>
        <v>#VALUE!</v>
      </c>
      <c r="G151" s="81" t="e">
        <f t="shared" si="58"/>
        <v>#VALUE!</v>
      </c>
      <c r="H151" s="81" t="e">
        <f t="shared" si="59"/>
        <v>#VALUE!</v>
      </c>
      <c r="I151" s="109" t="str">
        <f t="shared" si="44"/>
        <v> </v>
      </c>
      <c r="J151" s="26">
        <v>0</v>
      </c>
      <c r="K151" s="26">
        <f>(Q151-(0.7*$D$116))*O151</f>
        <v>0</v>
      </c>
      <c r="L151" s="26">
        <f>(R151-(0.175*$E$116))*O151</f>
        <v>0</v>
      </c>
      <c r="M151" s="13" t="s">
        <v>572</v>
      </c>
      <c r="N151" s="13"/>
      <c r="O151" s="13">
        <f t="shared" si="45"/>
        <v>0</v>
      </c>
      <c r="P151" s="13">
        <v>0</v>
      </c>
      <c r="Q151" s="13">
        <v>21</v>
      </c>
      <c r="R151" s="13">
        <v>52.5</v>
      </c>
      <c r="S151" s="13" t="s">
        <v>572</v>
      </c>
      <c r="T151" s="13"/>
      <c r="U151" s="13"/>
      <c r="V151" s="13"/>
      <c r="W151" s="23" t="e">
        <f t="shared" si="46"/>
        <v>#VALUE!</v>
      </c>
      <c r="X151" s="23" t="e">
        <v>#VALUE!</v>
      </c>
      <c r="Y151" s="23" t="e">
        <f t="shared" si="47"/>
        <v>#VALUE!</v>
      </c>
      <c r="Z151" s="13"/>
      <c r="AA151" s="13" t="s">
        <v>572</v>
      </c>
      <c r="AB151" s="23">
        <f t="shared" si="60"/>
        <v>0</v>
      </c>
      <c r="AC151" s="23">
        <f t="shared" si="61"/>
        <v>0</v>
      </c>
      <c r="AD151" s="23">
        <f t="shared" si="62"/>
        <v>0</v>
      </c>
      <c r="AE151" s="26" t="e">
        <f t="shared" si="50"/>
        <v>#VALUE!</v>
      </c>
      <c r="AF151" s="26" t="e">
        <f t="shared" si="51"/>
        <v>#VALUE!</v>
      </c>
      <c r="AG151" s="26" t="e">
        <f t="shared" si="52"/>
        <v>#VALUE!</v>
      </c>
      <c r="AH151" s="26" t="e">
        <f t="shared" si="53"/>
        <v>#VALUE!</v>
      </c>
      <c r="AI151" s="26" t="e">
        <f t="shared" si="54"/>
        <v>#VALUE!</v>
      </c>
      <c r="AJ151" s="26" t="e">
        <f t="shared" si="55"/>
        <v>#VALUE!</v>
      </c>
    </row>
    <row r="152" spans="1:36" ht="15.75">
      <c r="A152" s="129" t="s">
        <v>1081</v>
      </c>
      <c r="B152" s="168">
        <f>IF(A152='Nutrient Management Planner'!B7,'Nutrient Management Planner'!D7,IF(A152='Nutrient Management Planner'!B8,'Nutrient Management Planner'!D8,IF(A152='Nutrient Management Planner'!B9,'Nutrient Management Planner'!D9,IF(A152='Nutrient Management Planner'!B10,'Nutrient Management Planner'!D10,IF(A152='Nutrient Management Planner'!B11,'Nutrient Management Planner'!D11,IF(A152='Nutrient Management Planner'!B12,'Nutrient Management Planner'!D12,0))))))</f>
        <v>0</v>
      </c>
      <c r="C152" s="81">
        <f t="shared" si="39"/>
        <v>0</v>
      </c>
      <c r="D152" s="81">
        <f>IF(ISERR(AC152/$D$89),0,(AC152/$D$89))</f>
        <v>0</v>
      </c>
      <c r="E152" s="81" t="e">
        <f t="shared" si="40"/>
        <v>#VALUE!</v>
      </c>
      <c r="F152" s="81" t="e">
        <f t="shared" si="41"/>
        <v>#VALUE!</v>
      </c>
      <c r="G152" s="81" t="e">
        <f t="shared" si="58"/>
        <v>#VALUE!</v>
      </c>
      <c r="H152" s="81" t="e">
        <f t="shared" si="59"/>
        <v>#VALUE!</v>
      </c>
      <c r="I152" s="109" t="str">
        <f t="shared" si="44"/>
        <v> </v>
      </c>
      <c r="J152" s="26">
        <f>(O152*P152)-$C$116</f>
        <v>0</v>
      </c>
      <c r="K152" s="26">
        <f>(Q152-(0.029*$D$116))*O152</f>
        <v>0</v>
      </c>
      <c r="L152" s="26">
        <f>(R152-(0.009*$E$116))*O152</f>
        <v>0</v>
      </c>
      <c r="M152" s="13" t="s">
        <v>573</v>
      </c>
      <c r="N152" s="13"/>
      <c r="O152" s="13">
        <f t="shared" si="45"/>
        <v>0</v>
      </c>
      <c r="P152" s="13">
        <v>2.5</v>
      </c>
      <c r="Q152" s="13">
        <v>1.033</v>
      </c>
      <c r="R152" s="13">
        <v>2.67</v>
      </c>
      <c r="S152" s="13" t="s">
        <v>573</v>
      </c>
      <c r="T152" s="13"/>
      <c r="U152" s="13"/>
      <c r="V152" s="13"/>
      <c r="W152" s="23" t="e">
        <f t="shared" si="46"/>
        <v>#VALUE!</v>
      </c>
      <c r="X152" s="23" t="e">
        <v>#VALUE!</v>
      </c>
      <c r="Y152" s="23" t="e">
        <f t="shared" si="47"/>
        <v>#VALUE!</v>
      </c>
      <c r="Z152" s="13"/>
      <c r="AA152" s="13" t="s">
        <v>573</v>
      </c>
      <c r="AB152" s="23">
        <f t="shared" si="60"/>
        <v>0</v>
      </c>
      <c r="AC152" s="23">
        <f t="shared" si="61"/>
        <v>0</v>
      </c>
      <c r="AD152" s="23">
        <f t="shared" si="62"/>
        <v>0</v>
      </c>
      <c r="AE152" s="26" t="e">
        <f t="shared" si="50"/>
        <v>#VALUE!</v>
      </c>
      <c r="AF152" s="26" t="e">
        <f t="shared" si="51"/>
        <v>#VALUE!</v>
      </c>
      <c r="AG152" s="26" t="e">
        <f t="shared" si="52"/>
        <v>#VALUE!</v>
      </c>
      <c r="AH152" s="26" t="e">
        <f t="shared" si="53"/>
        <v>#VALUE!</v>
      </c>
      <c r="AI152" s="26" t="e">
        <f t="shared" si="54"/>
        <v>#VALUE!</v>
      </c>
      <c r="AJ152" s="26" t="e">
        <f t="shared" si="55"/>
        <v>#VALUE!</v>
      </c>
    </row>
    <row r="153" ht="15.75">
      <c r="B153" s="168"/>
    </row>
    <row r="154" ht="15">
      <c r="B154" s="13"/>
    </row>
    <row r="155" spans="1:14" ht="15">
      <c r="A155" s="13"/>
      <c r="B155" s="9" t="str">
        <f>IF($C$7&lt;365,N155,N156)</f>
        <v>CAUTION !!  This Ag Waste System  is designed to contain less than </v>
      </c>
      <c r="N155" s="10" t="s">
        <v>574</v>
      </c>
    </row>
    <row r="156" spans="1:15" ht="15">
      <c r="A156" s="13"/>
      <c r="B156" s="9" t="str">
        <f>IF($C$7&lt;365,O156,N156)</f>
        <v>one years waste production.  Additional acreage may be</v>
      </c>
      <c r="N156" s="10" t="s">
        <v>332</v>
      </c>
      <c r="O156" s="10" t="s">
        <v>575</v>
      </c>
    </row>
    <row r="157" spans="1:15" ht="15">
      <c r="A157" s="13"/>
      <c r="B157" s="9" t="str">
        <f>IF($C$7&lt;365,O157,N156)</f>
        <v>needed to properly utilize all of the waste produced annually.</v>
      </c>
      <c r="O157" s="10" t="s">
        <v>576</v>
      </c>
    </row>
    <row r="158" spans="1:2" ht="15.75">
      <c r="A158" s="110" t="s">
        <v>577</v>
      </c>
      <c r="B158" s="9" t="s">
        <v>578</v>
      </c>
    </row>
    <row r="159" ht="15">
      <c r="B159" s="9" t="s">
        <v>579</v>
      </c>
    </row>
    <row r="160" ht="15">
      <c r="B160" s="9" t="s">
        <v>580</v>
      </c>
    </row>
    <row r="161" ht="15">
      <c r="B161" s="9" t="s">
        <v>581</v>
      </c>
    </row>
    <row r="162" ht="15">
      <c r="B162" s="13"/>
    </row>
    <row r="163" ht="15">
      <c r="B163" s="13"/>
    </row>
    <row r="164" spans="1:2" ht="15">
      <c r="A164" s="111"/>
      <c r="B164" s="13"/>
    </row>
    <row r="165" ht="15">
      <c r="B165" s="13"/>
    </row>
    <row r="166" spans="1:2" ht="15.75">
      <c r="A166" s="101" t="s">
        <v>582</v>
      </c>
      <c r="B166" s="13"/>
    </row>
    <row r="167" spans="1:2" ht="15.75">
      <c r="A167" s="101" t="s">
        <v>583</v>
      </c>
      <c r="B167" s="13"/>
    </row>
    <row r="168" spans="2:7" ht="15">
      <c r="B168" s="13"/>
      <c r="C168" s="10" t="s">
        <v>584</v>
      </c>
      <c r="E168" s="10" t="s">
        <v>585</v>
      </c>
      <c r="G168" s="10" t="s">
        <v>586</v>
      </c>
    </row>
    <row r="169" spans="2:7" ht="15">
      <c r="B169" s="13"/>
      <c r="C169" s="10" t="s">
        <v>587</v>
      </c>
      <c r="E169" s="10" t="s">
        <v>632</v>
      </c>
      <c r="G169" s="10" t="s">
        <v>633</v>
      </c>
    </row>
    <row r="170" spans="1:8" ht="15">
      <c r="A170" s="108" t="s">
        <v>537</v>
      </c>
      <c r="B170" s="13"/>
      <c r="C170" s="108" t="s">
        <v>634</v>
      </c>
      <c r="D170" s="108" t="s">
        <v>635</v>
      </c>
      <c r="E170" s="108" t="s">
        <v>634</v>
      </c>
      <c r="F170" s="108" t="s">
        <v>635</v>
      </c>
      <c r="G170" s="108" t="s">
        <v>634</v>
      </c>
      <c r="H170" s="108" t="s">
        <v>635</v>
      </c>
    </row>
    <row r="171" spans="1:8" ht="15">
      <c r="A171" s="13" t="s">
        <v>542</v>
      </c>
      <c r="B171" s="13"/>
      <c r="C171" s="89" t="e">
        <f aca="true" t="shared" si="63" ref="C171:C198">AH125</f>
        <v>#VALUE!</v>
      </c>
      <c r="D171" s="81">
        <f aca="true" t="shared" si="64" ref="D171:D182">AB125</f>
        <v>0</v>
      </c>
      <c r="E171" s="89" t="e">
        <f aca="true" t="shared" si="65" ref="E171:E198">AI125</f>
        <v>#VALUE!</v>
      </c>
      <c r="F171" s="81">
        <f aca="true" t="shared" si="66" ref="F171:F182">AC125</f>
        <v>0</v>
      </c>
      <c r="G171" s="89" t="e">
        <f aca="true" t="shared" si="67" ref="G171:G198">AJ125</f>
        <v>#VALUE!</v>
      </c>
      <c r="H171" s="81">
        <f aca="true" t="shared" si="68" ref="H171:H182">AD125</f>
        <v>0</v>
      </c>
    </row>
    <row r="172" spans="1:8" ht="15">
      <c r="A172" s="13" t="s">
        <v>543</v>
      </c>
      <c r="B172" s="13"/>
      <c r="C172" s="89" t="e">
        <f t="shared" si="63"/>
        <v>#VALUE!</v>
      </c>
      <c r="D172" s="81">
        <f t="shared" si="64"/>
        <v>0</v>
      </c>
      <c r="E172" s="89" t="e">
        <f t="shared" si="65"/>
        <v>#VALUE!</v>
      </c>
      <c r="F172" s="81">
        <f t="shared" si="66"/>
        <v>0</v>
      </c>
      <c r="G172" s="89" t="e">
        <f t="shared" si="67"/>
        <v>#VALUE!</v>
      </c>
      <c r="H172" s="81">
        <f t="shared" si="68"/>
        <v>0</v>
      </c>
    </row>
    <row r="173" spans="1:8" ht="15">
      <c r="A173" s="13" t="s">
        <v>544</v>
      </c>
      <c r="B173" s="13"/>
      <c r="C173" s="89" t="e">
        <f t="shared" si="63"/>
        <v>#VALUE!</v>
      </c>
      <c r="D173" s="81">
        <f t="shared" si="64"/>
        <v>0</v>
      </c>
      <c r="E173" s="89" t="e">
        <f t="shared" si="65"/>
        <v>#VALUE!</v>
      </c>
      <c r="F173" s="81">
        <f t="shared" si="66"/>
        <v>0</v>
      </c>
      <c r="G173" s="89" t="e">
        <f t="shared" si="67"/>
        <v>#VALUE!</v>
      </c>
      <c r="H173" s="81">
        <f t="shared" si="68"/>
        <v>0</v>
      </c>
    </row>
    <row r="174" spans="1:8" ht="15">
      <c r="A174" s="13" t="s">
        <v>545</v>
      </c>
      <c r="B174" s="13"/>
      <c r="C174" s="89" t="e">
        <f t="shared" si="63"/>
        <v>#VALUE!</v>
      </c>
      <c r="D174" s="81">
        <f t="shared" si="64"/>
        <v>0</v>
      </c>
      <c r="E174" s="89" t="e">
        <f t="shared" si="65"/>
        <v>#VALUE!</v>
      </c>
      <c r="F174" s="81">
        <f t="shared" si="66"/>
        <v>0</v>
      </c>
      <c r="G174" s="89" t="e">
        <f t="shared" si="67"/>
        <v>#VALUE!</v>
      </c>
      <c r="H174" s="81">
        <f t="shared" si="68"/>
        <v>0</v>
      </c>
    </row>
    <row r="175" spans="1:8" ht="15">
      <c r="A175" s="13" t="s">
        <v>546</v>
      </c>
      <c r="B175" s="13"/>
      <c r="C175" s="89" t="e">
        <f t="shared" si="63"/>
        <v>#VALUE!</v>
      </c>
      <c r="D175" s="81">
        <f t="shared" si="64"/>
        <v>0</v>
      </c>
      <c r="E175" s="89" t="e">
        <f t="shared" si="65"/>
        <v>#VALUE!</v>
      </c>
      <c r="F175" s="81">
        <f t="shared" si="66"/>
        <v>0</v>
      </c>
      <c r="G175" s="89" t="e">
        <f t="shared" si="67"/>
        <v>#VALUE!</v>
      </c>
      <c r="H175" s="81">
        <f t="shared" si="68"/>
        <v>0</v>
      </c>
    </row>
    <row r="176" spans="1:8" ht="15">
      <c r="A176" s="13" t="s">
        <v>547</v>
      </c>
      <c r="B176" s="13"/>
      <c r="C176" s="89" t="e">
        <f t="shared" si="63"/>
        <v>#VALUE!</v>
      </c>
      <c r="D176" s="81">
        <f t="shared" si="64"/>
        <v>0</v>
      </c>
      <c r="E176" s="89" t="e">
        <f t="shared" si="65"/>
        <v>#VALUE!</v>
      </c>
      <c r="F176" s="81">
        <f t="shared" si="66"/>
        <v>0</v>
      </c>
      <c r="G176" s="89" t="e">
        <f t="shared" si="67"/>
        <v>#VALUE!</v>
      </c>
      <c r="H176" s="81">
        <f t="shared" si="68"/>
        <v>0</v>
      </c>
    </row>
    <row r="177" spans="1:8" ht="15">
      <c r="A177" s="13" t="s">
        <v>548</v>
      </c>
      <c r="B177" s="13"/>
      <c r="C177" s="89" t="e">
        <f t="shared" si="63"/>
        <v>#VALUE!</v>
      </c>
      <c r="D177" s="81">
        <f t="shared" si="64"/>
        <v>0</v>
      </c>
      <c r="E177" s="89" t="e">
        <f t="shared" si="65"/>
        <v>#VALUE!</v>
      </c>
      <c r="F177" s="81">
        <f t="shared" si="66"/>
        <v>0</v>
      </c>
      <c r="G177" s="89" t="e">
        <f t="shared" si="67"/>
        <v>#VALUE!</v>
      </c>
      <c r="H177" s="81">
        <f t="shared" si="68"/>
        <v>0</v>
      </c>
    </row>
    <row r="178" spans="1:8" ht="15">
      <c r="A178" s="13" t="s">
        <v>549</v>
      </c>
      <c r="B178" s="13"/>
      <c r="C178" s="89" t="e">
        <f t="shared" si="63"/>
        <v>#VALUE!</v>
      </c>
      <c r="D178" s="81">
        <f t="shared" si="64"/>
        <v>0</v>
      </c>
      <c r="E178" s="89" t="e">
        <f t="shared" si="65"/>
        <v>#VALUE!</v>
      </c>
      <c r="F178" s="81">
        <f t="shared" si="66"/>
        <v>0</v>
      </c>
      <c r="G178" s="89" t="e">
        <f t="shared" si="67"/>
        <v>#VALUE!</v>
      </c>
      <c r="H178" s="81">
        <f t="shared" si="68"/>
        <v>0</v>
      </c>
    </row>
    <row r="179" spans="1:21" ht="15">
      <c r="A179" s="13" t="s">
        <v>550</v>
      </c>
      <c r="B179" s="13"/>
      <c r="C179" s="89" t="e">
        <f t="shared" si="63"/>
        <v>#VALUE!</v>
      </c>
      <c r="D179" s="81">
        <f t="shared" si="64"/>
        <v>0</v>
      </c>
      <c r="E179" s="89" t="e">
        <f t="shared" si="65"/>
        <v>#VALUE!</v>
      </c>
      <c r="F179" s="81">
        <f t="shared" si="66"/>
        <v>0</v>
      </c>
      <c r="G179" s="89" t="e">
        <f t="shared" si="67"/>
        <v>#VALUE!</v>
      </c>
      <c r="H179" s="81">
        <f t="shared" si="68"/>
        <v>0</v>
      </c>
      <c r="I179" s="13"/>
      <c r="J179" s="13"/>
      <c r="K179" s="13"/>
      <c r="L179" s="13"/>
      <c r="M179" s="13"/>
      <c r="N179" s="13"/>
      <c r="O179" s="13"/>
      <c r="P179" s="13"/>
      <c r="Q179" s="13"/>
      <c r="R179" s="13"/>
      <c r="S179" s="13"/>
      <c r="T179" s="13"/>
      <c r="U179" s="112" t="e">
        <v>#VALUE!</v>
      </c>
    </row>
    <row r="180" spans="1:21" ht="15">
      <c r="A180" s="13" t="s">
        <v>551</v>
      </c>
      <c r="B180" s="13"/>
      <c r="C180" s="89" t="e">
        <f t="shared" si="63"/>
        <v>#VALUE!</v>
      </c>
      <c r="D180" s="81">
        <f t="shared" si="64"/>
        <v>0</v>
      </c>
      <c r="E180" s="89" t="e">
        <f t="shared" si="65"/>
        <v>#VALUE!</v>
      </c>
      <c r="F180" s="81">
        <f t="shared" si="66"/>
        <v>0</v>
      </c>
      <c r="G180" s="89" t="e">
        <f t="shared" si="67"/>
        <v>#VALUE!</v>
      </c>
      <c r="H180" s="81">
        <f t="shared" si="68"/>
        <v>0</v>
      </c>
      <c r="I180" s="13"/>
      <c r="J180" s="13"/>
      <c r="K180" s="13"/>
      <c r="L180" s="13"/>
      <c r="M180" s="13"/>
      <c r="N180" s="13"/>
      <c r="O180" s="13"/>
      <c r="P180" s="13"/>
      <c r="Q180" s="13"/>
      <c r="R180" s="13"/>
      <c r="S180" s="13"/>
      <c r="T180" s="13"/>
      <c r="U180" s="112" t="e">
        <v>#VALUE!</v>
      </c>
    </row>
    <row r="181" spans="1:8" ht="15">
      <c r="A181" s="13" t="s">
        <v>552</v>
      </c>
      <c r="B181" s="13"/>
      <c r="C181" s="89" t="e">
        <f t="shared" si="63"/>
        <v>#VALUE!</v>
      </c>
      <c r="D181" s="81">
        <f t="shared" si="64"/>
        <v>0</v>
      </c>
      <c r="E181" s="89" t="e">
        <f t="shared" si="65"/>
        <v>#VALUE!</v>
      </c>
      <c r="F181" s="81">
        <f t="shared" si="66"/>
        <v>0</v>
      </c>
      <c r="G181" s="89" t="e">
        <f t="shared" si="67"/>
        <v>#VALUE!</v>
      </c>
      <c r="H181" s="81">
        <f t="shared" si="68"/>
        <v>0</v>
      </c>
    </row>
    <row r="182" spans="1:8" ht="15">
      <c r="A182" s="13" t="s">
        <v>553</v>
      </c>
      <c r="B182" s="13"/>
      <c r="C182" s="89" t="e">
        <f t="shared" si="63"/>
        <v>#VALUE!</v>
      </c>
      <c r="D182" s="81">
        <f t="shared" si="64"/>
        <v>0</v>
      </c>
      <c r="E182" s="89" t="e">
        <f t="shared" si="65"/>
        <v>#VALUE!</v>
      </c>
      <c r="F182" s="81">
        <f t="shared" si="66"/>
        <v>0</v>
      </c>
      <c r="G182" s="89" t="e">
        <f t="shared" si="67"/>
        <v>#VALUE!</v>
      </c>
      <c r="H182" s="81">
        <f t="shared" si="68"/>
        <v>0</v>
      </c>
    </row>
    <row r="183" spans="1:8" ht="15">
      <c r="A183" s="13" t="s">
        <v>554</v>
      </c>
      <c r="B183" s="13"/>
      <c r="C183" s="89" t="e">
        <f t="shared" si="63"/>
        <v>#VALUE!</v>
      </c>
      <c r="D183" s="81">
        <f>IF(B137&lt;1,0,+AB137)</f>
        <v>0</v>
      </c>
      <c r="E183" s="89" t="e">
        <f t="shared" si="65"/>
        <v>#VALUE!</v>
      </c>
      <c r="F183" s="81">
        <f>IF(B137&lt;1,0,+AC137)</f>
        <v>0</v>
      </c>
      <c r="G183" s="89" t="e">
        <f t="shared" si="67"/>
        <v>#VALUE!</v>
      </c>
      <c r="H183" s="81">
        <f>IF(B137&lt;1,0,+AD137)</f>
        <v>0</v>
      </c>
    </row>
    <row r="184" spans="1:8" ht="15">
      <c r="A184" s="13" t="s">
        <v>556</v>
      </c>
      <c r="B184" s="13"/>
      <c r="C184" s="89" t="e">
        <f t="shared" si="63"/>
        <v>#VALUE!</v>
      </c>
      <c r="D184" s="81">
        <f>IF(B138&lt;1,0,+AB138)</f>
        <v>0</v>
      </c>
      <c r="E184" s="89" t="e">
        <f t="shared" si="65"/>
        <v>#VALUE!</v>
      </c>
      <c r="F184" s="81">
        <f>IF(B138&lt;1,0,+AC138)</f>
        <v>0</v>
      </c>
      <c r="G184" s="89" t="e">
        <f t="shared" si="67"/>
        <v>#VALUE!</v>
      </c>
      <c r="H184" s="81">
        <f>IF(B138&lt;1,0,+AD138)</f>
        <v>0</v>
      </c>
    </row>
    <row r="185" spans="1:8" ht="15">
      <c r="A185" s="13" t="s">
        <v>558</v>
      </c>
      <c r="B185" s="13"/>
      <c r="C185" s="89" t="e">
        <f t="shared" si="63"/>
        <v>#VALUE!</v>
      </c>
      <c r="D185" s="81">
        <f>IF(B139&lt;1,0,+AB139)</f>
        <v>0</v>
      </c>
      <c r="E185" s="89" t="e">
        <f t="shared" si="65"/>
        <v>#VALUE!</v>
      </c>
      <c r="F185" s="81">
        <f>IF(B139&lt;1,0,+AC139)</f>
        <v>0</v>
      </c>
      <c r="G185" s="89" t="e">
        <f t="shared" si="67"/>
        <v>#VALUE!</v>
      </c>
      <c r="H185" s="81">
        <f>IF(B139&lt;1,0,+AD139)</f>
        <v>0</v>
      </c>
    </row>
    <row r="186" spans="1:8" ht="15">
      <c r="A186" s="13" t="s">
        <v>560</v>
      </c>
      <c r="B186" s="13"/>
      <c r="C186" s="89" t="e">
        <f t="shared" si="63"/>
        <v>#VALUE!</v>
      </c>
      <c r="D186" s="81">
        <f aca="true" t="shared" si="69" ref="D186:D198">AB140</f>
        <v>0</v>
      </c>
      <c r="E186" s="89" t="e">
        <f t="shared" si="65"/>
        <v>#VALUE!</v>
      </c>
      <c r="F186" s="81">
        <f aca="true" t="shared" si="70" ref="F186:F198">AC140</f>
        <v>0</v>
      </c>
      <c r="G186" s="89" t="e">
        <f t="shared" si="67"/>
        <v>#VALUE!</v>
      </c>
      <c r="H186" s="81">
        <f aca="true" t="shared" si="71" ref="H186:H198">AD140</f>
        <v>0</v>
      </c>
    </row>
    <row r="187" spans="1:8" ht="15">
      <c r="A187" s="13" t="s">
        <v>561</v>
      </c>
      <c r="B187" s="13"/>
      <c r="C187" s="89" t="e">
        <f t="shared" si="63"/>
        <v>#VALUE!</v>
      </c>
      <c r="D187" s="81">
        <f t="shared" si="69"/>
        <v>0</v>
      </c>
      <c r="E187" s="89" t="e">
        <f t="shared" si="65"/>
        <v>#VALUE!</v>
      </c>
      <c r="F187" s="81">
        <f t="shared" si="70"/>
        <v>0</v>
      </c>
      <c r="G187" s="89" t="e">
        <f t="shared" si="67"/>
        <v>#VALUE!</v>
      </c>
      <c r="H187" s="81">
        <f t="shared" si="71"/>
        <v>0</v>
      </c>
    </row>
    <row r="188" spans="1:8" ht="15">
      <c r="A188" s="13" t="s">
        <v>562</v>
      </c>
      <c r="B188" s="13"/>
      <c r="C188" s="89" t="e">
        <f t="shared" si="63"/>
        <v>#VALUE!</v>
      </c>
      <c r="D188" s="81">
        <f t="shared" si="69"/>
        <v>0</v>
      </c>
      <c r="E188" s="89" t="e">
        <f t="shared" si="65"/>
        <v>#VALUE!</v>
      </c>
      <c r="F188" s="81">
        <f t="shared" si="70"/>
        <v>0</v>
      </c>
      <c r="G188" s="89" t="e">
        <f t="shared" si="67"/>
        <v>#VALUE!</v>
      </c>
      <c r="H188" s="81">
        <f t="shared" si="71"/>
        <v>0</v>
      </c>
    </row>
    <row r="189" spans="1:8" ht="15">
      <c r="A189" s="13" t="s">
        <v>563</v>
      </c>
      <c r="B189" s="13"/>
      <c r="C189" s="89" t="e">
        <f t="shared" si="63"/>
        <v>#VALUE!</v>
      </c>
      <c r="D189" s="81">
        <f t="shared" si="69"/>
        <v>0</v>
      </c>
      <c r="E189" s="89" t="e">
        <f t="shared" si="65"/>
        <v>#VALUE!</v>
      </c>
      <c r="F189" s="81">
        <f t="shared" si="70"/>
        <v>0</v>
      </c>
      <c r="G189" s="89" t="e">
        <f t="shared" si="67"/>
        <v>#VALUE!</v>
      </c>
      <c r="H189" s="81">
        <f t="shared" si="71"/>
        <v>0</v>
      </c>
    </row>
    <row r="190" spans="1:8" ht="15">
      <c r="A190" s="13" t="s">
        <v>564</v>
      </c>
      <c r="B190" s="13"/>
      <c r="C190" s="89" t="e">
        <f t="shared" si="63"/>
        <v>#VALUE!</v>
      </c>
      <c r="D190" s="81">
        <f t="shared" si="69"/>
        <v>0</v>
      </c>
      <c r="E190" s="89" t="e">
        <f t="shared" si="65"/>
        <v>#VALUE!</v>
      </c>
      <c r="F190" s="81">
        <f t="shared" si="70"/>
        <v>0</v>
      </c>
      <c r="G190" s="89" t="e">
        <f t="shared" si="67"/>
        <v>#VALUE!</v>
      </c>
      <c r="H190" s="81">
        <f t="shared" si="71"/>
        <v>0</v>
      </c>
    </row>
    <row r="191" spans="1:8" ht="15">
      <c r="A191" s="13" t="s">
        <v>566</v>
      </c>
      <c r="B191" s="13"/>
      <c r="C191" s="89" t="e">
        <f t="shared" si="63"/>
        <v>#VALUE!</v>
      </c>
      <c r="D191" s="81">
        <f t="shared" si="69"/>
        <v>0</v>
      </c>
      <c r="E191" s="89" t="e">
        <f t="shared" si="65"/>
        <v>#VALUE!</v>
      </c>
      <c r="F191" s="81">
        <f t="shared" si="70"/>
        <v>0</v>
      </c>
      <c r="G191" s="89" t="e">
        <f t="shared" si="67"/>
        <v>#VALUE!</v>
      </c>
      <c r="H191" s="81">
        <f t="shared" si="71"/>
        <v>0</v>
      </c>
    </row>
    <row r="192" spans="1:8" ht="15">
      <c r="A192" s="13" t="s">
        <v>567</v>
      </c>
      <c r="B192" s="13"/>
      <c r="C192" s="89" t="e">
        <f t="shared" si="63"/>
        <v>#VALUE!</v>
      </c>
      <c r="D192" s="81">
        <f t="shared" si="69"/>
        <v>0</v>
      </c>
      <c r="E192" s="89" t="e">
        <f t="shared" si="65"/>
        <v>#VALUE!</v>
      </c>
      <c r="F192" s="81">
        <f t="shared" si="70"/>
        <v>0</v>
      </c>
      <c r="G192" s="89" t="e">
        <f t="shared" si="67"/>
        <v>#VALUE!</v>
      </c>
      <c r="H192" s="81">
        <f t="shared" si="71"/>
        <v>0</v>
      </c>
    </row>
    <row r="193" spans="1:8" ht="15">
      <c r="A193" s="13" t="s">
        <v>568</v>
      </c>
      <c r="B193" s="13"/>
      <c r="C193" s="89" t="e">
        <f t="shared" si="63"/>
        <v>#VALUE!</v>
      </c>
      <c r="D193" s="81">
        <f t="shared" si="69"/>
        <v>0</v>
      </c>
      <c r="E193" s="89" t="e">
        <f t="shared" si="65"/>
        <v>#VALUE!</v>
      </c>
      <c r="F193" s="81">
        <f t="shared" si="70"/>
        <v>0</v>
      </c>
      <c r="G193" s="89" t="e">
        <f t="shared" si="67"/>
        <v>#VALUE!</v>
      </c>
      <c r="H193" s="81">
        <f t="shared" si="71"/>
        <v>0</v>
      </c>
    </row>
    <row r="194" spans="1:8" ht="15">
      <c r="A194" s="13" t="s">
        <v>569</v>
      </c>
      <c r="B194" s="13"/>
      <c r="C194" s="89" t="e">
        <f t="shared" si="63"/>
        <v>#VALUE!</v>
      </c>
      <c r="D194" s="81">
        <f t="shared" si="69"/>
        <v>0</v>
      </c>
      <c r="E194" s="89" t="e">
        <f t="shared" si="65"/>
        <v>#VALUE!</v>
      </c>
      <c r="F194" s="81">
        <f t="shared" si="70"/>
        <v>0</v>
      </c>
      <c r="G194" s="89" t="e">
        <f t="shared" si="67"/>
        <v>#VALUE!</v>
      </c>
      <c r="H194" s="81">
        <f t="shared" si="71"/>
        <v>0</v>
      </c>
    </row>
    <row r="195" spans="1:49" ht="15">
      <c r="A195" s="13" t="s">
        <v>570</v>
      </c>
      <c r="B195" s="13"/>
      <c r="C195" s="89" t="e">
        <f t="shared" si="63"/>
        <v>#VALUE!</v>
      </c>
      <c r="D195" s="81">
        <f t="shared" si="69"/>
        <v>0</v>
      </c>
      <c r="E195" s="89" t="e">
        <f t="shared" si="65"/>
        <v>#VALUE!</v>
      </c>
      <c r="F195" s="81">
        <f t="shared" si="70"/>
        <v>0</v>
      </c>
      <c r="G195" s="89" t="e">
        <f t="shared" si="67"/>
        <v>#VALUE!</v>
      </c>
      <c r="H195" s="81">
        <f t="shared" si="71"/>
        <v>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row>
    <row r="196" spans="1:49" ht="15">
      <c r="A196" s="13" t="s">
        <v>571</v>
      </c>
      <c r="B196" s="13"/>
      <c r="C196" s="89" t="e">
        <f t="shared" si="63"/>
        <v>#VALUE!</v>
      </c>
      <c r="D196" s="81">
        <f t="shared" si="69"/>
        <v>0</v>
      </c>
      <c r="E196" s="89" t="e">
        <f t="shared" si="65"/>
        <v>#VALUE!</v>
      </c>
      <c r="F196" s="81">
        <f t="shared" si="70"/>
        <v>0</v>
      </c>
      <c r="G196" s="89" t="e">
        <f t="shared" si="67"/>
        <v>#VALUE!</v>
      </c>
      <c r="H196" s="81">
        <f t="shared" si="71"/>
        <v>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row>
    <row r="197" spans="1:49" ht="15">
      <c r="A197" s="13" t="s">
        <v>572</v>
      </c>
      <c r="B197" s="13"/>
      <c r="C197" s="89" t="e">
        <f t="shared" si="63"/>
        <v>#VALUE!</v>
      </c>
      <c r="D197" s="81">
        <f t="shared" si="69"/>
        <v>0</v>
      </c>
      <c r="E197" s="89" t="e">
        <f t="shared" si="65"/>
        <v>#VALUE!</v>
      </c>
      <c r="F197" s="81">
        <f t="shared" si="70"/>
        <v>0</v>
      </c>
      <c r="G197" s="89" t="e">
        <f t="shared" si="67"/>
        <v>#VALUE!</v>
      </c>
      <c r="H197" s="81">
        <f t="shared" si="71"/>
        <v>0</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row>
    <row r="198" spans="1:49" ht="15">
      <c r="A198" s="13" t="s">
        <v>573</v>
      </c>
      <c r="B198" s="13"/>
      <c r="C198" s="89" t="e">
        <f t="shared" si="63"/>
        <v>#VALUE!</v>
      </c>
      <c r="D198" s="81">
        <f t="shared" si="69"/>
        <v>0</v>
      </c>
      <c r="E198" s="89" t="e">
        <f t="shared" si="65"/>
        <v>#VALUE!</v>
      </c>
      <c r="F198" s="81">
        <f t="shared" si="70"/>
        <v>0</v>
      </c>
      <c r="G198" s="89" t="e">
        <f t="shared" si="67"/>
        <v>#VALUE!</v>
      </c>
      <c r="H198" s="81">
        <f t="shared" si="71"/>
        <v>0</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row>
    <row r="199" spans="1:49" ht="15">
      <c r="A199" s="13"/>
      <c r="B199" s="13"/>
      <c r="C199" s="164"/>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row>
    <row r="200" spans="2:49" ht="1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row>
    <row r="201" spans="2:49" ht="1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row>
    <row r="202" spans="2:49" ht="1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row>
    <row r="203" spans="2:49" ht="1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row>
    <row r="204" spans="2:49" ht="1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row>
    <row r="205" spans="2:49" ht="1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row>
    <row r="206" spans="2:49" ht="1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20" t="s">
        <v>636</v>
      </c>
      <c r="AC206" s="13"/>
      <c r="AD206" s="13"/>
      <c r="AE206" s="13"/>
      <c r="AF206" s="13"/>
      <c r="AG206" s="20" t="s">
        <v>637</v>
      </c>
      <c r="AH206" s="13"/>
      <c r="AI206" s="13"/>
      <c r="AJ206" s="13"/>
      <c r="AK206" s="13"/>
      <c r="AL206" s="13"/>
      <c r="AM206" s="13"/>
      <c r="AN206" s="13"/>
      <c r="AO206" s="13"/>
      <c r="AP206" s="13"/>
      <c r="AQ206" s="13"/>
      <c r="AR206" s="13"/>
      <c r="AS206" s="13"/>
      <c r="AT206" s="13"/>
      <c r="AU206" s="13"/>
      <c r="AV206" s="13"/>
      <c r="AW206" s="13"/>
    </row>
    <row r="207" spans="1:49" ht="15.75">
      <c r="A207" s="106" t="s">
        <v>638</v>
      </c>
      <c r="B207" s="9"/>
      <c r="C207" s="9"/>
      <c r="D207" s="9"/>
      <c r="E207" s="9"/>
      <c r="F207" s="9"/>
      <c r="G207" s="9"/>
      <c r="H207" s="9"/>
      <c r="I207" s="9"/>
      <c r="J207" s="13"/>
      <c r="K207" s="13"/>
      <c r="L207" s="13"/>
      <c r="M207" s="13"/>
      <c r="N207" s="13"/>
      <c r="O207" s="13"/>
      <c r="P207" s="13"/>
      <c r="Q207" s="13"/>
      <c r="R207" s="13"/>
      <c r="S207" s="13"/>
      <c r="T207" s="13"/>
      <c r="U207" s="13"/>
      <c r="V207" s="13"/>
      <c r="W207" s="13"/>
      <c r="X207" s="13"/>
      <c r="Y207" s="13"/>
      <c r="Z207" s="13"/>
      <c r="AA207" s="20" t="s">
        <v>258</v>
      </c>
      <c r="AB207" s="20" t="s">
        <v>181</v>
      </c>
      <c r="AC207" s="20" t="s">
        <v>189</v>
      </c>
      <c r="AD207" s="20" t="s">
        <v>188</v>
      </c>
      <c r="AE207" s="13"/>
      <c r="AF207" s="20" t="s">
        <v>258</v>
      </c>
      <c r="AG207" s="20" t="s">
        <v>181</v>
      </c>
      <c r="AH207" s="20" t="s">
        <v>189</v>
      </c>
      <c r="AI207" s="20" t="s">
        <v>188</v>
      </c>
      <c r="AJ207" s="13"/>
      <c r="AK207" s="13"/>
      <c r="AL207" s="13"/>
      <c r="AM207" s="13"/>
      <c r="AN207" s="13"/>
      <c r="AO207" s="13"/>
      <c r="AP207" s="13"/>
      <c r="AQ207" s="13"/>
      <c r="AR207" s="13"/>
      <c r="AS207" s="13"/>
      <c r="AT207" s="13"/>
      <c r="AU207" s="13"/>
      <c r="AV207" s="13"/>
      <c r="AW207" s="13"/>
    </row>
    <row r="208" spans="1:49" ht="15">
      <c r="A208" s="9"/>
      <c r="B208" s="9"/>
      <c r="C208" s="9"/>
      <c r="D208" s="9"/>
      <c r="E208" s="9"/>
      <c r="F208" s="9"/>
      <c r="G208" s="9"/>
      <c r="H208" s="9"/>
      <c r="I208" s="9"/>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row>
    <row r="209" spans="1:49" ht="15">
      <c r="A209" s="9" t="s">
        <v>639</v>
      </c>
      <c r="B209" s="9"/>
      <c r="C209" s="9"/>
      <c r="D209" s="9"/>
      <c r="E209" s="9"/>
      <c r="F209" s="9"/>
      <c r="G209" s="9"/>
      <c r="H209" s="9"/>
      <c r="I209" s="9"/>
      <c r="J209" s="13"/>
      <c r="K209" s="13"/>
      <c r="L209" s="13"/>
      <c r="M209" s="13"/>
      <c r="N209" s="13"/>
      <c r="O209" s="13"/>
      <c r="P209" s="13"/>
      <c r="Q209" s="13"/>
      <c r="R209" s="13"/>
      <c r="S209" s="13"/>
      <c r="T209" s="13"/>
      <c r="U209" s="13"/>
      <c r="V209" s="13"/>
      <c r="W209" s="13"/>
      <c r="X209" s="13"/>
      <c r="Y209" s="13"/>
      <c r="Z209" s="13"/>
      <c r="AA209" s="13">
        <v>1</v>
      </c>
      <c r="AB209" s="13">
        <v>115</v>
      </c>
      <c r="AC209" s="13">
        <v>10</v>
      </c>
      <c r="AD209" s="13">
        <v>20</v>
      </c>
      <c r="AE209" s="13"/>
      <c r="AF209" s="13">
        <v>1</v>
      </c>
      <c r="AG209" s="13">
        <v>95</v>
      </c>
      <c r="AH209" s="13">
        <v>10</v>
      </c>
      <c r="AI209" s="13">
        <v>20</v>
      </c>
      <c r="AJ209" s="13"/>
      <c r="AK209" s="13"/>
      <c r="AL209" s="13"/>
      <c r="AM209" s="13"/>
      <c r="AN209" s="13"/>
      <c r="AO209" s="13"/>
      <c r="AP209" s="13"/>
      <c r="AQ209" s="13"/>
      <c r="AR209" s="13"/>
      <c r="AS209" s="13"/>
      <c r="AT209" s="13"/>
      <c r="AU209" s="13"/>
      <c r="AV209" s="13"/>
      <c r="AW209" s="13"/>
    </row>
    <row r="210" spans="1:49" ht="15">
      <c r="A210" s="9" t="s">
        <v>640</v>
      </c>
      <c r="B210" s="9"/>
      <c r="C210" s="9"/>
      <c r="D210" s="9"/>
      <c r="E210" s="9"/>
      <c r="F210" s="9"/>
      <c r="G210" s="9"/>
      <c r="H210" s="9"/>
      <c r="I210" s="9"/>
      <c r="J210" s="13"/>
      <c r="K210" s="13"/>
      <c r="L210" s="13"/>
      <c r="M210" s="13"/>
      <c r="N210" s="13"/>
      <c r="O210" s="13"/>
      <c r="P210" s="13"/>
      <c r="Q210" s="13"/>
      <c r="R210" s="13"/>
      <c r="S210" s="13"/>
      <c r="T210" s="13"/>
      <c r="U210" s="13"/>
      <c r="V210" s="13"/>
      <c r="W210" s="13"/>
      <c r="X210" s="13"/>
      <c r="Y210" s="13"/>
      <c r="Z210" s="13"/>
      <c r="AA210" s="13">
        <v>2</v>
      </c>
      <c r="AB210" s="13">
        <v>90</v>
      </c>
      <c r="AC210" s="13">
        <v>10</v>
      </c>
      <c r="AD210" s="13">
        <v>20</v>
      </c>
      <c r="AE210" s="13"/>
      <c r="AF210" s="13">
        <v>2</v>
      </c>
      <c r="AG210" s="13">
        <v>70</v>
      </c>
      <c r="AH210" s="13">
        <v>10</v>
      </c>
      <c r="AI210" s="13">
        <v>20</v>
      </c>
      <c r="AJ210" s="13"/>
      <c r="AK210" s="13"/>
      <c r="AL210" s="13"/>
      <c r="AM210" s="13"/>
      <c r="AN210" s="13"/>
      <c r="AO210" s="13"/>
      <c r="AP210" s="13"/>
      <c r="AQ210" s="13"/>
      <c r="AR210" s="13"/>
      <c r="AS210" s="13"/>
      <c r="AT210" s="13"/>
      <c r="AU210" s="13"/>
      <c r="AV210" s="13"/>
      <c r="AW210" s="13"/>
    </row>
    <row r="211" spans="1:49" ht="15">
      <c r="A211" s="9"/>
      <c r="B211" s="9"/>
      <c r="C211" s="9"/>
      <c r="D211" s="9"/>
      <c r="E211" s="9"/>
      <c r="F211" s="9"/>
      <c r="G211" s="9"/>
      <c r="H211" s="9"/>
      <c r="I211" s="9"/>
      <c r="J211" s="13"/>
      <c r="K211" s="13"/>
      <c r="L211" s="13"/>
      <c r="M211" s="13"/>
      <c r="N211" s="13"/>
      <c r="O211" s="13"/>
      <c r="P211" s="13"/>
      <c r="Q211" s="13"/>
      <c r="R211" s="13"/>
      <c r="S211" s="13"/>
      <c r="T211" s="13"/>
      <c r="U211" s="13"/>
      <c r="V211" s="13"/>
      <c r="W211" s="13"/>
      <c r="X211" s="13"/>
      <c r="Y211" s="13"/>
      <c r="Z211" s="13"/>
      <c r="AA211" s="13">
        <v>3</v>
      </c>
      <c r="AB211" s="13">
        <v>70</v>
      </c>
      <c r="AC211" s="13">
        <v>10</v>
      </c>
      <c r="AD211" s="13">
        <v>20</v>
      </c>
      <c r="AE211" s="13"/>
      <c r="AF211" s="13">
        <v>3</v>
      </c>
      <c r="AG211" s="13">
        <v>60</v>
      </c>
      <c r="AH211" s="13">
        <v>10</v>
      </c>
      <c r="AI211" s="13">
        <v>20</v>
      </c>
      <c r="AJ211" s="13"/>
      <c r="AK211" s="13"/>
      <c r="AL211" s="13"/>
      <c r="AM211" s="13"/>
      <c r="AN211" s="13"/>
      <c r="AO211" s="13"/>
      <c r="AP211" s="13"/>
      <c r="AQ211" s="13"/>
      <c r="AR211" s="13"/>
      <c r="AS211" s="13"/>
      <c r="AT211" s="13"/>
      <c r="AU211" s="13"/>
      <c r="AV211" s="13"/>
      <c r="AW211" s="13"/>
    </row>
    <row r="212" spans="1:35" ht="15">
      <c r="A212" s="113" t="e">
        <f>A62</f>
        <v>#VALUE!</v>
      </c>
      <c r="B212" s="9" t="s">
        <v>641</v>
      </c>
      <c r="C212" s="9"/>
      <c r="D212" s="9"/>
      <c r="E212" s="9"/>
      <c r="F212" s="9"/>
      <c r="G212" s="9"/>
      <c r="H212" s="9"/>
      <c r="I212" s="9"/>
      <c r="AA212" s="10">
        <v>4</v>
      </c>
      <c r="AB212" s="10">
        <v>50</v>
      </c>
      <c r="AC212" s="10">
        <v>10</v>
      </c>
      <c r="AD212" s="10">
        <v>20</v>
      </c>
      <c r="AF212" s="10">
        <v>4</v>
      </c>
      <c r="AG212" s="10">
        <v>50</v>
      </c>
      <c r="AH212" s="10">
        <v>10</v>
      </c>
      <c r="AI212" s="10">
        <v>20</v>
      </c>
    </row>
    <row r="213" spans="1:9" ht="15">
      <c r="A213" s="9" t="s">
        <v>642</v>
      </c>
      <c r="B213" s="114">
        <f>C7</f>
        <v>0</v>
      </c>
      <c r="C213" s="9" t="s">
        <v>643</v>
      </c>
      <c r="D213" s="9"/>
      <c r="E213" s="9"/>
      <c r="F213" s="9"/>
      <c r="G213" s="9"/>
      <c r="H213" s="9"/>
      <c r="I213" s="9"/>
    </row>
    <row r="214" spans="1:9" ht="15">
      <c r="A214" s="9" t="s">
        <v>644</v>
      </c>
      <c r="B214" s="9"/>
      <c r="C214" s="9"/>
      <c r="D214" s="9"/>
      <c r="E214" s="9"/>
      <c r="F214" s="9"/>
      <c r="G214" s="9"/>
      <c r="H214" s="9"/>
      <c r="I214" s="9"/>
    </row>
    <row r="215" spans="1:9" ht="15">
      <c r="A215" s="9" t="s">
        <v>645</v>
      </c>
      <c r="B215" s="9"/>
      <c r="C215" s="9"/>
      <c r="D215" s="9"/>
      <c r="E215" s="9"/>
      <c r="F215" s="9"/>
      <c r="G215" s="9"/>
      <c r="H215" s="9"/>
      <c r="I215" s="9"/>
    </row>
    <row r="216" spans="1:39" ht="15.75">
      <c r="A216" s="9" t="s">
        <v>646</v>
      </c>
      <c r="B216" s="9"/>
      <c r="C216" s="9"/>
      <c r="D216" s="16">
        <v>400</v>
      </c>
      <c r="E216" s="9" t="s">
        <v>647</v>
      </c>
      <c r="F216" s="9"/>
      <c r="G216" s="9"/>
      <c r="H216" s="9"/>
      <c r="I216" s="9"/>
      <c r="AJ216" s="10" t="s">
        <v>648</v>
      </c>
      <c r="AM216" s="10" t="s">
        <v>649</v>
      </c>
    </row>
    <row r="217" spans="1:40" ht="15">
      <c r="A217" s="114" t="e">
        <f>A61/D216</f>
        <v>#VALUE!</v>
      </c>
      <c r="B217" s="9" t="s">
        <v>650</v>
      </c>
      <c r="C217" s="9"/>
      <c r="D217" s="19">
        <v>3</v>
      </c>
      <c r="E217" s="9" t="s">
        <v>653</v>
      </c>
      <c r="F217" s="9"/>
      <c r="G217" s="9"/>
      <c r="H217" s="114" t="e">
        <f>A217/D217</f>
        <v>#VALUE!</v>
      </c>
      <c r="AK217" s="12" t="s">
        <v>189</v>
      </c>
      <c r="AM217" s="12" t="s">
        <v>654</v>
      </c>
      <c r="AN217" s="12" t="s">
        <v>189</v>
      </c>
    </row>
    <row r="218" spans="1:40" ht="15">
      <c r="A218" s="9" t="s">
        <v>655</v>
      </c>
      <c r="B218" s="13"/>
      <c r="C218" s="9"/>
      <c r="D218" s="9"/>
      <c r="E218" s="9"/>
      <c r="F218" s="9"/>
      <c r="G218" s="9"/>
      <c r="H218" s="13"/>
      <c r="I218" s="9"/>
      <c r="AJ218" s="10" t="s">
        <v>332</v>
      </c>
      <c r="AK218" s="10">
        <v>20</v>
      </c>
      <c r="AM218" s="12" t="s">
        <v>332</v>
      </c>
      <c r="AN218" s="10">
        <v>30</v>
      </c>
    </row>
    <row r="219" spans="1:40" ht="15">
      <c r="A219" s="9"/>
      <c r="B219" s="9"/>
      <c r="C219" s="9"/>
      <c r="D219" s="9"/>
      <c r="E219" s="9"/>
      <c r="F219" s="9"/>
      <c r="G219" s="9"/>
      <c r="H219" s="9"/>
      <c r="I219" s="9"/>
      <c r="AJ219" s="10">
        <v>1</v>
      </c>
      <c r="AK219" s="10">
        <v>20</v>
      </c>
      <c r="AM219" s="10">
        <v>1</v>
      </c>
      <c r="AN219" s="10">
        <v>30</v>
      </c>
    </row>
    <row r="220" spans="1:40" ht="15">
      <c r="A220" s="9" t="s">
        <v>656</v>
      </c>
      <c r="B220" s="9"/>
      <c r="C220" s="9"/>
      <c r="D220" s="9"/>
      <c r="E220" s="9"/>
      <c r="F220" s="9"/>
      <c r="G220" s="9"/>
      <c r="H220" s="9"/>
      <c r="I220" s="9"/>
      <c r="AC220" s="12" t="s">
        <v>636</v>
      </c>
      <c r="AD220" s="12" t="s">
        <v>636</v>
      </c>
      <c r="AE220" s="12" t="s">
        <v>636</v>
      </c>
      <c r="AF220" s="12" t="s">
        <v>637</v>
      </c>
      <c r="AG220" s="12" t="s">
        <v>637</v>
      </c>
      <c r="AH220" s="12" t="s">
        <v>637</v>
      </c>
      <c r="AJ220" s="10">
        <v>10</v>
      </c>
      <c r="AK220" s="10">
        <v>15</v>
      </c>
      <c r="AM220" s="10">
        <v>10</v>
      </c>
      <c r="AN220" s="10">
        <v>20</v>
      </c>
    </row>
    <row r="221" spans="1:40" ht="15">
      <c r="A221" s="9" t="s">
        <v>657</v>
      </c>
      <c r="B221" s="9"/>
      <c r="C221" s="9"/>
      <c r="D221" s="9"/>
      <c r="E221" s="9"/>
      <c r="F221" s="9"/>
      <c r="G221" s="9"/>
      <c r="H221" s="9"/>
      <c r="I221" s="9"/>
      <c r="AA221" s="10" t="s">
        <v>658</v>
      </c>
      <c r="AB221" s="10">
        <v>4</v>
      </c>
      <c r="AC221" s="10">
        <f>VLOOKUP($AB221,$AA$209:$AD$212,2)</f>
        <v>50</v>
      </c>
      <c r="AD221" s="10">
        <f>VLOOKUP($AB221,$AA$209:$AD$212,3)</f>
        <v>10</v>
      </c>
      <c r="AE221" s="10">
        <f>VLOOKUP($AB221,$AA$209:$AD$212,4)</f>
        <v>20</v>
      </c>
      <c r="AF221" s="10">
        <f aca="true" t="shared" si="72" ref="AF221:AF228">VLOOKUP($AB221,$AF$209:$AI$212,2)</f>
        <v>50</v>
      </c>
      <c r="AG221" s="10">
        <f aca="true" t="shared" si="73" ref="AG221:AG228">VLOOKUP($AB221,$AF$209:$AI$212,3)</f>
        <v>10</v>
      </c>
      <c r="AH221" s="10">
        <f aca="true" t="shared" si="74" ref="AH221:AH228">VLOOKUP($AB221,$AF$209:$AI$212,4)</f>
        <v>20</v>
      </c>
      <c r="AJ221" s="10">
        <v>20</v>
      </c>
      <c r="AK221" s="10">
        <v>10</v>
      </c>
      <c r="AM221" s="10">
        <v>20</v>
      </c>
      <c r="AN221" s="10">
        <v>10</v>
      </c>
    </row>
    <row r="222" spans="1:40" ht="15">
      <c r="A222" s="9" t="s">
        <v>659</v>
      </c>
      <c r="B222" s="9"/>
      <c r="C222" s="9"/>
      <c r="D222" s="9"/>
      <c r="E222" s="9"/>
      <c r="F222" s="9"/>
      <c r="G222" s="9"/>
      <c r="H222" s="9"/>
      <c r="I222" s="9"/>
      <c r="AA222" s="10" t="s">
        <v>660</v>
      </c>
      <c r="AB222" s="10">
        <v>2</v>
      </c>
      <c r="AC222" s="10">
        <f aca="true" t="shared" si="75" ref="AC222:AC228">VLOOKUP(AB222,$AA$209:$AD$212,2)</f>
        <v>90</v>
      </c>
      <c r="AD222" s="10">
        <f aca="true" t="shared" si="76" ref="AD222:AD228">VLOOKUP(AC222,$AA$209:$AD$212,3)</f>
        <v>10</v>
      </c>
      <c r="AE222" s="10">
        <f aca="true" t="shared" si="77" ref="AE222:AE228">VLOOKUP(AD222,$AA$209:$AD$212,4)</f>
        <v>20</v>
      </c>
      <c r="AF222" s="10">
        <f t="shared" si="72"/>
        <v>70</v>
      </c>
      <c r="AG222" s="10">
        <f t="shared" si="73"/>
        <v>10</v>
      </c>
      <c r="AH222" s="10">
        <f t="shared" si="74"/>
        <v>20</v>
      </c>
      <c r="AJ222" s="10">
        <v>30</v>
      </c>
      <c r="AK222" s="10">
        <v>0</v>
      </c>
      <c r="AM222" s="10">
        <v>30</v>
      </c>
      <c r="AN222" s="10">
        <v>0</v>
      </c>
    </row>
    <row r="223" spans="1:34" ht="15">
      <c r="A223" s="9" t="s">
        <v>661</v>
      </c>
      <c r="B223" s="9"/>
      <c r="C223" s="9"/>
      <c r="D223" s="9"/>
      <c r="E223" s="9"/>
      <c r="F223" s="9"/>
      <c r="G223" s="9"/>
      <c r="H223" s="9"/>
      <c r="I223" s="9"/>
      <c r="AA223" s="10" t="s">
        <v>662</v>
      </c>
      <c r="AB223" s="10">
        <v>2</v>
      </c>
      <c r="AC223" s="10">
        <f t="shared" si="75"/>
        <v>90</v>
      </c>
      <c r="AD223" s="10">
        <f t="shared" si="76"/>
        <v>10</v>
      </c>
      <c r="AE223" s="10">
        <f t="shared" si="77"/>
        <v>20</v>
      </c>
      <c r="AF223" s="10">
        <f t="shared" si="72"/>
        <v>70</v>
      </c>
      <c r="AG223" s="10">
        <f t="shared" si="73"/>
        <v>10</v>
      </c>
      <c r="AH223" s="10">
        <f t="shared" si="74"/>
        <v>20</v>
      </c>
    </row>
    <row r="224" spans="1:40" ht="15">
      <c r="A224" s="13" t="s">
        <v>663</v>
      </c>
      <c r="B224" s="115"/>
      <c r="C224" s="115"/>
      <c r="D224" s="115"/>
      <c r="E224" s="115"/>
      <c r="F224" s="115"/>
      <c r="G224" s="115"/>
      <c r="H224" s="115"/>
      <c r="I224" s="115"/>
      <c r="AA224" s="10" t="s">
        <v>664</v>
      </c>
      <c r="AB224" s="10">
        <v>4</v>
      </c>
      <c r="AC224" s="10">
        <f t="shared" si="75"/>
        <v>50</v>
      </c>
      <c r="AD224" s="10">
        <f t="shared" si="76"/>
        <v>10</v>
      </c>
      <c r="AE224" s="10">
        <f t="shared" si="77"/>
        <v>20</v>
      </c>
      <c r="AF224" s="10">
        <f t="shared" si="72"/>
        <v>50</v>
      </c>
      <c r="AG224" s="10">
        <f t="shared" si="73"/>
        <v>10</v>
      </c>
      <c r="AH224" s="10">
        <f t="shared" si="74"/>
        <v>20</v>
      </c>
      <c r="AK224" s="12" t="s">
        <v>188</v>
      </c>
      <c r="AM224" s="12" t="s">
        <v>654</v>
      </c>
      <c r="AN224" s="12" t="s">
        <v>188</v>
      </c>
    </row>
    <row r="225" spans="1:40" ht="15">
      <c r="A225" s="13" t="s">
        <v>665</v>
      </c>
      <c r="B225" s="115"/>
      <c r="C225" s="115"/>
      <c r="D225" s="115"/>
      <c r="E225" s="115"/>
      <c r="F225" s="115"/>
      <c r="G225" s="115"/>
      <c r="H225" s="115"/>
      <c r="I225" s="115"/>
      <c r="AA225" s="10" t="s">
        <v>666</v>
      </c>
      <c r="AB225" s="10">
        <v>3</v>
      </c>
      <c r="AC225" s="10">
        <f t="shared" si="75"/>
        <v>70</v>
      </c>
      <c r="AD225" s="10">
        <f t="shared" si="76"/>
        <v>10</v>
      </c>
      <c r="AE225" s="10">
        <f t="shared" si="77"/>
        <v>20</v>
      </c>
      <c r="AF225" s="10">
        <f t="shared" si="72"/>
        <v>60</v>
      </c>
      <c r="AG225" s="10">
        <f t="shared" si="73"/>
        <v>10</v>
      </c>
      <c r="AH225" s="10">
        <f t="shared" si="74"/>
        <v>20</v>
      </c>
      <c r="AJ225" s="10" t="s">
        <v>332</v>
      </c>
      <c r="AK225" s="10">
        <v>80</v>
      </c>
      <c r="AM225" s="12" t="s">
        <v>332</v>
      </c>
      <c r="AN225" s="10">
        <v>100</v>
      </c>
    </row>
    <row r="226" spans="1:40" ht="15">
      <c r="A226" s="13"/>
      <c r="B226" s="115"/>
      <c r="C226" s="115"/>
      <c r="D226" s="115"/>
      <c r="E226" s="115"/>
      <c r="F226" s="115"/>
      <c r="G226" s="115"/>
      <c r="H226" s="115"/>
      <c r="I226" s="115"/>
      <c r="AA226" s="10" t="s">
        <v>667</v>
      </c>
      <c r="AB226" s="10">
        <v>4</v>
      </c>
      <c r="AC226" s="10">
        <f t="shared" si="75"/>
        <v>50</v>
      </c>
      <c r="AD226" s="10">
        <f t="shared" si="76"/>
        <v>10</v>
      </c>
      <c r="AE226" s="10">
        <f t="shared" si="77"/>
        <v>20</v>
      </c>
      <c r="AF226" s="10">
        <f t="shared" si="72"/>
        <v>50</v>
      </c>
      <c r="AG226" s="10">
        <f t="shared" si="73"/>
        <v>10</v>
      </c>
      <c r="AH226" s="10">
        <f t="shared" si="74"/>
        <v>20</v>
      </c>
      <c r="AJ226" s="10">
        <v>1</v>
      </c>
      <c r="AK226" s="10">
        <v>80</v>
      </c>
      <c r="AM226" s="10">
        <v>1</v>
      </c>
      <c r="AN226" s="10">
        <v>100</v>
      </c>
    </row>
    <row r="227" spans="1:40" ht="15">
      <c r="A227" s="115"/>
      <c r="B227" s="115"/>
      <c r="C227" s="115"/>
      <c r="D227" s="115"/>
      <c r="E227" s="115"/>
      <c r="F227" s="115"/>
      <c r="G227" s="115"/>
      <c r="H227" s="115"/>
      <c r="I227" s="115"/>
      <c r="AA227" s="10" t="s">
        <v>668</v>
      </c>
      <c r="AB227" s="10">
        <v>4</v>
      </c>
      <c r="AC227" s="10">
        <f t="shared" si="75"/>
        <v>50</v>
      </c>
      <c r="AD227" s="10">
        <f t="shared" si="76"/>
        <v>10</v>
      </c>
      <c r="AE227" s="10">
        <f t="shared" si="77"/>
        <v>20</v>
      </c>
      <c r="AF227" s="10">
        <f t="shared" si="72"/>
        <v>50</v>
      </c>
      <c r="AG227" s="10">
        <f t="shared" si="73"/>
        <v>10</v>
      </c>
      <c r="AH227" s="10">
        <f t="shared" si="74"/>
        <v>20</v>
      </c>
      <c r="AJ227" s="10">
        <v>100</v>
      </c>
      <c r="AK227" s="10">
        <v>45</v>
      </c>
      <c r="AM227" s="10">
        <v>100</v>
      </c>
      <c r="AN227" s="10">
        <v>75</v>
      </c>
    </row>
    <row r="228" spans="27:40" ht="15">
      <c r="AA228" s="10" t="s">
        <v>669</v>
      </c>
      <c r="AB228" s="10">
        <v>3</v>
      </c>
      <c r="AC228" s="10">
        <f t="shared" si="75"/>
        <v>70</v>
      </c>
      <c r="AD228" s="10">
        <f t="shared" si="76"/>
        <v>10</v>
      </c>
      <c r="AE228" s="10">
        <f t="shared" si="77"/>
        <v>20</v>
      </c>
      <c r="AF228" s="10">
        <f t="shared" si="72"/>
        <v>60</v>
      </c>
      <c r="AG228" s="10">
        <f t="shared" si="73"/>
        <v>10</v>
      </c>
      <c r="AH228" s="10">
        <f t="shared" si="74"/>
        <v>20</v>
      </c>
      <c r="AJ228" s="10">
        <v>200</v>
      </c>
      <c r="AK228" s="10">
        <v>20</v>
      </c>
      <c r="AM228" s="10">
        <v>200</v>
      </c>
      <c r="AN228" s="10">
        <v>50</v>
      </c>
    </row>
    <row r="229" spans="1:40" ht="15.75">
      <c r="A229" s="106" t="s">
        <v>670</v>
      </c>
      <c r="B229" s="9"/>
      <c r="C229" s="9"/>
      <c r="D229" s="9"/>
      <c r="E229" s="9"/>
      <c r="F229" s="9"/>
      <c r="G229" s="9"/>
      <c r="H229" s="9"/>
      <c r="I229" s="9"/>
      <c r="AA229" s="10" t="s">
        <v>671</v>
      </c>
      <c r="AB229" s="10">
        <v>1</v>
      </c>
      <c r="AC229" s="10">
        <f aca="true" t="shared" si="78" ref="AC229:AC243">VLOOKUP(AB229,$AA$209:$AD$212,2)</f>
        <v>115</v>
      </c>
      <c r="AD229" s="10">
        <f aca="true" t="shared" si="79" ref="AD229:AD243">VLOOKUP(AC229,$AA$209:$AD$212,3)</f>
        <v>10</v>
      </c>
      <c r="AE229" s="10">
        <f aca="true" t="shared" si="80" ref="AE229:AE243">VLOOKUP(AD229,$AA$209:$AD$212,4)</f>
        <v>20</v>
      </c>
      <c r="AF229" s="10">
        <f aca="true" t="shared" si="81" ref="AF229:AF243">VLOOKUP($AB229,$AF$209:$AI$212,2)</f>
        <v>95</v>
      </c>
      <c r="AG229" s="10">
        <f aca="true" t="shared" si="82" ref="AG229:AG243">VLOOKUP($AB229,$AF$209:$AI$212,3)</f>
        <v>10</v>
      </c>
      <c r="AH229" s="10">
        <f aca="true" t="shared" si="83" ref="AH229:AH243">VLOOKUP($AB229,$AF$209:$AI$212,4)</f>
        <v>20</v>
      </c>
      <c r="AJ229" s="10">
        <v>300</v>
      </c>
      <c r="AK229" s="10">
        <v>0</v>
      </c>
      <c r="AM229" s="10">
        <v>300</v>
      </c>
      <c r="AN229" s="10">
        <v>0</v>
      </c>
    </row>
    <row r="230" spans="1:34" ht="15">
      <c r="A230" s="9"/>
      <c r="B230" s="9"/>
      <c r="C230" s="9"/>
      <c r="D230" s="9"/>
      <c r="E230" s="9"/>
      <c r="F230" s="9"/>
      <c r="G230" s="9"/>
      <c r="H230" s="9"/>
      <c r="I230" s="9"/>
      <c r="AA230" s="10" t="s">
        <v>672</v>
      </c>
      <c r="AB230" s="10">
        <v>2</v>
      </c>
      <c r="AC230" s="10">
        <f t="shared" si="78"/>
        <v>90</v>
      </c>
      <c r="AD230" s="10">
        <f t="shared" si="79"/>
        <v>10</v>
      </c>
      <c r="AE230" s="10">
        <f t="shared" si="80"/>
        <v>20</v>
      </c>
      <c r="AF230" s="10">
        <f t="shared" si="81"/>
        <v>70</v>
      </c>
      <c r="AG230" s="10">
        <f t="shared" si="82"/>
        <v>10</v>
      </c>
      <c r="AH230" s="10">
        <f t="shared" si="83"/>
        <v>20</v>
      </c>
    </row>
    <row r="231" spans="1:34" ht="15">
      <c r="A231" s="113" t="e">
        <f>G30*202</f>
        <v>#VALUE!</v>
      </c>
      <c r="B231" s="9" t="s">
        <v>673</v>
      </c>
      <c r="C231" s="9"/>
      <c r="D231" s="9"/>
      <c r="E231" s="9"/>
      <c r="F231" s="9"/>
      <c r="G231" s="9"/>
      <c r="H231" s="9"/>
      <c r="I231" s="9"/>
      <c r="AA231" s="10" t="s">
        <v>674</v>
      </c>
      <c r="AB231" s="10">
        <v>2</v>
      </c>
      <c r="AC231" s="10">
        <f t="shared" si="78"/>
        <v>90</v>
      </c>
      <c r="AD231" s="10">
        <f t="shared" si="79"/>
        <v>10</v>
      </c>
      <c r="AE231" s="10">
        <f t="shared" si="80"/>
        <v>20</v>
      </c>
      <c r="AF231" s="10">
        <f t="shared" si="81"/>
        <v>70</v>
      </c>
      <c r="AG231" s="10">
        <f t="shared" si="82"/>
        <v>10</v>
      </c>
      <c r="AH231" s="10">
        <f t="shared" si="83"/>
        <v>20</v>
      </c>
    </row>
    <row r="232" spans="1:34" ht="15">
      <c r="A232" s="9" t="s">
        <v>675</v>
      </c>
      <c r="B232" s="9"/>
      <c r="C232" s="9"/>
      <c r="D232" s="9"/>
      <c r="E232" s="9"/>
      <c r="F232" s="9"/>
      <c r="G232" s="9"/>
      <c r="H232" s="9"/>
      <c r="I232" s="9"/>
      <c r="AA232" s="10" t="s">
        <v>676</v>
      </c>
      <c r="AB232" s="10">
        <v>4</v>
      </c>
      <c r="AC232" s="10">
        <f t="shared" si="78"/>
        <v>50</v>
      </c>
      <c r="AD232" s="10">
        <f t="shared" si="79"/>
        <v>10</v>
      </c>
      <c r="AE232" s="10">
        <f t="shared" si="80"/>
        <v>20</v>
      </c>
      <c r="AF232" s="10">
        <f t="shared" si="81"/>
        <v>50</v>
      </c>
      <c r="AG232" s="10">
        <f t="shared" si="82"/>
        <v>10</v>
      </c>
      <c r="AH232" s="10">
        <f t="shared" si="83"/>
        <v>20</v>
      </c>
    </row>
    <row r="233" spans="1:34" ht="15">
      <c r="A233" s="9" t="s">
        <v>677</v>
      </c>
      <c r="B233" s="9"/>
      <c r="C233" s="9"/>
      <c r="D233" s="9"/>
      <c r="E233" s="9"/>
      <c r="F233" s="9"/>
      <c r="G233" s="9"/>
      <c r="H233" s="9"/>
      <c r="I233" s="9"/>
      <c r="AA233" s="10" t="s">
        <v>678</v>
      </c>
      <c r="AB233" s="10">
        <v>4</v>
      </c>
      <c r="AC233" s="10">
        <f t="shared" si="78"/>
        <v>50</v>
      </c>
      <c r="AD233" s="10">
        <f t="shared" si="79"/>
        <v>10</v>
      </c>
      <c r="AE233" s="10">
        <f t="shared" si="80"/>
        <v>20</v>
      </c>
      <c r="AF233" s="10">
        <f t="shared" si="81"/>
        <v>50</v>
      </c>
      <c r="AG233" s="10">
        <f t="shared" si="82"/>
        <v>10</v>
      </c>
      <c r="AH233" s="10">
        <f t="shared" si="83"/>
        <v>20</v>
      </c>
    </row>
    <row r="234" spans="1:34" ht="15">
      <c r="A234" s="13"/>
      <c r="B234" s="9"/>
      <c r="C234" s="9"/>
      <c r="D234" s="9"/>
      <c r="E234" s="9"/>
      <c r="F234" s="9"/>
      <c r="G234" s="9"/>
      <c r="H234" s="9"/>
      <c r="I234" s="9"/>
      <c r="AA234" s="10" t="s">
        <v>679</v>
      </c>
      <c r="AB234" s="10">
        <v>2</v>
      </c>
      <c r="AC234" s="10">
        <f t="shared" si="78"/>
        <v>90</v>
      </c>
      <c r="AD234" s="10">
        <f t="shared" si="79"/>
        <v>10</v>
      </c>
      <c r="AE234" s="10">
        <f t="shared" si="80"/>
        <v>20</v>
      </c>
      <c r="AF234" s="10">
        <f t="shared" si="81"/>
        <v>70</v>
      </c>
      <c r="AG234" s="10">
        <f t="shared" si="82"/>
        <v>10</v>
      </c>
      <c r="AH234" s="10">
        <f t="shared" si="83"/>
        <v>20</v>
      </c>
    </row>
    <row r="235" spans="1:34" ht="15">
      <c r="A235" s="9" t="s">
        <v>680</v>
      </c>
      <c r="B235" s="9"/>
      <c r="C235" s="9"/>
      <c r="D235" s="9"/>
      <c r="E235" s="9"/>
      <c r="F235" s="9"/>
      <c r="G235" s="9"/>
      <c r="H235" s="9"/>
      <c r="I235" s="9"/>
      <c r="AA235" s="10" t="s">
        <v>681</v>
      </c>
      <c r="AB235" s="10">
        <v>3</v>
      </c>
      <c r="AC235" s="10">
        <f t="shared" si="78"/>
        <v>70</v>
      </c>
      <c r="AD235" s="10">
        <f t="shared" si="79"/>
        <v>10</v>
      </c>
      <c r="AE235" s="10">
        <f t="shared" si="80"/>
        <v>20</v>
      </c>
      <c r="AF235" s="10">
        <f t="shared" si="81"/>
        <v>60</v>
      </c>
      <c r="AG235" s="10">
        <f t="shared" si="82"/>
        <v>10</v>
      </c>
      <c r="AH235" s="10">
        <f t="shared" si="83"/>
        <v>20</v>
      </c>
    </row>
    <row r="236" spans="1:34" ht="15">
      <c r="A236" s="9" t="s">
        <v>682</v>
      </c>
      <c r="B236" s="9"/>
      <c r="C236" s="9"/>
      <c r="D236" s="9"/>
      <c r="E236" s="9"/>
      <c r="F236" s="9"/>
      <c r="G236" s="9"/>
      <c r="H236" s="9"/>
      <c r="I236" s="9"/>
      <c r="AA236" s="10" t="s">
        <v>683</v>
      </c>
      <c r="AB236" s="10">
        <v>2</v>
      </c>
      <c r="AC236" s="10">
        <f t="shared" si="78"/>
        <v>90</v>
      </c>
      <c r="AD236" s="10">
        <f t="shared" si="79"/>
        <v>10</v>
      </c>
      <c r="AE236" s="10">
        <f t="shared" si="80"/>
        <v>20</v>
      </c>
      <c r="AF236" s="10">
        <f t="shared" si="81"/>
        <v>70</v>
      </c>
      <c r="AG236" s="10">
        <f t="shared" si="82"/>
        <v>10</v>
      </c>
      <c r="AH236" s="10">
        <f t="shared" si="83"/>
        <v>20</v>
      </c>
    </row>
    <row r="237" spans="1:34" ht="15">
      <c r="A237" s="13"/>
      <c r="B237" s="9"/>
      <c r="C237" s="9"/>
      <c r="D237" s="9"/>
      <c r="E237" s="9"/>
      <c r="F237" s="9"/>
      <c r="G237" s="9"/>
      <c r="H237" s="9"/>
      <c r="I237" s="9"/>
      <c r="AA237" s="10" t="s">
        <v>684</v>
      </c>
      <c r="AB237" s="10">
        <v>4</v>
      </c>
      <c r="AC237" s="10">
        <f t="shared" si="78"/>
        <v>50</v>
      </c>
      <c r="AD237" s="10">
        <f t="shared" si="79"/>
        <v>10</v>
      </c>
      <c r="AE237" s="10">
        <f t="shared" si="80"/>
        <v>20</v>
      </c>
      <c r="AF237" s="10">
        <f t="shared" si="81"/>
        <v>50</v>
      </c>
      <c r="AG237" s="10">
        <f t="shared" si="82"/>
        <v>10</v>
      </c>
      <c r="AH237" s="10">
        <f t="shared" si="83"/>
        <v>20</v>
      </c>
    </row>
    <row r="238" spans="1:34" ht="15">
      <c r="A238" s="9" t="s">
        <v>685</v>
      </c>
      <c r="B238" s="9"/>
      <c r="C238" s="9"/>
      <c r="D238" s="9"/>
      <c r="E238" s="9"/>
      <c r="F238" s="9"/>
      <c r="G238" s="9"/>
      <c r="H238" s="9"/>
      <c r="I238" s="9"/>
      <c r="AA238" s="10" t="s">
        <v>686</v>
      </c>
      <c r="AB238" s="10">
        <v>1</v>
      </c>
      <c r="AC238" s="10">
        <f t="shared" si="78"/>
        <v>115</v>
      </c>
      <c r="AD238" s="10">
        <f t="shared" si="79"/>
        <v>10</v>
      </c>
      <c r="AE238" s="10">
        <f t="shared" si="80"/>
        <v>20</v>
      </c>
      <c r="AF238" s="10">
        <f t="shared" si="81"/>
        <v>95</v>
      </c>
      <c r="AG238" s="10">
        <f t="shared" si="82"/>
        <v>10</v>
      </c>
      <c r="AH238" s="10">
        <f t="shared" si="83"/>
        <v>20</v>
      </c>
    </row>
    <row r="239" spans="1:34" ht="15">
      <c r="A239" s="9" t="s">
        <v>687</v>
      </c>
      <c r="B239" s="9"/>
      <c r="C239" s="9"/>
      <c r="D239" s="9"/>
      <c r="E239" s="9"/>
      <c r="F239" s="9"/>
      <c r="G239" s="9"/>
      <c r="H239" s="9"/>
      <c r="I239" s="9"/>
      <c r="AA239" s="10" t="s">
        <v>688</v>
      </c>
      <c r="AB239" s="10">
        <v>4</v>
      </c>
      <c r="AC239" s="10">
        <f t="shared" si="78"/>
        <v>50</v>
      </c>
      <c r="AD239" s="10">
        <f t="shared" si="79"/>
        <v>10</v>
      </c>
      <c r="AE239" s="10">
        <f t="shared" si="80"/>
        <v>20</v>
      </c>
      <c r="AF239" s="10">
        <f t="shared" si="81"/>
        <v>50</v>
      </c>
      <c r="AG239" s="10">
        <f t="shared" si="82"/>
        <v>10</v>
      </c>
      <c r="AH239" s="10">
        <f t="shared" si="83"/>
        <v>20</v>
      </c>
    </row>
    <row r="240" spans="1:34" ht="15">
      <c r="A240" s="9" t="s">
        <v>659</v>
      </c>
      <c r="B240" s="9"/>
      <c r="C240" s="9"/>
      <c r="D240" s="9"/>
      <c r="E240" s="9"/>
      <c r="F240" s="9"/>
      <c r="G240" s="9"/>
      <c r="H240" s="9"/>
      <c r="I240" s="9"/>
      <c r="AA240" s="10" t="s">
        <v>689</v>
      </c>
      <c r="AB240" s="10">
        <v>2</v>
      </c>
      <c r="AC240" s="10">
        <f t="shared" si="78"/>
        <v>90</v>
      </c>
      <c r="AD240" s="10">
        <f t="shared" si="79"/>
        <v>10</v>
      </c>
      <c r="AE240" s="10">
        <f t="shared" si="80"/>
        <v>20</v>
      </c>
      <c r="AF240" s="10">
        <f t="shared" si="81"/>
        <v>70</v>
      </c>
      <c r="AG240" s="10">
        <f t="shared" si="82"/>
        <v>10</v>
      </c>
      <c r="AH240" s="10">
        <f t="shared" si="83"/>
        <v>20</v>
      </c>
    </row>
    <row r="241" spans="1:34" ht="15">
      <c r="A241" s="9" t="s">
        <v>661</v>
      </c>
      <c r="B241" s="9"/>
      <c r="C241" s="9"/>
      <c r="D241" s="9"/>
      <c r="E241" s="9"/>
      <c r="F241" s="9"/>
      <c r="G241" s="9"/>
      <c r="H241" s="9"/>
      <c r="I241" s="9"/>
      <c r="AA241" s="10" t="s">
        <v>690</v>
      </c>
      <c r="AB241" s="10">
        <v>4</v>
      </c>
      <c r="AC241" s="10">
        <f t="shared" si="78"/>
        <v>50</v>
      </c>
      <c r="AD241" s="10">
        <f t="shared" si="79"/>
        <v>10</v>
      </c>
      <c r="AE241" s="10">
        <f t="shared" si="80"/>
        <v>20</v>
      </c>
      <c r="AF241" s="10">
        <f t="shared" si="81"/>
        <v>50</v>
      </c>
      <c r="AG241" s="10">
        <f t="shared" si="82"/>
        <v>10</v>
      </c>
      <c r="AH241" s="10">
        <f t="shared" si="83"/>
        <v>20</v>
      </c>
    </row>
    <row r="242" spans="1:34" ht="15">
      <c r="A242" s="9" t="s">
        <v>691</v>
      </c>
      <c r="B242" s="9"/>
      <c r="C242" s="9"/>
      <c r="D242" s="9"/>
      <c r="E242" s="9"/>
      <c r="F242" s="9"/>
      <c r="G242" s="9"/>
      <c r="H242" s="9"/>
      <c r="I242" s="9"/>
      <c r="AA242" s="10" t="s">
        <v>692</v>
      </c>
      <c r="AB242" s="10">
        <v>3</v>
      </c>
      <c r="AC242" s="10">
        <f t="shared" si="78"/>
        <v>70</v>
      </c>
      <c r="AD242" s="10">
        <f t="shared" si="79"/>
        <v>10</v>
      </c>
      <c r="AE242" s="10">
        <f t="shared" si="80"/>
        <v>20</v>
      </c>
      <c r="AF242" s="10">
        <f t="shared" si="81"/>
        <v>60</v>
      </c>
      <c r="AG242" s="10">
        <f t="shared" si="82"/>
        <v>10</v>
      </c>
      <c r="AH242" s="10">
        <f t="shared" si="83"/>
        <v>20</v>
      </c>
    </row>
    <row r="243" spans="1:34" ht="15">
      <c r="A243" s="13" t="s">
        <v>693</v>
      </c>
      <c r="B243" s="9"/>
      <c r="C243" s="9"/>
      <c r="D243" s="9"/>
      <c r="E243" s="9"/>
      <c r="F243" s="9"/>
      <c r="G243" s="9"/>
      <c r="H243" s="9"/>
      <c r="I243" s="9"/>
      <c r="AA243" s="10" t="s">
        <v>694</v>
      </c>
      <c r="AB243" s="10">
        <v>2</v>
      </c>
      <c r="AC243" s="10">
        <f t="shared" si="78"/>
        <v>90</v>
      </c>
      <c r="AD243" s="10">
        <f t="shared" si="79"/>
        <v>10</v>
      </c>
      <c r="AE243" s="10">
        <f t="shared" si="80"/>
        <v>20</v>
      </c>
      <c r="AF243" s="10">
        <f t="shared" si="81"/>
        <v>70</v>
      </c>
      <c r="AG243" s="10">
        <f t="shared" si="82"/>
        <v>10</v>
      </c>
      <c r="AH243" s="10">
        <f t="shared" si="83"/>
        <v>20</v>
      </c>
    </row>
    <row r="244" spans="1:9" ht="15">
      <c r="A244" s="13"/>
      <c r="B244" s="9"/>
      <c r="C244" s="9"/>
      <c r="D244" s="9"/>
      <c r="E244" s="9"/>
      <c r="F244" s="9"/>
      <c r="G244" s="9"/>
      <c r="H244" s="9"/>
      <c r="I244" s="9"/>
    </row>
    <row r="245" spans="1:34" ht="15">
      <c r="A245" s="14" t="s">
        <v>695</v>
      </c>
      <c r="B245" s="113" t="e">
        <f>F93</f>
        <v>#VALUE!</v>
      </c>
      <c r="C245" s="9" t="s">
        <v>696</v>
      </c>
      <c r="D245" s="9"/>
      <c r="E245" s="9"/>
      <c r="F245" s="9"/>
      <c r="G245" s="9"/>
      <c r="H245" s="9"/>
      <c r="I245" s="9"/>
      <c r="AA245" s="10" t="s">
        <v>697</v>
      </c>
      <c r="AB245" s="10">
        <v>3</v>
      </c>
      <c r="AC245" s="10">
        <f aca="true" t="shared" si="84" ref="AC245:AC278">VLOOKUP(AB245,$AA$209:$AD$212,2)</f>
        <v>70</v>
      </c>
      <c r="AD245" s="10">
        <f aca="true" t="shared" si="85" ref="AD245:AD278">VLOOKUP(AC245,$AA$209:$AD$212,3)</f>
        <v>10</v>
      </c>
      <c r="AE245" s="10">
        <f aca="true" t="shared" si="86" ref="AE245:AE278">VLOOKUP(AD245,$AA$209:$AD$212,4)</f>
        <v>20</v>
      </c>
      <c r="AF245" s="10">
        <f aca="true" t="shared" si="87" ref="AF245:AF278">VLOOKUP($AB245,$AF$209:$AI$212,2)</f>
        <v>60</v>
      </c>
      <c r="AG245" s="10">
        <f aca="true" t="shared" si="88" ref="AG245:AG278">VLOOKUP($AB245,$AF$209:$AI$212,3)</f>
        <v>10</v>
      </c>
      <c r="AH245" s="10">
        <f aca="true" t="shared" si="89" ref="AH245:AH278">VLOOKUP($AB245,$AF$209:$AI$212,4)</f>
        <v>20</v>
      </c>
    </row>
    <row r="246" spans="1:34" ht="15">
      <c r="A246" s="9" t="s">
        <v>698</v>
      </c>
      <c r="B246" s="9"/>
      <c r="C246" s="9"/>
      <c r="D246" s="9"/>
      <c r="E246" s="9"/>
      <c r="F246" s="9"/>
      <c r="G246" s="9"/>
      <c r="H246" s="9"/>
      <c r="I246" s="9"/>
      <c r="AA246" s="10" t="s">
        <v>699</v>
      </c>
      <c r="AB246" s="10">
        <v>3</v>
      </c>
      <c r="AC246" s="10">
        <f t="shared" si="84"/>
        <v>70</v>
      </c>
      <c r="AD246" s="10">
        <f t="shared" si="85"/>
        <v>10</v>
      </c>
      <c r="AE246" s="10">
        <f t="shared" si="86"/>
        <v>20</v>
      </c>
      <c r="AF246" s="10">
        <f t="shared" si="87"/>
        <v>60</v>
      </c>
      <c r="AG246" s="10">
        <f t="shared" si="88"/>
        <v>10</v>
      </c>
      <c r="AH246" s="10">
        <f t="shared" si="89"/>
        <v>20</v>
      </c>
    </row>
    <row r="247" spans="1:34" ht="15">
      <c r="A247" s="113" t="e">
        <f>((G30*27/43560)*12)/0.5</f>
        <v>#VALUE!</v>
      </c>
      <c r="B247" s="9" t="s">
        <v>700</v>
      </c>
      <c r="C247" s="9"/>
      <c r="D247" s="13"/>
      <c r="E247" s="13"/>
      <c r="F247" s="9"/>
      <c r="G247" s="9"/>
      <c r="H247" s="9"/>
      <c r="I247" s="9"/>
      <c r="AA247" s="10" t="s">
        <v>701</v>
      </c>
      <c r="AB247" s="10">
        <v>3</v>
      </c>
      <c r="AC247" s="10">
        <f t="shared" si="84"/>
        <v>70</v>
      </c>
      <c r="AD247" s="10">
        <f t="shared" si="85"/>
        <v>10</v>
      </c>
      <c r="AE247" s="10">
        <f t="shared" si="86"/>
        <v>20</v>
      </c>
      <c r="AF247" s="10">
        <f t="shared" si="87"/>
        <v>60</v>
      </c>
      <c r="AG247" s="10">
        <f t="shared" si="88"/>
        <v>10</v>
      </c>
      <c r="AH247" s="10">
        <f t="shared" si="89"/>
        <v>20</v>
      </c>
    </row>
    <row r="248" spans="1:34" ht="15">
      <c r="A248" s="9" t="s">
        <v>705</v>
      </c>
      <c r="B248" s="9"/>
      <c r="C248" s="9"/>
      <c r="D248" s="9"/>
      <c r="E248" s="9"/>
      <c r="F248" s="9"/>
      <c r="G248" s="9"/>
      <c r="H248" s="9"/>
      <c r="I248" s="9"/>
      <c r="AA248" s="10" t="s">
        <v>706</v>
      </c>
      <c r="AB248" s="10">
        <v>4</v>
      </c>
      <c r="AC248" s="10">
        <f t="shared" si="84"/>
        <v>50</v>
      </c>
      <c r="AD248" s="10">
        <f t="shared" si="85"/>
        <v>10</v>
      </c>
      <c r="AE248" s="10">
        <f t="shared" si="86"/>
        <v>20</v>
      </c>
      <c r="AF248" s="10">
        <f t="shared" si="87"/>
        <v>50</v>
      </c>
      <c r="AG248" s="10">
        <f t="shared" si="88"/>
        <v>10</v>
      </c>
      <c r="AH248" s="10">
        <f t="shared" si="89"/>
        <v>20</v>
      </c>
    </row>
    <row r="249" spans="1:34" ht="15">
      <c r="A249" s="9" t="s">
        <v>707</v>
      </c>
      <c r="B249" s="9"/>
      <c r="C249" s="9"/>
      <c r="D249" s="9"/>
      <c r="E249" s="9"/>
      <c r="F249" s="9"/>
      <c r="G249" s="9"/>
      <c r="H249" s="9"/>
      <c r="I249" s="9"/>
      <c r="AA249" s="10" t="s">
        <v>708</v>
      </c>
      <c r="AB249" s="10">
        <v>3</v>
      </c>
      <c r="AC249" s="10">
        <f t="shared" si="84"/>
        <v>70</v>
      </c>
      <c r="AD249" s="10">
        <f t="shared" si="85"/>
        <v>10</v>
      </c>
      <c r="AE249" s="10">
        <f t="shared" si="86"/>
        <v>20</v>
      </c>
      <c r="AF249" s="10">
        <f t="shared" si="87"/>
        <v>60</v>
      </c>
      <c r="AG249" s="10">
        <f t="shared" si="88"/>
        <v>10</v>
      </c>
      <c r="AH249" s="10">
        <f t="shared" si="89"/>
        <v>20</v>
      </c>
    </row>
    <row r="250" spans="1:34" ht="15">
      <c r="A250" s="13"/>
      <c r="B250" s="9"/>
      <c r="C250" s="9"/>
      <c r="D250" s="9"/>
      <c r="E250" s="9"/>
      <c r="F250" s="9"/>
      <c r="G250" s="9"/>
      <c r="H250" s="9"/>
      <c r="I250" s="9"/>
      <c r="AA250" s="10" t="s">
        <v>709</v>
      </c>
      <c r="AB250" s="10">
        <v>4</v>
      </c>
      <c r="AC250" s="10">
        <f t="shared" si="84"/>
        <v>50</v>
      </c>
      <c r="AD250" s="10">
        <f t="shared" si="85"/>
        <v>10</v>
      </c>
      <c r="AE250" s="10">
        <f t="shared" si="86"/>
        <v>20</v>
      </c>
      <c r="AF250" s="10">
        <f t="shared" si="87"/>
        <v>50</v>
      </c>
      <c r="AG250" s="10">
        <f t="shared" si="88"/>
        <v>10</v>
      </c>
      <c r="AH250" s="10">
        <f t="shared" si="89"/>
        <v>20</v>
      </c>
    </row>
    <row r="251" spans="27:34" ht="15">
      <c r="AA251" s="10" t="s">
        <v>710</v>
      </c>
      <c r="AB251" s="10">
        <v>4</v>
      </c>
      <c r="AC251" s="10">
        <f t="shared" si="84"/>
        <v>50</v>
      </c>
      <c r="AD251" s="10">
        <f t="shared" si="85"/>
        <v>10</v>
      </c>
      <c r="AE251" s="10">
        <f t="shared" si="86"/>
        <v>20</v>
      </c>
      <c r="AF251" s="10">
        <f t="shared" si="87"/>
        <v>50</v>
      </c>
      <c r="AG251" s="10">
        <f t="shared" si="88"/>
        <v>10</v>
      </c>
      <c r="AH251" s="10">
        <f t="shared" si="89"/>
        <v>20</v>
      </c>
    </row>
    <row r="252" spans="27:34" ht="15">
      <c r="AA252" s="10" t="s">
        <v>711</v>
      </c>
      <c r="AB252" s="10">
        <v>4</v>
      </c>
      <c r="AC252" s="10">
        <f t="shared" si="84"/>
        <v>50</v>
      </c>
      <c r="AD252" s="10">
        <f t="shared" si="85"/>
        <v>10</v>
      </c>
      <c r="AE252" s="10">
        <f t="shared" si="86"/>
        <v>20</v>
      </c>
      <c r="AF252" s="10">
        <f t="shared" si="87"/>
        <v>50</v>
      </c>
      <c r="AG252" s="10">
        <f t="shared" si="88"/>
        <v>10</v>
      </c>
      <c r="AH252" s="10">
        <f t="shared" si="89"/>
        <v>20</v>
      </c>
    </row>
    <row r="253" spans="1:34" ht="15.75">
      <c r="A253" s="67" t="s">
        <v>712</v>
      </c>
      <c r="AA253" s="10" t="s">
        <v>713</v>
      </c>
      <c r="AB253" s="10">
        <v>2</v>
      </c>
      <c r="AC253" s="10">
        <f t="shared" si="84"/>
        <v>90</v>
      </c>
      <c r="AD253" s="10">
        <f t="shared" si="85"/>
        <v>10</v>
      </c>
      <c r="AE253" s="10">
        <f t="shared" si="86"/>
        <v>20</v>
      </c>
      <c r="AF253" s="10">
        <f t="shared" si="87"/>
        <v>70</v>
      </c>
      <c r="AG253" s="10">
        <f t="shared" si="88"/>
        <v>10</v>
      </c>
      <c r="AH253" s="10">
        <f t="shared" si="89"/>
        <v>20</v>
      </c>
    </row>
    <row r="254" spans="1:34" ht="15">
      <c r="A254" s="10" t="s">
        <v>714</v>
      </c>
      <c r="AA254" s="10" t="s">
        <v>715</v>
      </c>
      <c r="AB254" s="10">
        <v>4</v>
      </c>
      <c r="AC254" s="10">
        <f t="shared" si="84"/>
        <v>50</v>
      </c>
      <c r="AD254" s="10">
        <f t="shared" si="85"/>
        <v>10</v>
      </c>
      <c r="AE254" s="10">
        <f t="shared" si="86"/>
        <v>20</v>
      </c>
      <c r="AF254" s="10">
        <f t="shared" si="87"/>
        <v>50</v>
      </c>
      <c r="AG254" s="10">
        <f t="shared" si="88"/>
        <v>10</v>
      </c>
      <c r="AH254" s="10">
        <f t="shared" si="89"/>
        <v>20</v>
      </c>
    </row>
    <row r="255" spans="1:34" ht="15">
      <c r="A255" s="10" t="s">
        <v>716</v>
      </c>
      <c r="AA255" s="10" t="s">
        <v>717</v>
      </c>
      <c r="AB255" s="10">
        <v>1</v>
      </c>
      <c r="AC255" s="10">
        <f t="shared" si="84"/>
        <v>115</v>
      </c>
      <c r="AD255" s="10">
        <f t="shared" si="85"/>
        <v>10</v>
      </c>
      <c r="AE255" s="10">
        <f t="shared" si="86"/>
        <v>20</v>
      </c>
      <c r="AF255" s="10">
        <f t="shared" si="87"/>
        <v>95</v>
      </c>
      <c r="AG255" s="10">
        <f t="shared" si="88"/>
        <v>10</v>
      </c>
      <c r="AH255" s="10">
        <f t="shared" si="89"/>
        <v>20</v>
      </c>
    </row>
    <row r="256" spans="1:34" ht="15">
      <c r="A256" s="10" t="s">
        <v>750</v>
      </c>
      <c r="AA256" s="10" t="s">
        <v>751</v>
      </c>
      <c r="AB256" s="10">
        <v>3</v>
      </c>
      <c r="AC256" s="10">
        <f t="shared" si="84"/>
        <v>70</v>
      </c>
      <c r="AD256" s="10">
        <f t="shared" si="85"/>
        <v>10</v>
      </c>
      <c r="AE256" s="10">
        <f t="shared" si="86"/>
        <v>20</v>
      </c>
      <c r="AF256" s="10">
        <f t="shared" si="87"/>
        <v>60</v>
      </c>
      <c r="AG256" s="10">
        <f t="shared" si="88"/>
        <v>10</v>
      </c>
      <c r="AH256" s="10">
        <f t="shared" si="89"/>
        <v>20</v>
      </c>
    </row>
    <row r="257" spans="27:34" ht="15">
      <c r="AA257" s="10" t="s">
        <v>752</v>
      </c>
      <c r="AB257" s="10">
        <v>2</v>
      </c>
      <c r="AC257" s="10">
        <f t="shared" si="84"/>
        <v>90</v>
      </c>
      <c r="AD257" s="10">
        <f t="shared" si="85"/>
        <v>10</v>
      </c>
      <c r="AE257" s="10">
        <f t="shared" si="86"/>
        <v>20</v>
      </c>
      <c r="AF257" s="10">
        <f t="shared" si="87"/>
        <v>70</v>
      </c>
      <c r="AG257" s="10">
        <f t="shared" si="88"/>
        <v>10</v>
      </c>
      <c r="AH257" s="10">
        <f t="shared" si="89"/>
        <v>20</v>
      </c>
    </row>
    <row r="258" spans="1:34" ht="15.75">
      <c r="A258" s="67" t="s">
        <v>753</v>
      </c>
      <c r="AA258" s="10" t="s">
        <v>754</v>
      </c>
      <c r="AB258" s="10">
        <v>2</v>
      </c>
      <c r="AC258" s="10">
        <f t="shared" si="84"/>
        <v>90</v>
      </c>
      <c r="AD258" s="10">
        <f t="shared" si="85"/>
        <v>10</v>
      </c>
      <c r="AE258" s="10">
        <f t="shared" si="86"/>
        <v>20</v>
      </c>
      <c r="AF258" s="10">
        <f t="shared" si="87"/>
        <v>70</v>
      </c>
      <c r="AG258" s="10">
        <f t="shared" si="88"/>
        <v>10</v>
      </c>
      <c r="AH258" s="10">
        <f t="shared" si="89"/>
        <v>20</v>
      </c>
    </row>
    <row r="259" spans="1:34" ht="15">
      <c r="A259" s="10" t="s">
        <v>755</v>
      </c>
      <c r="AA259" s="10" t="s">
        <v>756</v>
      </c>
      <c r="AB259" s="10">
        <v>3</v>
      </c>
      <c r="AC259" s="10">
        <f t="shared" si="84"/>
        <v>70</v>
      </c>
      <c r="AD259" s="10">
        <f t="shared" si="85"/>
        <v>10</v>
      </c>
      <c r="AE259" s="10">
        <f t="shared" si="86"/>
        <v>20</v>
      </c>
      <c r="AF259" s="10">
        <f t="shared" si="87"/>
        <v>60</v>
      </c>
      <c r="AG259" s="10">
        <f t="shared" si="88"/>
        <v>10</v>
      </c>
      <c r="AH259" s="10">
        <f t="shared" si="89"/>
        <v>20</v>
      </c>
    </row>
    <row r="260" spans="1:34" ht="15">
      <c r="A260" s="10" t="s">
        <v>757</v>
      </c>
      <c r="AA260" s="10" t="s">
        <v>760</v>
      </c>
      <c r="AB260" s="10">
        <v>1</v>
      </c>
      <c r="AC260" s="10">
        <f t="shared" si="84"/>
        <v>115</v>
      </c>
      <c r="AD260" s="10">
        <f t="shared" si="85"/>
        <v>10</v>
      </c>
      <c r="AE260" s="10">
        <f t="shared" si="86"/>
        <v>20</v>
      </c>
      <c r="AF260" s="10">
        <f t="shared" si="87"/>
        <v>95</v>
      </c>
      <c r="AG260" s="10">
        <f t="shared" si="88"/>
        <v>10</v>
      </c>
      <c r="AH260" s="10">
        <f t="shared" si="89"/>
        <v>20</v>
      </c>
    </row>
    <row r="261" spans="1:34" ht="15">
      <c r="A261" s="10" t="s">
        <v>763</v>
      </c>
      <c r="AA261" s="10" t="s">
        <v>764</v>
      </c>
      <c r="AB261" s="10">
        <v>3</v>
      </c>
      <c r="AC261" s="10">
        <f t="shared" si="84"/>
        <v>70</v>
      </c>
      <c r="AD261" s="10">
        <f t="shared" si="85"/>
        <v>10</v>
      </c>
      <c r="AE261" s="10">
        <f t="shared" si="86"/>
        <v>20</v>
      </c>
      <c r="AF261" s="10">
        <f t="shared" si="87"/>
        <v>60</v>
      </c>
      <c r="AG261" s="10">
        <f t="shared" si="88"/>
        <v>10</v>
      </c>
      <c r="AH261" s="10">
        <f t="shared" si="89"/>
        <v>20</v>
      </c>
    </row>
    <row r="262" spans="1:34" ht="15">
      <c r="A262" s="10" t="s">
        <v>765</v>
      </c>
      <c r="AA262" s="10" t="s">
        <v>766</v>
      </c>
      <c r="AB262" s="10">
        <v>2</v>
      </c>
      <c r="AC262" s="10">
        <f t="shared" si="84"/>
        <v>90</v>
      </c>
      <c r="AD262" s="10">
        <f t="shared" si="85"/>
        <v>10</v>
      </c>
      <c r="AE262" s="10">
        <f t="shared" si="86"/>
        <v>20</v>
      </c>
      <c r="AF262" s="10">
        <f t="shared" si="87"/>
        <v>70</v>
      </c>
      <c r="AG262" s="10">
        <f t="shared" si="88"/>
        <v>10</v>
      </c>
      <c r="AH262" s="10">
        <f t="shared" si="89"/>
        <v>20</v>
      </c>
    </row>
    <row r="263" spans="27:34" ht="15">
      <c r="AA263" s="10" t="s">
        <v>767</v>
      </c>
      <c r="AB263" s="10">
        <v>3</v>
      </c>
      <c r="AC263" s="10">
        <f t="shared" si="84"/>
        <v>70</v>
      </c>
      <c r="AD263" s="10">
        <f t="shared" si="85"/>
        <v>10</v>
      </c>
      <c r="AE263" s="10">
        <f t="shared" si="86"/>
        <v>20</v>
      </c>
      <c r="AF263" s="10">
        <f t="shared" si="87"/>
        <v>60</v>
      </c>
      <c r="AG263" s="10">
        <f t="shared" si="88"/>
        <v>10</v>
      </c>
      <c r="AH263" s="10">
        <f t="shared" si="89"/>
        <v>20</v>
      </c>
    </row>
    <row r="264" spans="1:34" ht="15.75">
      <c r="A264" s="67" t="s">
        <v>768</v>
      </c>
      <c r="AA264" s="10" t="s">
        <v>769</v>
      </c>
      <c r="AB264" s="10">
        <v>4</v>
      </c>
      <c r="AC264" s="10">
        <f t="shared" si="84"/>
        <v>50</v>
      </c>
      <c r="AD264" s="10">
        <f t="shared" si="85"/>
        <v>10</v>
      </c>
      <c r="AE264" s="10">
        <f t="shared" si="86"/>
        <v>20</v>
      </c>
      <c r="AF264" s="10">
        <f t="shared" si="87"/>
        <v>50</v>
      </c>
      <c r="AG264" s="10">
        <f t="shared" si="88"/>
        <v>10</v>
      </c>
      <c r="AH264" s="10">
        <f t="shared" si="89"/>
        <v>20</v>
      </c>
    </row>
    <row r="265" spans="1:34" ht="15">
      <c r="A265" s="10" t="s">
        <v>770</v>
      </c>
      <c r="AA265" s="10" t="s">
        <v>771</v>
      </c>
      <c r="AB265" s="10">
        <v>4</v>
      </c>
      <c r="AC265" s="10">
        <f t="shared" si="84"/>
        <v>50</v>
      </c>
      <c r="AD265" s="10">
        <f t="shared" si="85"/>
        <v>10</v>
      </c>
      <c r="AE265" s="10">
        <f t="shared" si="86"/>
        <v>20</v>
      </c>
      <c r="AF265" s="10">
        <f t="shared" si="87"/>
        <v>50</v>
      </c>
      <c r="AG265" s="10">
        <f t="shared" si="88"/>
        <v>10</v>
      </c>
      <c r="AH265" s="10">
        <f t="shared" si="89"/>
        <v>20</v>
      </c>
    </row>
    <row r="266" spans="1:34" ht="15">
      <c r="A266" s="10" t="s">
        <v>772</v>
      </c>
      <c r="AA266" s="10" t="s">
        <v>773</v>
      </c>
      <c r="AB266" s="10">
        <v>4</v>
      </c>
      <c r="AC266" s="10">
        <f t="shared" si="84"/>
        <v>50</v>
      </c>
      <c r="AD266" s="10">
        <f t="shared" si="85"/>
        <v>10</v>
      </c>
      <c r="AE266" s="10">
        <f t="shared" si="86"/>
        <v>20</v>
      </c>
      <c r="AF266" s="10">
        <f t="shared" si="87"/>
        <v>50</v>
      </c>
      <c r="AG266" s="10">
        <f t="shared" si="88"/>
        <v>10</v>
      </c>
      <c r="AH266" s="10">
        <f t="shared" si="89"/>
        <v>20</v>
      </c>
    </row>
    <row r="267" spans="1:34" ht="15">
      <c r="A267" s="10" t="s">
        <v>774</v>
      </c>
      <c r="AA267" s="10" t="s">
        <v>775</v>
      </c>
      <c r="AB267" s="10">
        <v>3</v>
      </c>
      <c r="AC267" s="10">
        <f t="shared" si="84"/>
        <v>70</v>
      </c>
      <c r="AD267" s="10">
        <f t="shared" si="85"/>
        <v>10</v>
      </c>
      <c r="AE267" s="10">
        <f t="shared" si="86"/>
        <v>20</v>
      </c>
      <c r="AF267" s="10">
        <f t="shared" si="87"/>
        <v>60</v>
      </c>
      <c r="AG267" s="10">
        <f t="shared" si="88"/>
        <v>10</v>
      </c>
      <c r="AH267" s="10">
        <f t="shared" si="89"/>
        <v>20</v>
      </c>
    </row>
    <row r="268" spans="1:34" ht="15">
      <c r="A268" s="10" t="s">
        <v>776</v>
      </c>
      <c r="AA268" s="10" t="s">
        <v>777</v>
      </c>
      <c r="AB268" s="10">
        <v>2</v>
      </c>
      <c r="AC268" s="10">
        <f t="shared" si="84"/>
        <v>90</v>
      </c>
      <c r="AD268" s="10">
        <f t="shared" si="85"/>
        <v>10</v>
      </c>
      <c r="AE268" s="10">
        <f t="shared" si="86"/>
        <v>20</v>
      </c>
      <c r="AF268" s="10">
        <f t="shared" si="87"/>
        <v>70</v>
      </c>
      <c r="AG268" s="10">
        <f t="shared" si="88"/>
        <v>10</v>
      </c>
      <c r="AH268" s="10">
        <f t="shared" si="89"/>
        <v>20</v>
      </c>
    </row>
    <row r="269" spans="27:34" ht="15">
      <c r="AA269" s="10" t="s">
        <v>778</v>
      </c>
      <c r="AB269" s="10">
        <v>2</v>
      </c>
      <c r="AC269" s="10">
        <f t="shared" si="84"/>
        <v>90</v>
      </c>
      <c r="AD269" s="10">
        <f t="shared" si="85"/>
        <v>10</v>
      </c>
      <c r="AE269" s="10">
        <f t="shared" si="86"/>
        <v>20</v>
      </c>
      <c r="AF269" s="10">
        <f t="shared" si="87"/>
        <v>70</v>
      </c>
      <c r="AG269" s="10">
        <f t="shared" si="88"/>
        <v>10</v>
      </c>
      <c r="AH269" s="10">
        <f t="shared" si="89"/>
        <v>20</v>
      </c>
    </row>
    <row r="270" spans="27:34" ht="15">
      <c r="AA270" s="10" t="s">
        <v>779</v>
      </c>
      <c r="AB270" s="10">
        <v>1</v>
      </c>
      <c r="AC270" s="10">
        <f t="shared" si="84"/>
        <v>115</v>
      </c>
      <c r="AD270" s="10">
        <f t="shared" si="85"/>
        <v>10</v>
      </c>
      <c r="AE270" s="10">
        <f t="shared" si="86"/>
        <v>20</v>
      </c>
      <c r="AF270" s="10">
        <f t="shared" si="87"/>
        <v>95</v>
      </c>
      <c r="AG270" s="10">
        <f t="shared" si="88"/>
        <v>10</v>
      </c>
      <c r="AH270" s="10">
        <f t="shared" si="89"/>
        <v>20</v>
      </c>
    </row>
    <row r="271" spans="27:34" ht="15">
      <c r="AA271" s="10" t="s">
        <v>780</v>
      </c>
      <c r="AB271" s="10">
        <v>1</v>
      </c>
      <c r="AC271" s="10">
        <f t="shared" si="84"/>
        <v>115</v>
      </c>
      <c r="AD271" s="10">
        <f t="shared" si="85"/>
        <v>10</v>
      </c>
      <c r="AE271" s="10">
        <f t="shared" si="86"/>
        <v>20</v>
      </c>
      <c r="AF271" s="10">
        <f t="shared" si="87"/>
        <v>95</v>
      </c>
      <c r="AG271" s="10">
        <f t="shared" si="88"/>
        <v>10</v>
      </c>
      <c r="AH271" s="10">
        <f t="shared" si="89"/>
        <v>20</v>
      </c>
    </row>
    <row r="272" spans="27:34" ht="15">
      <c r="AA272" s="10" t="s">
        <v>781</v>
      </c>
      <c r="AB272" s="10">
        <v>3</v>
      </c>
      <c r="AC272" s="10">
        <f t="shared" si="84"/>
        <v>70</v>
      </c>
      <c r="AD272" s="10">
        <f t="shared" si="85"/>
        <v>10</v>
      </c>
      <c r="AE272" s="10">
        <f t="shared" si="86"/>
        <v>20</v>
      </c>
      <c r="AF272" s="10">
        <f t="shared" si="87"/>
        <v>60</v>
      </c>
      <c r="AG272" s="10">
        <f t="shared" si="88"/>
        <v>10</v>
      </c>
      <c r="AH272" s="10">
        <f t="shared" si="89"/>
        <v>20</v>
      </c>
    </row>
    <row r="273" spans="27:34" ht="15">
      <c r="AA273" s="10" t="s">
        <v>782</v>
      </c>
      <c r="AB273" s="10">
        <v>2</v>
      </c>
      <c r="AC273" s="10">
        <f t="shared" si="84"/>
        <v>90</v>
      </c>
      <c r="AD273" s="10">
        <f t="shared" si="85"/>
        <v>10</v>
      </c>
      <c r="AE273" s="10">
        <f t="shared" si="86"/>
        <v>20</v>
      </c>
      <c r="AF273" s="10">
        <f t="shared" si="87"/>
        <v>70</v>
      </c>
      <c r="AG273" s="10">
        <f t="shared" si="88"/>
        <v>10</v>
      </c>
      <c r="AH273" s="10">
        <f t="shared" si="89"/>
        <v>20</v>
      </c>
    </row>
    <row r="274" spans="27:34" ht="15">
      <c r="AA274" s="10" t="s">
        <v>783</v>
      </c>
      <c r="AB274" s="10">
        <v>4</v>
      </c>
      <c r="AC274" s="10">
        <f t="shared" si="84"/>
        <v>50</v>
      </c>
      <c r="AD274" s="10">
        <f t="shared" si="85"/>
        <v>10</v>
      </c>
      <c r="AE274" s="10">
        <f t="shared" si="86"/>
        <v>20</v>
      </c>
      <c r="AF274" s="10">
        <f t="shared" si="87"/>
        <v>50</v>
      </c>
      <c r="AG274" s="10">
        <f t="shared" si="88"/>
        <v>10</v>
      </c>
      <c r="AH274" s="10">
        <f t="shared" si="89"/>
        <v>20</v>
      </c>
    </row>
    <row r="275" spans="27:34" ht="15">
      <c r="AA275" s="10" t="s">
        <v>784</v>
      </c>
      <c r="AB275" s="10">
        <v>4</v>
      </c>
      <c r="AC275" s="10">
        <f t="shared" si="84"/>
        <v>50</v>
      </c>
      <c r="AD275" s="10">
        <f t="shared" si="85"/>
        <v>10</v>
      </c>
      <c r="AE275" s="10">
        <f t="shared" si="86"/>
        <v>20</v>
      </c>
      <c r="AF275" s="10">
        <f t="shared" si="87"/>
        <v>50</v>
      </c>
      <c r="AG275" s="10">
        <f t="shared" si="88"/>
        <v>10</v>
      </c>
      <c r="AH275" s="10">
        <f t="shared" si="89"/>
        <v>20</v>
      </c>
    </row>
    <row r="276" spans="27:34" ht="15">
      <c r="AA276" s="10" t="s">
        <v>785</v>
      </c>
      <c r="AB276" s="10">
        <v>2</v>
      </c>
      <c r="AC276" s="10">
        <f t="shared" si="84"/>
        <v>90</v>
      </c>
      <c r="AD276" s="10">
        <f t="shared" si="85"/>
        <v>10</v>
      </c>
      <c r="AE276" s="10">
        <f t="shared" si="86"/>
        <v>20</v>
      </c>
      <c r="AF276" s="10">
        <f t="shared" si="87"/>
        <v>70</v>
      </c>
      <c r="AG276" s="10">
        <f t="shared" si="88"/>
        <v>10</v>
      </c>
      <c r="AH276" s="10">
        <f t="shared" si="89"/>
        <v>20</v>
      </c>
    </row>
    <row r="277" spans="27:34" ht="15">
      <c r="AA277" s="10" t="s">
        <v>786</v>
      </c>
      <c r="AB277" s="10">
        <v>2</v>
      </c>
      <c r="AC277" s="10">
        <f t="shared" si="84"/>
        <v>90</v>
      </c>
      <c r="AD277" s="10">
        <f t="shared" si="85"/>
        <v>10</v>
      </c>
      <c r="AE277" s="10">
        <f t="shared" si="86"/>
        <v>20</v>
      </c>
      <c r="AF277" s="10">
        <f t="shared" si="87"/>
        <v>70</v>
      </c>
      <c r="AG277" s="10">
        <f t="shared" si="88"/>
        <v>10</v>
      </c>
      <c r="AH277" s="10">
        <f t="shared" si="89"/>
        <v>20</v>
      </c>
    </row>
    <row r="278" spans="27:34" ht="15">
      <c r="AA278" s="10" t="s">
        <v>787</v>
      </c>
      <c r="AB278" s="10">
        <v>4</v>
      </c>
      <c r="AC278" s="10">
        <f t="shared" si="84"/>
        <v>50</v>
      </c>
      <c r="AD278" s="10">
        <f t="shared" si="85"/>
        <v>10</v>
      </c>
      <c r="AE278" s="10">
        <f t="shared" si="86"/>
        <v>20</v>
      </c>
      <c r="AF278" s="10">
        <f t="shared" si="87"/>
        <v>50</v>
      </c>
      <c r="AG278" s="10">
        <f t="shared" si="88"/>
        <v>10</v>
      </c>
      <c r="AH278" s="10">
        <f t="shared" si="89"/>
        <v>20</v>
      </c>
    </row>
    <row r="279" ht="15"/>
    <row r="280" spans="27:34" ht="15">
      <c r="AA280" s="10" t="s">
        <v>788</v>
      </c>
      <c r="AB280" s="10">
        <v>3</v>
      </c>
      <c r="AC280" s="10">
        <f aca="true" t="shared" si="90" ref="AC280:AC311">VLOOKUP(AB280,$AA$209:$AD$212,2)</f>
        <v>70</v>
      </c>
      <c r="AD280" s="10">
        <f aca="true" t="shared" si="91" ref="AD280:AD311">VLOOKUP(AC280,$AA$209:$AD$212,3)</f>
        <v>10</v>
      </c>
      <c r="AE280" s="10">
        <f aca="true" t="shared" si="92" ref="AE280:AE311">VLOOKUP(AD280,$AA$209:$AD$212,4)</f>
        <v>20</v>
      </c>
      <c r="AF280" s="10">
        <f aca="true" t="shared" si="93" ref="AF280:AF311">VLOOKUP($AB280,$AF$209:$AI$212,2)</f>
        <v>60</v>
      </c>
      <c r="AG280" s="10">
        <f aca="true" t="shared" si="94" ref="AG280:AG311">VLOOKUP($AB280,$AF$209:$AI$212,3)</f>
        <v>10</v>
      </c>
      <c r="AH280" s="10">
        <f aca="true" t="shared" si="95" ref="AH280:AH311">VLOOKUP($AB280,$AF$209:$AI$212,4)</f>
        <v>20</v>
      </c>
    </row>
    <row r="281" spans="27:34" ht="15">
      <c r="AA281" s="10" t="s">
        <v>789</v>
      </c>
      <c r="AB281" s="10">
        <v>4</v>
      </c>
      <c r="AC281" s="10">
        <f t="shared" si="90"/>
        <v>50</v>
      </c>
      <c r="AD281" s="10">
        <f t="shared" si="91"/>
        <v>10</v>
      </c>
      <c r="AE281" s="10">
        <f t="shared" si="92"/>
        <v>20</v>
      </c>
      <c r="AF281" s="10">
        <f t="shared" si="93"/>
        <v>50</v>
      </c>
      <c r="AG281" s="10">
        <f t="shared" si="94"/>
        <v>10</v>
      </c>
      <c r="AH281" s="10">
        <f t="shared" si="95"/>
        <v>20</v>
      </c>
    </row>
    <row r="282" spans="27:34" ht="15">
      <c r="AA282" s="10" t="s">
        <v>790</v>
      </c>
      <c r="AB282" s="10">
        <v>4</v>
      </c>
      <c r="AC282" s="10">
        <f t="shared" si="90"/>
        <v>50</v>
      </c>
      <c r="AD282" s="10">
        <f t="shared" si="91"/>
        <v>10</v>
      </c>
      <c r="AE282" s="10">
        <f t="shared" si="92"/>
        <v>20</v>
      </c>
      <c r="AF282" s="10">
        <f t="shared" si="93"/>
        <v>50</v>
      </c>
      <c r="AG282" s="10">
        <f t="shared" si="94"/>
        <v>10</v>
      </c>
      <c r="AH282" s="10">
        <f t="shared" si="95"/>
        <v>20</v>
      </c>
    </row>
    <row r="283" spans="27:34" ht="15">
      <c r="AA283" s="10" t="s">
        <v>791</v>
      </c>
      <c r="AB283" s="10">
        <v>3</v>
      </c>
      <c r="AC283" s="10">
        <f t="shared" si="90"/>
        <v>70</v>
      </c>
      <c r="AD283" s="10">
        <f t="shared" si="91"/>
        <v>10</v>
      </c>
      <c r="AE283" s="10">
        <f t="shared" si="92"/>
        <v>20</v>
      </c>
      <c r="AF283" s="10">
        <f t="shared" si="93"/>
        <v>60</v>
      </c>
      <c r="AG283" s="10">
        <f t="shared" si="94"/>
        <v>10</v>
      </c>
      <c r="AH283" s="10">
        <f t="shared" si="95"/>
        <v>20</v>
      </c>
    </row>
    <row r="284" spans="27:34" ht="15">
      <c r="AA284" s="10" t="s">
        <v>792</v>
      </c>
      <c r="AB284" s="10">
        <v>1</v>
      </c>
      <c r="AC284" s="10">
        <f t="shared" si="90"/>
        <v>115</v>
      </c>
      <c r="AD284" s="10">
        <f t="shared" si="91"/>
        <v>10</v>
      </c>
      <c r="AE284" s="10">
        <f t="shared" si="92"/>
        <v>20</v>
      </c>
      <c r="AF284" s="10">
        <f t="shared" si="93"/>
        <v>95</v>
      </c>
      <c r="AG284" s="10">
        <f t="shared" si="94"/>
        <v>10</v>
      </c>
      <c r="AH284" s="10">
        <f t="shared" si="95"/>
        <v>20</v>
      </c>
    </row>
    <row r="285" spans="27:34" ht="15">
      <c r="AA285" s="10" t="s">
        <v>793</v>
      </c>
      <c r="AB285" s="10">
        <v>2</v>
      </c>
      <c r="AC285" s="10">
        <f t="shared" si="90"/>
        <v>90</v>
      </c>
      <c r="AD285" s="10">
        <f t="shared" si="91"/>
        <v>10</v>
      </c>
      <c r="AE285" s="10">
        <f t="shared" si="92"/>
        <v>20</v>
      </c>
      <c r="AF285" s="10">
        <f t="shared" si="93"/>
        <v>70</v>
      </c>
      <c r="AG285" s="10">
        <f t="shared" si="94"/>
        <v>10</v>
      </c>
      <c r="AH285" s="10">
        <f t="shared" si="95"/>
        <v>20</v>
      </c>
    </row>
    <row r="286" spans="27:34" ht="15">
      <c r="AA286" s="10" t="s">
        <v>794</v>
      </c>
      <c r="AB286" s="10">
        <v>2</v>
      </c>
      <c r="AC286" s="10">
        <f t="shared" si="90"/>
        <v>90</v>
      </c>
      <c r="AD286" s="10">
        <f t="shared" si="91"/>
        <v>10</v>
      </c>
      <c r="AE286" s="10">
        <f t="shared" si="92"/>
        <v>20</v>
      </c>
      <c r="AF286" s="10">
        <f t="shared" si="93"/>
        <v>70</v>
      </c>
      <c r="AG286" s="10">
        <f t="shared" si="94"/>
        <v>10</v>
      </c>
      <c r="AH286" s="10">
        <f t="shared" si="95"/>
        <v>20</v>
      </c>
    </row>
    <row r="287" spans="27:34" ht="15">
      <c r="AA287" s="10" t="s">
        <v>795</v>
      </c>
      <c r="AB287" s="10">
        <v>4</v>
      </c>
      <c r="AC287" s="10">
        <f t="shared" si="90"/>
        <v>50</v>
      </c>
      <c r="AD287" s="10">
        <f t="shared" si="91"/>
        <v>10</v>
      </c>
      <c r="AE287" s="10">
        <f t="shared" si="92"/>
        <v>20</v>
      </c>
      <c r="AF287" s="10">
        <f t="shared" si="93"/>
        <v>50</v>
      </c>
      <c r="AG287" s="10">
        <f t="shared" si="94"/>
        <v>10</v>
      </c>
      <c r="AH287" s="10">
        <f t="shared" si="95"/>
        <v>20</v>
      </c>
    </row>
    <row r="288" spans="27:34" ht="15">
      <c r="AA288" s="10" t="s">
        <v>796</v>
      </c>
      <c r="AB288" s="10">
        <v>4</v>
      </c>
      <c r="AC288" s="10">
        <f t="shared" si="90"/>
        <v>50</v>
      </c>
      <c r="AD288" s="10">
        <f t="shared" si="91"/>
        <v>10</v>
      </c>
      <c r="AE288" s="10">
        <f t="shared" si="92"/>
        <v>20</v>
      </c>
      <c r="AF288" s="10">
        <f t="shared" si="93"/>
        <v>50</v>
      </c>
      <c r="AG288" s="10">
        <f t="shared" si="94"/>
        <v>10</v>
      </c>
      <c r="AH288" s="10">
        <f t="shared" si="95"/>
        <v>20</v>
      </c>
    </row>
    <row r="289" spans="27:34" ht="15">
      <c r="AA289" s="10" t="s">
        <v>797</v>
      </c>
      <c r="AB289" s="10">
        <v>2</v>
      </c>
      <c r="AC289" s="10">
        <f t="shared" si="90"/>
        <v>90</v>
      </c>
      <c r="AD289" s="10">
        <f t="shared" si="91"/>
        <v>10</v>
      </c>
      <c r="AE289" s="10">
        <f t="shared" si="92"/>
        <v>20</v>
      </c>
      <c r="AF289" s="10">
        <f t="shared" si="93"/>
        <v>70</v>
      </c>
      <c r="AG289" s="10">
        <f t="shared" si="94"/>
        <v>10</v>
      </c>
      <c r="AH289" s="10">
        <f t="shared" si="95"/>
        <v>20</v>
      </c>
    </row>
    <row r="290" spans="27:34" ht="15">
      <c r="AA290" s="10" t="s">
        <v>798</v>
      </c>
      <c r="AB290" s="10">
        <v>3</v>
      </c>
      <c r="AC290" s="10">
        <f t="shared" si="90"/>
        <v>70</v>
      </c>
      <c r="AD290" s="10">
        <f t="shared" si="91"/>
        <v>10</v>
      </c>
      <c r="AE290" s="10">
        <f t="shared" si="92"/>
        <v>20</v>
      </c>
      <c r="AF290" s="10">
        <f t="shared" si="93"/>
        <v>60</v>
      </c>
      <c r="AG290" s="10">
        <f t="shared" si="94"/>
        <v>10</v>
      </c>
      <c r="AH290" s="10">
        <f t="shared" si="95"/>
        <v>20</v>
      </c>
    </row>
    <row r="291" spans="27:34" ht="15">
      <c r="AA291" s="10" t="s">
        <v>799</v>
      </c>
      <c r="AB291" s="10">
        <v>2</v>
      </c>
      <c r="AC291" s="10">
        <f t="shared" si="90"/>
        <v>90</v>
      </c>
      <c r="AD291" s="10">
        <f t="shared" si="91"/>
        <v>10</v>
      </c>
      <c r="AE291" s="10">
        <f t="shared" si="92"/>
        <v>20</v>
      </c>
      <c r="AF291" s="10">
        <f t="shared" si="93"/>
        <v>70</v>
      </c>
      <c r="AG291" s="10">
        <f t="shared" si="94"/>
        <v>10</v>
      </c>
      <c r="AH291" s="10">
        <f t="shared" si="95"/>
        <v>20</v>
      </c>
    </row>
    <row r="292" spans="27:34" ht="15">
      <c r="AA292" s="10" t="s">
        <v>800</v>
      </c>
      <c r="AB292" s="10">
        <v>4</v>
      </c>
      <c r="AC292" s="10">
        <f t="shared" si="90"/>
        <v>50</v>
      </c>
      <c r="AD292" s="10">
        <f t="shared" si="91"/>
        <v>10</v>
      </c>
      <c r="AE292" s="10">
        <f t="shared" si="92"/>
        <v>20</v>
      </c>
      <c r="AF292" s="10">
        <f t="shared" si="93"/>
        <v>50</v>
      </c>
      <c r="AG292" s="10">
        <f t="shared" si="94"/>
        <v>10</v>
      </c>
      <c r="AH292" s="10">
        <f t="shared" si="95"/>
        <v>20</v>
      </c>
    </row>
    <row r="293" spans="27:34" ht="15">
      <c r="AA293" s="10" t="s">
        <v>801</v>
      </c>
      <c r="AB293" s="10">
        <v>1</v>
      </c>
      <c r="AC293" s="10">
        <f t="shared" si="90"/>
        <v>115</v>
      </c>
      <c r="AD293" s="10">
        <f t="shared" si="91"/>
        <v>10</v>
      </c>
      <c r="AE293" s="10">
        <f t="shared" si="92"/>
        <v>20</v>
      </c>
      <c r="AF293" s="10">
        <f t="shared" si="93"/>
        <v>95</v>
      </c>
      <c r="AG293" s="10">
        <f t="shared" si="94"/>
        <v>10</v>
      </c>
      <c r="AH293" s="10">
        <f t="shared" si="95"/>
        <v>20</v>
      </c>
    </row>
    <row r="294" spans="27:34" ht="15">
      <c r="AA294" s="10" t="s">
        <v>802</v>
      </c>
      <c r="AB294" s="10">
        <v>4</v>
      </c>
      <c r="AC294" s="10">
        <f t="shared" si="90"/>
        <v>50</v>
      </c>
      <c r="AD294" s="10">
        <f t="shared" si="91"/>
        <v>10</v>
      </c>
      <c r="AE294" s="10">
        <f t="shared" si="92"/>
        <v>20</v>
      </c>
      <c r="AF294" s="10">
        <f t="shared" si="93"/>
        <v>50</v>
      </c>
      <c r="AG294" s="10">
        <f t="shared" si="94"/>
        <v>10</v>
      </c>
      <c r="AH294" s="10">
        <f t="shared" si="95"/>
        <v>20</v>
      </c>
    </row>
    <row r="295" spans="27:34" ht="15">
      <c r="AA295" s="10" t="s">
        <v>803</v>
      </c>
      <c r="AB295" s="10">
        <v>2</v>
      </c>
      <c r="AC295" s="10">
        <f t="shared" si="90"/>
        <v>90</v>
      </c>
      <c r="AD295" s="10">
        <f t="shared" si="91"/>
        <v>10</v>
      </c>
      <c r="AE295" s="10">
        <f t="shared" si="92"/>
        <v>20</v>
      </c>
      <c r="AF295" s="10">
        <f t="shared" si="93"/>
        <v>70</v>
      </c>
      <c r="AG295" s="10">
        <f t="shared" si="94"/>
        <v>10</v>
      </c>
      <c r="AH295" s="10">
        <f t="shared" si="95"/>
        <v>20</v>
      </c>
    </row>
    <row r="296" spans="27:34" ht="15">
      <c r="AA296" s="10" t="s">
        <v>804</v>
      </c>
      <c r="AB296" s="10">
        <v>4</v>
      </c>
      <c r="AC296" s="10">
        <f t="shared" si="90"/>
        <v>50</v>
      </c>
      <c r="AD296" s="10">
        <f t="shared" si="91"/>
        <v>10</v>
      </c>
      <c r="AE296" s="10">
        <f t="shared" si="92"/>
        <v>20</v>
      </c>
      <c r="AF296" s="10">
        <f t="shared" si="93"/>
        <v>50</v>
      </c>
      <c r="AG296" s="10">
        <f t="shared" si="94"/>
        <v>10</v>
      </c>
      <c r="AH296" s="10">
        <f t="shared" si="95"/>
        <v>20</v>
      </c>
    </row>
    <row r="297" spans="4:34" ht="15">
      <c r="D297" s="15" t="s">
        <v>805</v>
      </c>
      <c r="F297" s="10" t="s">
        <v>806</v>
      </c>
      <c r="AA297" s="10" t="s">
        <v>807</v>
      </c>
      <c r="AB297" s="10">
        <v>3</v>
      </c>
      <c r="AC297" s="10">
        <f t="shared" si="90"/>
        <v>70</v>
      </c>
      <c r="AD297" s="10">
        <f t="shared" si="91"/>
        <v>10</v>
      </c>
      <c r="AE297" s="10">
        <f t="shared" si="92"/>
        <v>20</v>
      </c>
      <c r="AF297" s="10">
        <f t="shared" si="93"/>
        <v>60</v>
      </c>
      <c r="AG297" s="10">
        <f t="shared" si="94"/>
        <v>10</v>
      </c>
      <c r="AH297" s="10">
        <f t="shared" si="95"/>
        <v>20</v>
      </c>
    </row>
    <row r="298" spans="4:34" ht="15">
      <c r="D298" s="12" t="s">
        <v>808</v>
      </c>
      <c r="E298" s="12" t="s">
        <v>239</v>
      </c>
      <c r="F298" s="12" t="s">
        <v>808</v>
      </c>
      <c r="G298" s="12" t="s">
        <v>239</v>
      </c>
      <c r="AA298" s="10" t="s">
        <v>224</v>
      </c>
      <c r="AB298" s="10">
        <v>2</v>
      </c>
      <c r="AC298" s="10">
        <f t="shared" si="90"/>
        <v>90</v>
      </c>
      <c r="AD298" s="10">
        <f t="shared" si="91"/>
        <v>10</v>
      </c>
      <c r="AE298" s="10">
        <f t="shared" si="92"/>
        <v>20</v>
      </c>
      <c r="AF298" s="10">
        <f t="shared" si="93"/>
        <v>70</v>
      </c>
      <c r="AG298" s="10">
        <f t="shared" si="94"/>
        <v>10</v>
      </c>
      <c r="AH298" s="10">
        <f t="shared" si="95"/>
        <v>20</v>
      </c>
    </row>
    <row r="299" spans="3:34" ht="15.75">
      <c r="C299" s="63" t="s">
        <v>809</v>
      </c>
      <c r="D299" s="60">
        <v>97</v>
      </c>
      <c r="E299" s="61">
        <v>1.09</v>
      </c>
      <c r="F299" s="116">
        <f>D299</f>
        <v>97</v>
      </c>
      <c r="G299" s="82">
        <f>E299</f>
        <v>1.09</v>
      </c>
      <c r="AA299" s="10" t="s">
        <v>810</v>
      </c>
      <c r="AB299" s="10">
        <v>3</v>
      </c>
      <c r="AC299" s="10">
        <f t="shared" si="90"/>
        <v>70</v>
      </c>
      <c r="AD299" s="10">
        <f t="shared" si="91"/>
        <v>10</v>
      </c>
      <c r="AE299" s="10">
        <f t="shared" si="92"/>
        <v>20</v>
      </c>
      <c r="AF299" s="10">
        <f t="shared" si="93"/>
        <v>60</v>
      </c>
      <c r="AG299" s="10">
        <f t="shared" si="94"/>
        <v>10</v>
      </c>
      <c r="AH299" s="10">
        <f t="shared" si="95"/>
        <v>20</v>
      </c>
    </row>
    <row r="300" spans="3:34" ht="15.75">
      <c r="C300" s="63" t="s">
        <v>811</v>
      </c>
      <c r="D300" s="60">
        <v>98</v>
      </c>
      <c r="E300" s="61">
        <v>1.17</v>
      </c>
      <c r="F300" s="12">
        <f aca="true" t="shared" si="96" ref="F300:F309">IF(F299&lt;$D$300-0.1,F299+0.1,"")</f>
        <v>97.1</v>
      </c>
      <c r="G300" s="82">
        <f aca="true" t="shared" si="97" ref="G300:G309">IF(F300&gt;0,G299+$D$303,"")</f>
        <v>1.098</v>
      </c>
      <c r="AA300" s="10" t="s">
        <v>812</v>
      </c>
      <c r="AB300" s="10">
        <v>3</v>
      </c>
      <c r="AC300" s="10">
        <f t="shared" si="90"/>
        <v>70</v>
      </c>
      <c r="AD300" s="10">
        <f t="shared" si="91"/>
        <v>10</v>
      </c>
      <c r="AE300" s="10">
        <f t="shared" si="92"/>
        <v>20</v>
      </c>
      <c r="AF300" s="10">
        <f t="shared" si="93"/>
        <v>60</v>
      </c>
      <c r="AG300" s="10">
        <f t="shared" si="94"/>
        <v>10</v>
      </c>
      <c r="AH300" s="10">
        <f t="shared" si="95"/>
        <v>20</v>
      </c>
    </row>
    <row r="301" spans="3:34" ht="15">
      <c r="C301" s="63" t="s">
        <v>813</v>
      </c>
      <c r="D301" s="12">
        <f>(D299+D300)/2</f>
        <v>97.5</v>
      </c>
      <c r="E301" s="82">
        <f>(E299+E300)/2</f>
        <v>1.13</v>
      </c>
      <c r="F301" s="12">
        <f t="shared" si="96"/>
        <v>97.19999999999999</v>
      </c>
      <c r="G301" s="82">
        <f t="shared" si="97"/>
        <v>1.106</v>
      </c>
      <c r="AA301" s="10" t="s">
        <v>814</v>
      </c>
      <c r="AB301" s="10">
        <v>3</v>
      </c>
      <c r="AC301" s="10">
        <f t="shared" si="90"/>
        <v>70</v>
      </c>
      <c r="AD301" s="10">
        <f t="shared" si="91"/>
        <v>10</v>
      </c>
      <c r="AE301" s="10">
        <f t="shared" si="92"/>
        <v>20</v>
      </c>
      <c r="AF301" s="10">
        <f t="shared" si="93"/>
        <v>60</v>
      </c>
      <c r="AG301" s="10">
        <f t="shared" si="94"/>
        <v>10</v>
      </c>
      <c r="AH301" s="10">
        <f t="shared" si="95"/>
        <v>20</v>
      </c>
    </row>
    <row r="302" spans="6:34" ht="15">
      <c r="F302" s="12">
        <f t="shared" si="96"/>
        <v>97.29999999999998</v>
      </c>
      <c r="G302" s="82">
        <f t="shared" si="97"/>
        <v>1.114</v>
      </c>
      <c r="AA302" s="10" t="s">
        <v>815</v>
      </c>
      <c r="AB302" s="10">
        <v>4</v>
      </c>
      <c r="AC302" s="10">
        <f t="shared" si="90"/>
        <v>50</v>
      </c>
      <c r="AD302" s="10">
        <f t="shared" si="91"/>
        <v>10</v>
      </c>
      <c r="AE302" s="10">
        <f t="shared" si="92"/>
        <v>20</v>
      </c>
      <c r="AF302" s="10">
        <f t="shared" si="93"/>
        <v>50</v>
      </c>
      <c r="AG302" s="10">
        <f t="shared" si="94"/>
        <v>10</v>
      </c>
      <c r="AH302" s="10">
        <f t="shared" si="95"/>
        <v>20</v>
      </c>
    </row>
    <row r="303" spans="3:34" ht="15">
      <c r="C303" s="63" t="s">
        <v>816</v>
      </c>
      <c r="D303" s="12">
        <f>((E300-E299)/((D300-D299)*10))</f>
        <v>0.007999999999999985</v>
      </c>
      <c r="F303" s="12">
        <f t="shared" si="96"/>
        <v>97.39999999999998</v>
      </c>
      <c r="G303" s="82">
        <f t="shared" si="97"/>
        <v>1.122</v>
      </c>
      <c r="AA303" s="10" t="s">
        <v>817</v>
      </c>
      <c r="AB303" s="10">
        <v>3</v>
      </c>
      <c r="AC303" s="10">
        <f t="shared" si="90"/>
        <v>70</v>
      </c>
      <c r="AD303" s="10">
        <f t="shared" si="91"/>
        <v>10</v>
      </c>
      <c r="AE303" s="10">
        <f t="shared" si="92"/>
        <v>20</v>
      </c>
      <c r="AF303" s="10">
        <f t="shared" si="93"/>
        <v>60</v>
      </c>
      <c r="AG303" s="10">
        <f t="shared" si="94"/>
        <v>10</v>
      </c>
      <c r="AH303" s="10">
        <f t="shared" si="95"/>
        <v>20</v>
      </c>
    </row>
    <row r="304" spans="1:34" ht="15">
      <c r="A304" s="13"/>
      <c r="B304" s="13"/>
      <c r="C304" s="13"/>
      <c r="F304" s="12">
        <f t="shared" si="96"/>
        <v>97.49999999999997</v>
      </c>
      <c r="G304" s="82">
        <f t="shared" si="97"/>
        <v>1.1300000000000001</v>
      </c>
      <c r="H304" s="13"/>
      <c r="I304" s="13"/>
      <c r="AA304" s="10" t="s">
        <v>818</v>
      </c>
      <c r="AB304" s="10">
        <v>4</v>
      </c>
      <c r="AC304" s="10">
        <f t="shared" si="90"/>
        <v>50</v>
      </c>
      <c r="AD304" s="10">
        <f t="shared" si="91"/>
        <v>10</v>
      </c>
      <c r="AE304" s="10">
        <f t="shared" si="92"/>
        <v>20</v>
      </c>
      <c r="AF304" s="10">
        <f t="shared" si="93"/>
        <v>50</v>
      </c>
      <c r="AG304" s="10">
        <f t="shared" si="94"/>
        <v>10</v>
      </c>
      <c r="AH304" s="10">
        <f t="shared" si="95"/>
        <v>20</v>
      </c>
    </row>
    <row r="305" spans="1:34" ht="15">
      <c r="A305" s="13"/>
      <c r="B305" s="13"/>
      <c r="C305" s="13"/>
      <c r="F305" s="12">
        <f t="shared" si="96"/>
        <v>97.59999999999997</v>
      </c>
      <c r="G305" s="82">
        <f t="shared" si="97"/>
        <v>1.1380000000000001</v>
      </c>
      <c r="H305" s="13"/>
      <c r="I305" s="13"/>
      <c r="AA305" s="10" t="s">
        <v>819</v>
      </c>
      <c r="AB305" s="10">
        <v>4</v>
      </c>
      <c r="AC305" s="10">
        <f t="shared" si="90"/>
        <v>50</v>
      </c>
      <c r="AD305" s="10">
        <f t="shared" si="91"/>
        <v>10</v>
      </c>
      <c r="AE305" s="10">
        <f t="shared" si="92"/>
        <v>20</v>
      </c>
      <c r="AF305" s="10">
        <f t="shared" si="93"/>
        <v>50</v>
      </c>
      <c r="AG305" s="10">
        <f t="shared" si="94"/>
        <v>10</v>
      </c>
      <c r="AH305" s="10">
        <f t="shared" si="95"/>
        <v>20</v>
      </c>
    </row>
    <row r="306" spans="1:34" ht="15">
      <c r="A306" s="13"/>
      <c r="B306" s="13"/>
      <c r="C306" s="13"/>
      <c r="F306" s="12">
        <f t="shared" si="96"/>
        <v>97.69999999999996</v>
      </c>
      <c r="G306" s="82">
        <f t="shared" si="97"/>
        <v>1.1460000000000001</v>
      </c>
      <c r="H306" s="13"/>
      <c r="I306" s="13"/>
      <c r="AA306" s="10" t="s">
        <v>820</v>
      </c>
      <c r="AB306" s="10">
        <v>4</v>
      </c>
      <c r="AC306" s="10">
        <f t="shared" si="90"/>
        <v>50</v>
      </c>
      <c r="AD306" s="10">
        <f t="shared" si="91"/>
        <v>10</v>
      </c>
      <c r="AE306" s="10">
        <f t="shared" si="92"/>
        <v>20</v>
      </c>
      <c r="AF306" s="10">
        <f t="shared" si="93"/>
        <v>50</v>
      </c>
      <c r="AG306" s="10">
        <f t="shared" si="94"/>
        <v>10</v>
      </c>
      <c r="AH306" s="10">
        <f t="shared" si="95"/>
        <v>20</v>
      </c>
    </row>
    <row r="307" spans="1:34" ht="15">
      <c r="A307" s="13"/>
      <c r="B307" s="13"/>
      <c r="C307" s="13"/>
      <c r="F307" s="12">
        <f t="shared" si="96"/>
        <v>97.79999999999995</v>
      </c>
      <c r="G307" s="82">
        <f t="shared" si="97"/>
        <v>1.1540000000000001</v>
      </c>
      <c r="H307" s="13"/>
      <c r="I307" s="13"/>
      <c r="AA307" s="10" t="s">
        <v>821</v>
      </c>
      <c r="AB307" s="10">
        <v>2</v>
      </c>
      <c r="AC307" s="10">
        <f t="shared" si="90"/>
        <v>90</v>
      </c>
      <c r="AD307" s="10">
        <f t="shared" si="91"/>
        <v>10</v>
      </c>
      <c r="AE307" s="10">
        <f t="shared" si="92"/>
        <v>20</v>
      </c>
      <c r="AF307" s="10">
        <f t="shared" si="93"/>
        <v>70</v>
      </c>
      <c r="AG307" s="10">
        <f t="shared" si="94"/>
        <v>10</v>
      </c>
      <c r="AH307" s="10">
        <f t="shared" si="95"/>
        <v>20</v>
      </c>
    </row>
    <row r="308" spans="1:34" ht="15">
      <c r="A308" s="13"/>
      <c r="B308" s="13"/>
      <c r="C308" s="13"/>
      <c r="F308" s="12">
        <f t="shared" si="96"/>
        <v>97.89999999999995</v>
      </c>
      <c r="G308" s="82">
        <f t="shared" si="97"/>
        <v>1.1620000000000001</v>
      </c>
      <c r="H308" s="13"/>
      <c r="I308" s="13"/>
      <c r="AA308" s="10" t="s">
        <v>822</v>
      </c>
      <c r="AB308" s="10">
        <v>4</v>
      </c>
      <c r="AC308" s="10">
        <f t="shared" si="90"/>
        <v>50</v>
      </c>
      <c r="AD308" s="10">
        <f t="shared" si="91"/>
        <v>10</v>
      </c>
      <c r="AE308" s="10">
        <f t="shared" si="92"/>
        <v>20</v>
      </c>
      <c r="AF308" s="10">
        <f t="shared" si="93"/>
        <v>50</v>
      </c>
      <c r="AG308" s="10">
        <f t="shared" si="94"/>
        <v>10</v>
      </c>
      <c r="AH308" s="10">
        <f t="shared" si="95"/>
        <v>20</v>
      </c>
    </row>
    <row r="309" spans="6:34" ht="15">
      <c r="F309" s="12">
        <f t="shared" si="96"/>
        <v>97.99999999999994</v>
      </c>
      <c r="G309" s="82">
        <f t="shared" si="97"/>
        <v>1.1700000000000002</v>
      </c>
      <c r="AA309" s="10" t="s">
        <v>823</v>
      </c>
      <c r="AB309" s="10">
        <v>1</v>
      </c>
      <c r="AC309" s="10">
        <f t="shared" si="90"/>
        <v>115</v>
      </c>
      <c r="AD309" s="10">
        <f t="shared" si="91"/>
        <v>10</v>
      </c>
      <c r="AE309" s="10">
        <f t="shared" si="92"/>
        <v>20</v>
      </c>
      <c r="AF309" s="10">
        <f t="shared" si="93"/>
        <v>95</v>
      </c>
      <c r="AG309" s="10">
        <f t="shared" si="94"/>
        <v>10</v>
      </c>
      <c r="AH309" s="10">
        <f t="shared" si="95"/>
        <v>20</v>
      </c>
    </row>
    <row r="310" spans="27:34" ht="15">
      <c r="AA310" s="10" t="s">
        <v>824</v>
      </c>
      <c r="AB310" s="10">
        <v>3</v>
      </c>
      <c r="AC310" s="10">
        <f t="shared" si="90"/>
        <v>70</v>
      </c>
      <c r="AD310" s="10">
        <f t="shared" si="91"/>
        <v>10</v>
      </c>
      <c r="AE310" s="10">
        <f t="shared" si="92"/>
        <v>20</v>
      </c>
      <c r="AF310" s="10">
        <f t="shared" si="93"/>
        <v>60</v>
      </c>
      <c r="AG310" s="10">
        <f t="shared" si="94"/>
        <v>10</v>
      </c>
      <c r="AH310" s="10">
        <f t="shared" si="95"/>
        <v>20</v>
      </c>
    </row>
    <row r="311" spans="27:34" ht="15">
      <c r="AA311" s="10" t="s">
        <v>825</v>
      </c>
      <c r="AB311" s="10">
        <v>2</v>
      </c>
      <c r="AC311" s="10">
        <f t="shared" si="90"/>
        <v>90</v>
      </c>
      <c r="AD311" s="10">
        <f t="shared" si="91"/>
        <v>10</v>
      </c>
      <c r="AE311" s="10">
        <f t="shared" si="92"/>
        <v>20</v>
      </c>
      <c r="AF311" s="10">
        <f t="shared" si="93"/>
        <v>70</v>
      </c>
      <c r="AG311" s="10">
        <f t="shared" si="94"/>
        <v>10</v>
      </c>
      <c r="AH311" s="10">
        <f t="shared" si="95"/>
        <v>20</v>
      </c>
    </row>
    <row r="312" spans="27:34" ht="15">
      <c r="AA312" s="10" t="s">
        <v>826</v>
      </c>
      <c r="AB312" s="10">
        <v>2</v>
      </c>
      <c r="AC312" s="10">
        <f aca="true" t="shared" si="98" ref="AC312:AC343">VLOOKUP(AB312,$AA$209:$AD$212,2)</f>
        <v>90</v>
      </c>
      <c r="AD312" s="10">
        <f aca="true" t="shared" si="99" ref="AD312:AD343">VLOOKUP(AC312,$AA$209:$AD$212,3)</f>
        <v>10</v>
      </c>
      <c r="AE312" s="10">
        <f aca="true" t="shared" si="100" ref="AE312:AE343">VLOOKUP(AD312,$AA$209:$AD$212,4)</f>
        <v>20</v>
      </c>
      <c r="AF312" s="10">
        <f aca="true" t="shared" si="101" ref="AF312:AF343">VLOOKUP($AB312,$AF$209:$AI$212,2)</f>
        <v>70</v>
      </c>
      <c r="AG312" s="10">
        <f aca="true" t="shared" si="102" ref="AG312:AG343">VLOOKUP($AB312,$AF$209:$AI$212,3)</f>
        <v>10</v>
      </c>
      <c r="AH312" s="10">
        <f aca="true" t="shared" si="103" ref="AH312:AH343">VLOOKUP($AB312,$AF$209:$AI$212,4)</f>
        <v>20</v>
      </c>
    </row>
    <row r="313" spans="4:34" ht="15">
      <c r="D313" s="12"/>
      <c r="E313" s="82"/>
      <c r="AA313" s="10" t="s">
        <v>827</v>
      </c>
      <c r="AB313" s="10">
        <v>3</v>
      </c>
      <c r="AC313" s="10">
        <f t="shared" si="98"/>
        <v>70</v>
      </c>
      <c r="AD313" s="10">
        <f t="shared" si="99"/>
        <v>10</v>
      </c>
      <c r="AE313" s="10">
        <f t="shared" si="100"/>
        <v>20</v>
      </c>
      <c r="AF313" s="10">
        <f t="shared" si="101"/>
        <v>60</v>
      </c>
      <c r="AG313" s="10">
        <f t="shared" si="102"/>
        <v>10</v>
      </c>
      <c r="AH313" s="10">
        <f t="shared" si="103"/>
        <v>20</v>
      </c>
    </row>
    <row r="314" spans="4:34" ht="15">
      <c r="D314" s="12"/>
      <c r="E314" s="82"/>
      <c r="AA314" s="10" t="s">
        <v>828</v>
      </c>
      <c r="AB314" s="10">
        <v>1</v>
      </c>
      <c r="AC314" s="10">
        <f t="shared" si="98"/>
        <v>115</v>
      </c>
      <c r="AD314" s="10">
        <f t="shared" si="99"/>
        <v>10</v>
      </c>
      <c r="AE314" s="10">
        <f t="shared" si="100"/>
        <v>20</v>
      </c>
      <c r="AF314" s="10">
        <f t="shared" si="101"/>
        <v>95</v>
      </c>
      <c r="AG314" s="10">
        <f t="shared" si="102"/>
        <v>10</v>
      </c>
      <c r="AH314" s="10">
        <f t="shared" si="103"/>
        <v>20</v>
      </c>
    </row>
    <row r="315" spans="4:34" ht="15">
      <c r="D315" s="12"/>
      <c r="E315" s="82"/>
      <c r="AA315" s="10" t="s">
        <v>829</v>
      </c>
      <c r="AB315" s="10">
        <v>3</v>
      </c>
      <c r="AC315" s="10">
        <f t="shared" si="98"/>
        <v>70</v>
      </c>
      <c r="AD315" s="10">
        <f t="shared" si="99"/>
        <v>10</v>
      </c>
      <c r="AE315" s="10">
        <f t="shared" si="100"/>
        <v>20</v>
      </c>
      <c r="AF315" s="10">
        <f t="shared" si="101"/>
        <v>60</v>
      </c>
      <c r="AG315" s="10">
        <f t="shared" si="102"/>
        <v>10</v>
      </c>
      <c r="AH315" s="10">
        <f t="shared" si="103"/>
        <v>20</v>
      </c>
    </row>
    <row r="316" spans="4:34" ht="15">
      <c r="D316" s="12"/>
      <c r="E316" s="82"/>
      <c r="AA316" s="10" t="s">
        <v>830</v>
      </c>
      <c r="AB316" s="10">
        <v>2</v>
      </c>
      <c r="AC316" s="10">
        <f t="shared" si="98"/>
        <v>90</v>
      </c>
      <c r="AD316" s="10">
        <f t="shared" si="99"/>
        <v>10</v>
      </c>
      <c r="AE316" s="10">
        <f t="shared" si="100"/>
        <v>20</v>
      </c>
      <c r="AF316" s="10">
        <f t="shared" si="101"/>
        <v>70</v>
      </c>
      <c r="AG316" s="10">
        <f t="shared" si="102"/>
        <v>10</v>
      </c>
      <c r="AH316" s="10">
        <f t="shared" si="103"/>
        <v>20</v>
      </c>
    </row>
    <row r="317" spans="4:34" ht="15">
      <c r="D317" s="12"/>
      <c r="E317" s="82"/>
      <c r="AA317" s="10" t="s">
        <v>831</v>
      </c>
      <c r="AB317" s="10">
        <v>3</v>
      </c>
      <c r="AC317" s="10">
        <f t="shared" si="98"/>
        <v>70</v>
      </c>
      <c r="AD317" s="10">
        <f t="shared" si="99"/>
        <v>10</v>
      </c>
      <c r="AE317" s="10">
        <f t="shared" si="100"/>
        <v>20</v>
      </c>
      <c r="AF317" s="10">
        <f t="shared" si="101"/>
        <v>60</v>
      </c>
      <c r="AG317" s="10">
        <f t="shared" si="102"/>
        <v>10</v>
      </c>
      <c r="AH317" s="10">
        <f t="shared" si="103"/>
        <v>20</v>
      </c>
    </row>
    <row r="318" spans="4:34" ht="15">
      <c r="D318" s="12"/>
      <c r="E318" s="82"/>
      <c r="AA318" s="10" t="s">
        <v>832</v>
      </c>
      <c r="AB318" s="10">
        <v>4</v>
      </c>
      <c r="AC318" s="10">
        <f t="shared" si="98"/>
        <v>50</v>
      </c>
      <c r="AD318" s="10">
        <f t="shared" si="99"/>
        <v>10</v>
      </c>
      <c r="AE318" s="10">
        <f t="shared" si="100"/>
        <v>20</v>
      </c>
      <c r="AF318" s="10">
        <f t="shared" si="101"/>
        <v>50</v>
      </c>
      <c r="AG318" s="10">
        <f t="shared" si="102"/>
        <v>10</v>
      </c>
      <c r="AH318" s="10">
        <f t="shared" si="103"/>
        <v>20</v>
      </c>
    </row>
    <row r="319" spans="4:34" ht="15">
      <c r="D319" s="12"/>
      <c r="E319" s="82"/>
      <c r="AA319" s="10" t="s">
        <v>833</v>
      </c>
      <c r="AB319" s="10">
        <v>4</v>
      </c>
      <c r="AC319" s="10">
        <f t="shared" si="98"/>
        <v>50</v>
      </c>
      <c r="AD319" s="10">
        <f t="shared" si="99"/>
        <v>10</v>
      </c>
      <c r="AE319" s="10">
        <f t="shared" si="100"/>
        <v>20</v>
      </c>
      <c r="AF319" s="10">
        <f t="shared" si="101"/>
        <v>50</v>
      </c>
      <c r="AG319" s="10">
        <f t="shared" si="102"/>
        <v>10</v>
      </c>
      <c r="AH319" s="10">
        <f t="shared" si="103"/>
        <v>20</v>
      </c>
    </row>
    <row r="320" spans="4:34" ht="15">
      <c r="D320" s="12"/>
      <c r="E320" s="82"/>
      <c r="AA320" s="10" t="s">
        <v>834</v>
      </c>
      <c r="AB320" s="10">
        <v>4</v>
      </c>
      <c r="AC320" s="10">
        <f t="shared" si="98"/>
        <v>50</v>
      </c>
      <c r="AD320" s="10">
        <f t="shared" si="99"/>
        <v>10</v>
      </c>
      <c r="AE320" s="10">
        <f t="shared" si="100"/>
        <v>20</v>
      </c>
      <c r="AF320" s="10">
        <f t="shared" si="101"/>
        <v>50</v>
      </c>
      <c r="AG320" s="10">
        <f t="shared" si="102"/>
        <v>10</v>
      </c>
      <c r="AH320" s="10">
        <f t="shared" si="103"/>
        <v>20</v>
      </c>
    </row>
    <row r="321" spans="4:34" ht="15">
      <c r="D321" s="12"/>
      <c r="E321" s="82"/>
      <c r="AA321" s="10" t="s">
        <v>835</v>
      </c>
      <c r="AB321" s="10">
        <v>3</v>
      </c>
      <c r="AC321" s="10">
        <f t="shared" si="98"/>
        <v>70</v>
      </c>
      <c r="AD321" s="10">
        <f t="shared" si="99"/>
        <v>10</v>
      </c>
      <c r="AE321" s="10">
        <f t="shared" si="100"/>
        <v>20</v>
      </c>
      <c r="AF321" s="10">
        <f t="shared" si="101"/>
        <v>60</v>
      </c>
      <c r="AG321" s="10">
        <f t="shared" si="102"/>
        <v>10</v>
      </c>
      <c r="AH321" s="10">
        <f t="shared" si="103"/>
        <v>20</v>
      </c>
    </row>
    <row r="322" spans="4:34" ht="15">
      <c r="D322" s="12"/>
      <c r="E322" s="82"/>
      <c r="AA322" s="10" t="s">
        <v>836</v>
      </c>
      <c r="AB322" s="10">
        <v>2</v>
      </c>
      <c r="AC322" s="10">
        <f t="shared" si="98"/>
        <v>90</v>
      </c>
      <c r="AD322" s="10">
        <f t="shared" si="99"/>
        <v>10</v>
      </c>
      <c r="AE322" s="10">
        <f t="shared" si="100"/>
        <v>20</v>
      </c>
      <c r="AF322" s="10">
        <f t="shared" si="101"/>
        <v>70</v>
      </c>
      <c r="AG322" s="10">
        <f t="shared" si="102"/>
        <v>10</v>
      </c>
      <c r="AH322" s="10">
        <f t="shared" si="103"/>
        <v>20</v>
      </c>
    </row>
    <row r="323" spans="4:34" ht="15">
      <c r="D323" s="12"/>
      <c r="E323" s="82"/>
      <c r="AA323" s="10" t="s">
        <v>837</v>
      </c>
      <c r="AB323" s="10">
        <v>2</v>
      </c>
      <c r="AC323" s="10">
        <f t="shared" si="98"/>
        <v>90</v>
      </c>
      <c r="AD323" s="10">
        <f t="shared" si="99"/>
        <v>10</v>
      </c>
      <c r="AE323" s="10">
        <f t="shared" si="100"/>
        <v>20</v>
      </c>
      <c r="AF323" s="10">
        <f t="shared" si="101"/>
        <v>70</v>
      </c>
      <c r="AG323" s="10">
        <f t="shared" si="102"/>
        <v>10</v>
      </c>
      <c r="AH323" s="10">
        <f t="shared" si="103"/>
        <v>20</v>
      </c>
    </row>
    <row r="324" spans="4:34" ht="15">
      <c r="D324" s="12"/>
      <c r="E324" s="82"/>
      <c r="AA324" s="10" t="s">
        <v>838</v>
      </c>
      <c r="AB324" s="10">
        <v>1</v>
      </c>
      <c r="AC324" s="10">
        <f t="shared" si="98"/>
        <v>115</v>
      </c>
      <c r="AD324" s="10">
        <f t="shared" si="99"/>
        <v>10</v>
      </c>
      <c r="AE324" s="10">
        <f t="shared" si="100"/>
        <v>20</v>
      </c>
      <c r="AF324" s="10">
        <f t="shared" si="101"/>
        <v>95</v>
      </c>
      <c r="AG324" s="10">
        <f t="shared" si="102"/>
        <v>10</v>
      </c>
      <c r="AH324" s="10">
        <f t="shared" si="103"/>
        <v>20</v>
      </c>
    </row>
    <row r="325" spans="4:34" ht="15">
      <c r="D325" s="12"/>
      <c r="E325" s="82"/>
      <c r="AA325" s="10" t="s">
        <v>839</v>
      </c>
      <c r="AB325" s="10">
        <v>1</v>
      </c>
      <c r="AC325" s="10">
        <f t="shared" si="98"/>
        <v>115</v>
      </c>
      <c r="AD325" s="10">
        <f t="shared" si="99"/>
        <v>10</v>
      </c>
      <c r="AE325" s="10">
        <f t="shared" si="100"/>
        <v>20</v>
      </c>
      <c r="AF325" s="10">
        <f t="shared" si="101"/>
        <v>95</v>
      </c>
      <c r="AG325" s="10">
        <f t="shared" si="102"/>
        <v>10</v>
      </c>
      <c r="AH325" s="10">
        <f t="shared" si="103"/>
        <v>20</v>
      </c>
    </row>
    <row r="326" spans="27:34" ht="15">
      <c r="AA326" s="10" t="s">
        <v>840</v>
      </c>
      <c r="AB326" s="10">
        <v>3</v>
      </c>
      <c r="AC326" s="10">
        <f t="shared" si="98"/>
        <v>70</v>
      </c>
      <c r="AD326" s="10">
        <f t="shared" si="99"/>
        <v>10</v>
      </c>
      <c r="AE326" s="10">
        <f t="shared" si="100"/>
        <v>20</v>
      </c>
      <c r="AF326" s="10">
        <f t="shared" si="101"/>
        <v>60</v>
      </c>
      <c r="AG326" s="10">
        <f t="shared" si="102"/>
        <v>10</v>
      </c>
      <c r="AH326" s="10">
        <f t="shared" si="103"/>
        <v>20</v>
      </c>
    </row>
    <row r="327" spans="27:34" ht="15">
      <c r="AA327" s="10" t="s">
        <v>841</v>
      </c>
      <c r="AB327" s="10">
        <v>2</v>
      </c>
      <c r="AC327" s="10">
        <f t="shared" si="98"/>
        <v>90</v>
      </c>
      <c r="AD327" s="10">
        <f t="shared" si="99"/>
        <v>10</v>
      </c>
      <c r="AE327" s="10">
        <f t="shared" si="100"/>
        <v>20</v>
      </c>
      <c r="AF327" s="10">
        <f t="shared" si="101"/>
        <v>70</v>
      </c>
      <c r="AG327" s="10">
        <f t="shared" si="102"/>
        <v>10</v>
      </c>
      <c r="AH327" s="10">
        <f t="shared" si="103"/>
        <v>20</v>
      </c>
    </row>
    <row r="328" spans="27:34" ht="15">
      <c r="AA328" s="10" t="s">
        <v>842</v>
      </c>
      <c r="AB328" s="10">
        <v>4</v>
      </c>
      <c r="AC328" s="10">
        <f t="shared" si="98"/>
        <v>50</v>
      </c>
      <c r="AD328" s="10">
        <f t="shared" si="99"/>
        <v>10</v>
      </c>
      <c r="AE328" s="10">
        <f t="shared" si="100"/>
        <v>20</v>
      </c>
      <c r="AF328" s="10">
        <f t="shared" si="101"/>
        <v>50</v>
      </c>
      <c r="AG328" s="10">
        <f t="shared" si="102"/>
        <v>10</v>
      </c>
      <c r="AH328" s="10">
        <f t="shared" si="103"/>
        <v>20</v>
      </c>
    </row>
    <row r="329" spans="27:34" ht="15">
      <c r="AA329" s="10" t="s">
        <v>843</v>
      </c>
      <c r="AB329" s="10">
        <v>4</v>
      </c>
      <c r="AC329" s="10">
        <f t="shared" si="98"/>
        <v>50</v>
      </c>
      <c r="AD329" s="10">
        <f t="shared" si="99"/>
        <v>10</v>
      </c>
      <c r="AE329" s="10">
        <f t="shared" si="100"/>
        <v>20</v>
      </c>
      <c r="AF329" s="10">
        <f t="shared" si="101"/>
        <v>50</v>
      </c>
      <c r="AG329" s="10">
        <f t="shared" si="102"/>
        <v>10</v>
      </c>
      <c r="AH329" s="10">
        <f t="shared" si="103"/>
        <v>20</v>
      </c>
    </row>
    <row r="330" spans="27:34" ht="15">
      <c r="AA330" s="10" t="s">
        <v>844</v>
      </c>
      <c r="AB330" s="10">
        <v>2</v>
      </c>
      <c r="AC330" s="10">
        <f t="shared" si="98"/>
        <v>90</v>
      </c>
      <c r="AD330" s="10">
        <f t="shared" si="99"/>
        <v>10</v>
      </c>
      <c r="AE330" s="10">
        <f t="shared" si="100"/>
        <v>20</v>
      </c>
      <c r="AF330" s="10">
        <f t="shared" si="101"/>
        <v>70</v>
      </c>
      <c r="AG330" s="10">
        <f t="shared" si="102"/>
        <v>10</v>
      </c>
      <c r="AH330" s="10">
        <f t="shared" si="103"/>
        <v>20</v>
      </c>
    </row>
    <row r="331" spans="27:34" ht="15">
      <c r="AA331" s="10" t="s">
        <v>845</v>
      </c>
      <c r="AB331" s="10">
        <v>2</v>
      </c>
      <c r="AC331" s="10">
        <f t="shared" si="98"/>
        <v>90</v>
      </c>
      <c r="AD331" s="10">
        <f t="shared" si="99"/>
        <v>10</v>
      </c>
      <c r="AE331" s="10">
        <f t="shared" si="100"/>
        <v>20</v>
      </c>
      <c r="AF331" s="10">
        <f t="shared" si="101"/>
        <v>70</v>
      </c>
      <c r="AG331" s="10">
        <f t="shared" si="102"/>
        <v>10</v>
      </c>
      <c r="AH331" s="10">
        <f t="shared" si="103"/>
        <v>20</v>
      </c>
    </row>
    <row r="332" spans="27:34" ht="15">
      <c r="AA332" s="10" t="s">
        <v>846</v>
      </c>
      <c r="AB332" s="10">
        <v>4</v>
      </c>
      <c r="AC332" s="10">
        <f t="shared" si="98"/>
        <v>50</v>
      </c>
      <c r="AD332" s="10">
        <f t="shared" si="99"/>
        <v>10</v>
      </c>
      <c r="AE332" s="10">
        <f t="shared" si="100"/>
        <v>20</v>
      </c>
      <c r="AF332" s="10">
        <f t="shared" si="101"/>
        <v>50</v>
      </c>
      <c r="AG332" s="10">
        <f t="shared" si="102"/>
        <v>10</v>
      </c>
      <c r="AH332" s="10">
        <f t="shared" si="103"/>
        <v>20</v>
      </c>
    </row>
    <row r="333" spans="27:34" ht="15">
      <c r="AA333" s="10" t="s">
        <v>847</v>
      </c>
      <c r="AB333" s="10">
        <v>3</v>
      </c>
      <c r="AC333" s="10">
        <f t="shared" si="98"/>
        <v>70</v>
      </c>
      <c r="AD333" s="10">
        <f t="shared" si="99"/>
        <v>10</v>
      </c>
      <c r="AE333" s="10">
        <f t="shared" si="100"/>
        <v>20</v>
      </c>
      <c r="AF333" s="10">
        <f t="shared" si="101"/>
        <v>60</v>
      </c>
      <c r="AG333" s="10">
        <f t="shared" si="102"/>
        <v>10</v>
      </c>
      <c r="AH333" s="10">
        <f t="shared" si="103"/>
        <v>20</v>
      </c>
    </row>
    <row r="334" spans="27:34" ht="15">
      <c r="AA334" s="10" t="s">
        <v>848</v>
      </c>
      <c r="AB334" s="10">
        <v>4</v>
      </c>
      <c r="AC334" s="10">
        <f t="shared" si="98"/>
        <v>50</v>
      </c>
      <c r="AD334" s="10">
        <f t="shared" si="99"/>
        <v>10</v>
      </c>
      <c r="AE334" s="10">
        <f t="shared" si="100"/>
        <v>20</v>
      </c>
      <c r="AF334" s="10">
        <f t="shared" si="101"/>
        <v>50</v>
      </c>
      <c r="AG334" s="10">
        <f t="shared" si="102"/>
        <v>10</v>
      </c>
      <c r="AH334" s="10">
        <f t="shared" si="103"/>
        <v>20</v>
      </c>
    </row>
    <row r="335" spans="27:34" ht="15">
      <c r="AA335" s="10" t="s">
        <v>849</v>
      </c>
      <c r="AB335" s="10">
        <v>4</v>
      </c>
      <c r="AC335" s="10">
        <f t="shared" si="98"/>
        <v>50</v>
      </c>
      <c r="AD335" s="10">
        <f t="shared" si="99"/>
        <v>10</v>
      </c>
      <c r="AE335" s="10">
        <f t="shared" si="100"/>
        <v>20</v>
      </c>
      <c r="AF335" s="10">
        <f t="shared" si="101"/>
        <v>50</v>
      </c>
      <c r="AG335" s="10">
        <f t="shared" si="102"/>
        <v>10</v>
      </c>
      <c r="AH335" s="10">
        <f t="shared" si="103"/>
        <v>20</v>
      </c>
    </row>
    <row r="336" spans="27:34" ht="15">
      <c r="AA336" s="10" t="s">
        <v>850</v>
      </c>
      <c r="AB336" s="10">
        <v>3</v>
      </c>
      <c r="AC336" s="10">
        <f t="shared" si="98"/>
        <v>70</v>
      </c>
      <c r="AD336" s="10">
        <f t="shared" si="99"/>
        <v>10</v>
      </c>
      <c r="AE336" s="10">
        <f t="shared" si="100"/>
        <v>20</v>
      </c>
      <c r="AF336" s="10">
        <f t="shared" si="101"/>
        <v>60</v>
      </c>
      <c r="AG336" s="10">
        <f t="shared" si="102"/>
        <v>10</v>
      </c>
      <c r="AH336" s="10">
        <f t="shared" si="103"/>
        <v>20</v>
      </c>
    </row>
    <row r="337" spans="27:34" ht="15">
      <c r="AA337" s="10" t="s">
        <v>851</v>
      </c>
      <c r="AB337" s="10">
        <v>1</v>
      </c>
      <c r="AC337" s="10">
        <f t="shared" si="98"/>
        <v>115</v>
      </c>
      <c r="AD337" s="10">
        <f t="shared" si="99"/>
        <v>10</v>
      </c>
      <c r="AE337" s="10">
        <f t="shared" si="100"/>
        <v>20</v>
      </c>
      <c r="AF337" s="10">
        <f t="shared" si="101"/>
        <v>95</v>
      </c>
      <c r="AG337" s="10">
        <f t="shared" si="102"/>
        <v>10</v>
      </c>
      <c r="AH337" s="10">
        <f t="shared" si="103"/>
        <v>20</v>
      </c>
    </row>
    <row r="338" spans="27:34" ht="15">
      <c r="AA338" s="10" t="s">
        <v>852</v>
      </c>
      <c r="AB338" s="10">
        <v>2</v>
      </c>
      <c r="AC338" s="10">
        <f t="shared" si="98"/>
        <v>90</v>
      </c>
      <c r="AD338" s="10">
        <f t="shared" si="99"/>
        <v>10</v>
      </c>
      <c r="AE338" s="10">
        <f t="shared" si="100"/>
        <v>20</v>
      </c>
      <c r="AF338" s="10">
        <f t="shared" si="101"/>
        <v>70</v>
      </c>
      <c r="AG338" s="10">
        <f t="shared" si="102"/>
        <v>10</v>
      </c>
      <c r="AH338" s="10">
        <f t="shared" si="103"/>
        <v>20</v>
      </c>
    </row>
    <row r="339" spans="27:34" ht="15">
      <c r="AA339" s="10" t="s">
        <v>853</v>
      </c>
      <c r="AB339" s="10">
        <v>2</v>
      </c>
      <c r="AC339" s="10">
        <f t="shared" si="98"/>
        <v>90</v>
      </c>
      <c r="AD339" s="10">
        <f t="shared" si="99"/>
        <v>10</v>
      </c>
      <c r="AE339" s="10">
        <f t="shared" si="100"/>
        <v>20</v>
      </c>
      <c r="AF339" s="10">
        <f t="shared" si="101"/>
        <v>70</v>
      </c>
      <c r="AG339" s="10">
        <f t="shared" si="102"/>
        <v>10</v>
      </c>
      <c r="AH339" s="10">
        <f t="shared" si="103"/>
        <v>20</v>
      </c>
    </row>
    <row r="340" spans="27:34" ht="15">
      <c r="AA340" s="10" t="s">
        <v>899</v>
      </c>
      <c r="AB340" s="10">
        <v>4</v>
      </c>
      <c r="AC340" s="10">
        <f t="shared" si="98"/>
        <v>50</v>
      </c>
      <c r="AD340" s="10">
        <f t="shared" si="99"/>
        <v>10</v>
      </c>
      <c r="AE340" s="10">
        <f t="shared" si="100"/>
        <v>20</v>
      </c>
      <c r="AF340" s="10">
        <f t="shared" si="101"/>
        <v>50</v>
      </c>
      <c r="AG340" s="10">
        <f t="shared" si="102"/>
        <v>10</v>
      </c>
      <c r="AH340" s="10">
        <f t="shared" si="103"/>
        <v>20</v>
      </c>
    </row>
    <row r="341" spans="27:34" ht="15">
      <c r="AA341" s="10" t="s">
        <v>900</v>
      </c>
      <c r="AB341" s="10">
        <v>4</v>
      </c>
      <c r="AC341" s="10">
        <f t="shared" si="98"/>
        <v>50</v>
      </c>
      <c r="AD341" s="10">
        <f t="shared" si="99"/>
        <v>10</v>
      </c>
      <c r="AE341" s="10">
        <f t="shared" si="100"/>
        <v>20</v>
      </c>
      <c r="AF341" s="10">
        <f t="shared" si="101"/>
        <v>50</v>
      </c>
      <c r="AG341" s="10">
        <f t="shared" si="102"/>
        <v>10</v>
      </c>
      <c r="AH341" s="10">
        <f t="shared" si="103"/>
        <v>20</v>
      </c>
    </row>
    <row r="342" spans="27:34" ht="15">
      <c r="AA342" s="10" t="s">
        <v>901</v>
      </c>
      <c r="AB342" s="10">
        <v>2</v>
      </c>
      <c r="AC342" s="10">
        <f t="shared" si="98"/>
        <v>90</v>
      </c>
      <c r="AD342" s="10">
        <f t="shared" si="99"/>
        <v>10</v>
      </c>
      <c r="AE342" s="10">
        <f t="shared" si="100"/>
        <v>20</v>
      </c>
      <c r="AF342" s="10">
        <f t="shared" si="101"/>
        <v>70</v>
      </c>
      <c r="AG342" s="10">
        <f t="shared" si="102"/>
        <v>10</v>
      </c>
      <c r="AH342" s="10">
        <f t="shared" si="103"/>
        <v>20</v>
      </c>
    </row>
    <row r="343" spans="27:34" ht="15">
      <c r="AA343" s="10" t="s">
        <v>903</v>
      </c>
      <c r="AB343" s="10">
        <v>3</v>
      </c>
      <c r="AC343" s="10">
        <f t="shared" si="98"/>
        <v>70</v>
      </c>
      <c r="AD343" s="10">
        <f t="shared" si="99"/>
        <v>10</v>
      </c>
      <c r="AE343" s="10">
        <f t="shared" si="100"/>
        <v>20</v>
      </c>
      <c r="AF343" s="10">
        <f t="shared" si="101"/>
        <v>60</v>
      </c>
      <c r="AG343" s="10">
        <f t="shared" si="102"/>
        <v>10</v>
      </c>
      <c r="AH343" s="10">
        <f t="shared" si="103"/>
        <v>20</v>
      </c>
    </row>
    <row r="344" spans="27:34" ht="15">
      <c r="AA344" s="10" t="s">
        <v>904</v>
      </c>
      <c r="AB344" s="10">
        <v>2</v>
      </c>
      <c r="AC344" s="10">
        <f aca="true" t="shared" si="104" ref="AC344:AC375">VLOOKUP(AB344,$AA$209:$AD$212,2)</f>
        <v>90</v>
      </c>
      <c r="AD344" s="10">
        <f aca="true" t="shared" si="105" ref="AD344:AD375">VLOOKUP(AC344,$AA$209:$AD$212,3)</f>
        <v>10</v>
      </c>
      <c r="AE344" s="10">
        <f aca="true" t="shared" si="106" ref="AE344:AE375">VLOOKUP(AD344,$AA$209:$AD$212,4)</f>
        <v>20</v>
      </c>
      <c r="AF344" s="10">
        <f aca="true" t="shared" si="107" ref="AF344:AF375">VLOOKUP($AB344,$AF$209:$AI$212,2)</f>
        <v>70</v>
      </c>
      <c r="AG344" s="10">
        <f aca="true" t="shared" si="108" ref="AG344:AG375">VLOOKUP($AB344,$AF$209:$AI$212,3)</f>
        <v>10</v>
      </c>
      <c r="AH344" s="10">
        <f aca="true" t="shared" si="109" ref="AH344:AH375">VLOOKUP($AB344,$AF$209:$AI$212,4)</f>
        <v>20</v>
      </c>
    </row>
    <row r="345" spans="27:34" ht="15">
      <c r="AA345" s="10" t="s">
        <v>905</v>
      </c>
      <c r="AB345" s="10">
        <v>4</v>
      </c>
      <c r="AC345" s="10">
        <f t="shared" si="104"/>
        <v>50</v>
      </c>
      <c r="AD345" s="10">
        <f t="shared" si="105"/>
        <v>10</v>
      </c>
      <c r="AE345" s="10">
        <f t="shared" si="106"/>
        <v>20</v>
      </c>
      <c r="AF345" s="10">
        <f t="shared" si="107"/>
        <v>50</v>
      </c>
      <c r="AG345" s="10">
        <f t="shared" si="108"/>
        <v>10</v>
      </c>
      <c r="AH345" s="10">
        <f t="shared" si="109"/>
        <v>20</v>
      </c>
    </row>
    <row r="346" spans="1:34" ht="19.5">
      <c r="A346" s="30"/>
      <c r="B346" s="117" t="s">
        <v>317</v>
      </c>
      <c r="C346" s="30"/>
      <c r="D346" s="30"/>
      <c r="AA346" s="10" t="s">
        <v>906</v>
      </c>
      <c r="AB346" s="10">
        <v>1</v>
      </c>
      <c r="AC346" s="10">
        <f t="shared" si="104"/>
        <v>115</v>
      </c>
      <c r="AD346" s="10">
        <f t="shared" si="105"/>
        <v>10</v>
      </c>
      <c r="AE346" s="10">
        <f t="shared" si="106"/>
        <v>20</v>
      </c>
      <c r="AF346" s="10">
        <f t="shared" si="107"/>
        <v>95</v>
      </c>
      <c r="AG346" s="10">
        <f t="shared" si="108"/>
        <v>10</v>
      </c>
      <c r="AH346" s="10">
        <f t="shared" si="109"/>
        <v>20</v>
      </c>
    </row>
    <row r="347" spans="1:34" ht="15.75">
      <c r="A347" s="32" t="s">
        <v>255</v>
      </c>
      <c r="B347" s="118" t="e">
        <f>G692</f>
        <v>#VALUE!</v>
      </c>
      <c r="C347" s="119" t="s">
        <v>256</v>
      </c>
      <c r="D347" s="120" t="str">
        <f>IF(C22&lt;12,M82,M84)</f>
        <v>Bottom Width too NARROW!!</v>
      </c>
      <c r="AA347" s="10" t="s">
        <v>907</v>
      </c>
      <c r="AB347" s="10">
        <v>4</v>
      </c>
      <c r="AC347" s="10">
        <f t="shared" si="104"/>
        <v>50</v>
      </c>
      <c r="AD347" s="10">
        <f t="shared" si="105"/>
        <v>10</v>
      </c>
      <c r="AE347" s="10">
        <f t="shared" si="106"/>
        <v>20</v>
      </c>
      <c r="AF347" s="10">
        <f t="shared" si="107"/>
        <v>50</v>
      </c>
      <c r="AG347" s="10">
        <f t="shared" si="108"/>
        <v>10</v>
      </c>
      <c r="AH347" s="10">
        <f t="shared" si="109"/>
        <v>20</v>
      </c>
    </row>
    <row r="348" spans="27:34" ht="15">
      <c r="AA348" s="10" t="s">
        <v>908</v>
      </c>
      <c r="AB348" s="10">
        <v>2</v>
      </c>
      <c r="AC348" s="10">
        <f t="shared" si="104"/>
        <v>90</v>
      </c>
      <c r="AD348" s="10">
        <f t="shared" si="105"/>
        <v>10</v>
      </c>
      <c r="AE348" s="10">
        <f t="shared" si="106"/>
        <v>20</v>
      </c>
      <c r="AF348" s="10">
        <f t="shared" si="107"/>
        <v>70</v>
      </c>
      <c r="AG348" s="10">
        <f t="shared" si="108"/>
        <v>10</v>
      </c>
      <c r="AH348" s="10">
        <f t="shared" si="109"/>
        <v>20</v>
      </c>
    </row>
    <row r="349" spans="1:34" ht="15">
      <c r="A349" s="10" t="s">
        <v>909</v>
      </c>
      <c r="C349" s="10" t="s">
        <v>910</v>
      </c>
      <c r="E349" s="10" t="s">
        <v>911</v>
      </c>
      <c r="AA349" s="10" t="s">
        <v>912</v>
      </c>
      <c r="AB349" s="10">
        <v>4</v>
      </c>
      <c r="AC349" s="10">
        <f t="shared" si="104"/>
        <v>50</v>
      </c>
      <c r="AD349" s="10">
        <f t="shared" si="105"/>
        <v>10</v>
      </c>
      <c r="AE349" s="10">
        <f t="shared" si="106"/>
        <v>20</v>
      </c>
      <c r="AF349" s="10">
        <f t="shared" si="107"/>
        <v>50</v>
      </c>
      <c r="AG349" s="10">
        <f t="shared" si="108"/>
        <v>10</v>
      </c>
      <c r="AH349" s="10">
        <f t="shared" si="109"/>
        <v>20</v>
      </c>
    </row>
    <row r="350" spans="27:34" ht="15">
      <c r="AA350" s="10" t="s">
        <v>913</v>
      </c>
      <c r="AB350" s="10">
        <v>3</v>
      </c>
      <c r="AC350" s="10">
        <f t="shared" si="104"/>
        <v>70</v>
      </c>
      <c r="AD350" s="10">
        <f t="shared" si="105"/>
        <v>10</v>
      </c>
      <c r="AE350" s="10">
        <f t="shared" si="106"/>
        <v>20</v>
      </c>
      <c r="AF350" s="10">
        <f t="shared" si="107"/>
        <v>60</v>
      </c>
      <c r="AG350" s="10">
        <f t="shared" si="108"/>
        <v>10</v>
      </c>
      <c r="AH350" s="10">
        <f t="shared" si="109"/>
        <v>20</v>
      </c>
    </row>
    <row r="351" spans="27:34" ht="15">
      <c r="AA351" s="10" t="s">
        <v>914</v>
      </c>
      <c r="AB351" s="10">
        <v>2</v>
      </c>
      <c r="AC351" s="10">
        <f t="shared" si="104"/>
        <v>90</v>
      </c>
      <c r="AD351" s="10">
        <f t="shared" si="105"/>
        <v>10</v>
      </c>
      <c r="AE351" s="10">
        <f t="shared" si="106"/>
        <v>20</v>
      </c>
      <c r="AF351" s="10">
        <f t="shared" si="107"/>
        <v>70</v>
      </c>
      <c r="AG351" s="10">
        <f t="shared" si="108"/>
        <v>10</v>
      </c>
      <c r="AH351" s="10">
        <f t="shared" si="109"/>
        <v>20</v>
      </c>
    </row>
    <row r="352" spans="27:34" ht="15">
      <c r="AA352" s="10" t="s">
        <v>915</v>
      </c>
      <c r="AB352" s="10">
        <v>3</v>
      </c>
      <c r="AC352" s="10">
        <f t="shared" si="104"/>
        <v>70</v>
      </c>
      <c r="AD352" s="10">
        <f t="shared" si="105"/>
        <v>10</v>
      </c>
      <c r="AE352" s="10">
        <f t="shared" si="106"/>
        <v>20</v>
      </c>
      <c r="AF352" s="10">
        <f t="shared" si="107"/>
        <v>60</v>
      </c>
      <c r="AG352" s="10">
        <f t="shared" si="108"/>
        <v>10</v>
      </c>
      <c r="AH352" s="10">
        <f t="shared" si="109"/>
        <v>20</v>
      </c>
    </row>
    <row r="353" spans="27:34" ht="15">
      <c r="AA353" s="10" t="s">
        <v>916</v>
      </c>
      <c r="AB353" s="10">
        <v>3</v>
      </c>
      <c r="AC353" s="10">
        <f t="shared" si="104"/>
        <v>70</v>
      </c>
      <c r="AD353" s="10">
        <f t="shared" si="105"/>
        <v>10</v>
      </c>
      <c r="AE353" s="10">
        <f t="shared" si="106"/>
        <v>20</v>
      </c>
      <c r="AF353" s="10">
        <f t="shared" si="107"/>
        <v>60</v>
      </c>
      <c r="AG353" s="10">
        <f t="shared" si="108"/>
        <v>10</v>
      </c>
      <c r="AH353" s="10">
        <f t="shared" si="109"/>
        <v>20</v>
      </c>
    </row>
    <row r="354" spans="27:34" ht="15">
      <c r="AA354" s="10" t="s">
        <v>917</v>
      </c>
      <c r="AB354" s="10">
        <v>3</v>
      </c>
      <c r="AC354" s="10">
        <f t="shared" si="104"/>
        <v>70</v>
      </c>
      <c r="AD354" s="10">
        <f t="shared" si="105"/>
        <v>10</v>
      </c>
      <c r="AE354" s="10">
        <f t="shared" si="106"/>
        <v>20</v>
      </c>
      <c r="AF354" s="10">
        <f t="shared" si="107"/>
        <v>60</v>
      </c>
      <c r="AG354" s="10">
        <f t="shared" si="108"/>
        <v>10</v>
      </c>
      <c r="AH354" s="10">
        <f t="shared" si="109"/>
        <v>20</v>
      </c>
    </row>
    <row r="355" spans="27:34" ht="15">
      <c r="AA355" s="10" t="s">
        <v>918</v>
      </c>
      <c r="AB355" s="10">
        <v>4</v>
      </c>
      <c r="AC355" s="10">
        <f t="shared" si="104"/>
        <v>50</v>
      </c>
      <c r="AD355" s="10">
        <f t="shared" si="105"/>
        <v>10</v>
      </c>
      <c r="AE355" s="10">
        <f t="shared" si="106"/>
        <v>20</v>
      </c>
      <c r="AF355" s="10">
        <f t="shared" si="107"/>
        <v>50</v>
      </c>
      <c r="AG355" s="10">
        <f t="shared" si="108"/>
        <v>10</v>
      </c>
      <c r="AH355" s="10">
        <f t="shared" si="109"/>
        <v>20</v>
      </c>
    </row>
    <row r="356" spans="27:34" ht="15">
      <c r="AA356" s="10" t="s">
        <v>919</v>
      </c>
      <c r="AB356" s="10">
        <v>3</v>
      </c>
      <c r="AC356" s="10">
        <f t="shared" si="104"/>
        <v>70</v>
      </c>
      <c r="AD356" s="10">
        <f t="shared" si="105"/>
        <v>10</v>
      </c>
      <c r="AE356" s="10">
        <f t="shared" si="106"/>
        <v>20</v>
      </c>
      <c r="AF356" s="10">
        <f t="shared" si="107"/>
        <v>60</v>
      </c>
      <c r="AG356" s="10">
        <f t="shared" si="108"/>
        <v>10</v>
      </c>
      <c r="AH356" s="10">
        <f t="shared" si="109"/>
        <v>20</v>
      </c>
    </row>
    <row r="357" spans="27:34" ht="15">
      <c r="AA357" s="10" t="s">
        <v>920</v>
      </c>
      <c r="AB357" s="10">
        <v>4</v>
      </c>
      <c r="AC357" s="10">
        <f t="shared" si="104"/>
        <v>50</v>
      </c>
      <c r="AD357" s="10">
        <f t="shared" si="105"/>
        <v>10</v>
      </c>
      <c r="AE357" s="10">
        <f t="shared" si="106"/>
        <v>20</v>
      </c>
      <c r="AF357" s="10">
        <f t="shared" si="107"/>
        <v>50</v>
      </c>
      <c r="AG357" s="10">
        <f t="shared" si="108"/>
        <v>10</v>
      </c>
      <c r="AH357" s="10">
        <f t="shared" si="109"/>
        <v>20</v>
      </c>
    </row>
    <row r="358" spans="27:34" ht="15">
      <c r="AA358" s="10" t="s">
        <v>921</v>
      </c>
      <c r="AB358" s="10">
        <v>4</v>
      </c>
      <c r="AC358" s="10">
        <f t="shared" si="104"/>
        <v>50</v>
      </c>
      <c r="AD358" s="10">
        <f t="shared" si="105"/>
        <v>10</v>
      </c>
      <c r="AE358" s="10">
        <f t="shared" si="106"/>
        <v>20</v>
      </c>
      <c r="AF358" s="10">
        <f t="shared" si="107"/>
        <v>50</v>
      </c>
      <c r="AG358" s="10">
        <f t="shared" si="108"/>
        <v>10</v>
      </c>
      <c r="AH358" s="10">
        <f t="shared" si="109"/>
        <v>20</v>
      </c>
    </row>
    <row r="359" spans="27:34" ht="15">
      <c r="AA359" s="10" t="s">
        <v>922</v>
      </c>
      <c r="AB359" s="10">
        <v>4</v>
      </c>
      <c r="AC359" s="10">
        <f t="shared" si="104"/>
        <v>50</v>
      </c>
      <c r="AD359" s="10">
        <f t="shared" si="105"/>
        <v>10</v>
      </c>
      <c r="AE359" s="10">
        <f t="shared" si="106"/>
        <v>20</v>
      </c>
      <c r="AF359" s="10">
        <f t="shared" si="107"/>
        <v>50</v>
      </c>
      <c r="AG359" s="10">
        <f t="shared" si="108"/>
        <v>10</v>
      </c>
      <c r="AH359" s="10">
        <f t="shared" si="109"/>
        <v>20</v>
      </c>
    </row>
    <row r="360" spans="27:34" ht="15">
      <c r="AA360" s="10" t="s">
        <v>923</v>
      </c>
      <c r="AB360" s="10">
        <v>2</v>
      </c>
      <c r="AC360" s="10">
        <f t="shared" si="104"/>
        <v>90</v>
      </c>
      <c r="AD360" s="10">
        <f t="shared" si="105"/>
        <v>10</v>
      </c>
      <c r="AE360" s="10">
        <f t="shared" si="106"/>
        <v>20</v>
      </c>
      <c r="AF360" s="10">
        <f t="shared" si="107"/>
        <v>70</v>
      </c>
      <c r="AG360" s="10">
        <f t="shared" si="108"/>
        <v>10</v>
      </c>
      <c r="AH360" s="10">
        <f t="shared" si="109"/>
        <v>20</v>
      </c>
    </row>
    <row r="361" spans="27:34" ht="15">
      <c r="AA361" s="10" t="s">
        <v>924</v>
      </c>
      <c r="AB361" s="10">
        <v>4</v>
      </c>
      <c r="AC361" s="10">
        <f t="shared" si="104"/>
        <v>50</v>
      </c>
      <c r="AD361" s="10">
        <f t="shared" si="105"/>
        <v>10</v>
      </c>
      <c r="AE361" s="10">
        <f t="shared" si="106"/>
        <v>20</v>
      </c>
      <c r="AF361" s="10">
        <f t="shared" si="107"/>
        <v>50</v>
      </c>
      <c r="AG361" s="10">
        <f t="shared" si="108"/>
        <v>10</v>
      </c>
      <c r="AH361" s="10">
        <f t="shared" si="109"/>
        <v>20</v>
      </c>
    </row>
    <row r="362" spans="27:34" ht="15">
      <c r="AA362" s="10" t="s">
        <v>925</v>
      </c>
      <c r="AB362" s="10">
        <v>1</v>
      </c>
      <c r="AC362" s="10">
        <f t="shared" si="104"/>
        <v>115</v>
      </c>
      <c r="AD362" s="10">
        <f t="shared" si="105"/>
        <v>10</v>
      </c>
      <c r="AE362" s="10">
        <f t="shared" si="106"/>
        <v>20</v>
      </c>
      <c r="AF362" s="10">
        <f t="shared" si="107"/>
        <v>95</v>
      </c>
      <c r="AG362" s="10">
        <f t="shared" si="108"/>
        <v>10</v>
      </c>
      <c r="AH362" s="10">
        <f t="shared" si="109"/>
        <v>20</v>
      </c>
    </row>
    <row r="363" spans="27:34" ht="15">
      <c r="AA363" s="10" t="s">
        <v>934</v>
      </c>
      <c r="AB363" s="10">
        <v>3</v>
      </c>
      <c r="AC363" s="10">
        <f t="shared" si="104"/>
        <v>70</v>
      </c>
      <c r="AD363" s="10">
        <f t="shared" si="105"/>
        <v>10</v>
      </c>
      <c r="AE363" s="10">
        <f t="shared" si="106"/>
        <v>20</v>
      </c>
      <c r="AF363" s="10">
        <f t="shared" si="107"/>
        <v>60</v>
      </c>
      <c r="AG363" s="10">
        <f t="shared" si="108"/>
        <v>10</v>
      </c>
      <c r="AH363" s="10">
        <f t="shared" si="109"/>
        <v>20</v>
      </c>
    </row>
    <row r="364" spans="27:34" ht="15">
      <c r="AA364" s="10" t="s">
        <v>935</v>
      </c>
      <c r="AB364" s="10">
        <v>2</v>
      </c>
      <c r="AC364" s="10">
        <f t="shared" si="104"/>
        <v>90</v>
      </c>
      <c r="AD364" s="10">
        <f t="shared" si="105"/>
        <v>10</v>
      </c>
      <c r="AE364" s="10">
        <f t="shared" si="106"/>
        <v>20</v>
      </c>
      <c r="AF364" s="10">
        <f t="shared" si="107"/>
        <v>70</v>
      </c>
      <c r="AG364" s="10">
        <f t="shared" si="108"/>
        <v>10</v>
      </c>
      <c r="AH364" s="10">
        <f t="shared" si="109"/>
        <v>20</v>
      </c>
    </row>
    <row r="365" spans="27:34" ht="15">
      <c r="AA365" s="10" t="s">
        <v>936</v>
      </c>
      <c r="AB365" s="10">
        <v>2</v>
      </c>
      <c r="AC365" s="10">
        <f t="shared" si="104"/>
        <v>90</v>
      </c>
      <c r="AD365" s="10">
        <f t="shared" si="105"/>
        <v>10</v>
      </c>
      <c r="AE365" s="10">
        <f t="shared" si="106"/>
        <v>20</v>
      </c>
      <c r="AF365" s="10">
        <f t="shared" si="107"/>
        <v>70</v>
      </c>
      <c r="AG365" s="10">
        <f t="shared" si="108"/>
        <v>10</v>
      </c>
      <c r="AH365" s="10">
        <f t="shared" si="109"/>
        <v>20</v>
      </c>
    </row>
    <row r="366" spans="27:34" ht="15">
      <c r="AA366" s="10" t="s">
        <v>937</v>
      </c>
      <c r="AB366" s="10">
        <v>3</v>
      </c>
      <c r="AC366" s="10">
        <f t="shared" si="104"/>
        <v>70</v>
      </c>
      <c r="AD366" s="10">
        <f t="shared" si="105"/>
        <v>10</v>
      </c>
      <c r="AE366" s="10">
        <f t="shared" si="106"/>
        <v>20</v>
      </c>
      <c r="AF366" s="10">
        <f t="shared" si="107"/>
        <v>60</v>
      </c>
      <c r="AG366" s="10">
        <f t="shared" si="108"/>
        <v>10</v>
      </c>
      <c r="AH366" s="10">
        <f t="shared" si="109"/>
        <v>20</v>
      </c>
    </row>
    <row r="367" spans="27:34" ht="15">
      <c r="AA367" s="10" t="s">
        <v>938</v>
      </c>
      <c r="AB367" s="10">
        <v>1</v>
      </c>
      <c r="AC367" s="10">
        <f t="shared" si="104"/>
        <v>115</v>
      </c>
      <c r="AD367" s="10">
        <f t="shared" si="105"/>
        <v>10</v>
      </c>
      <c r="AE367" s="10">
        <f t="shared" si="106"/>
        <v>20</v>
      </c>
      <c r="AF367" s="10">
        <f t="shared" si="107"/>
        <v>95</v>
      </c>
      <c r="AG367" s="10">
        <f t="shared" si="108"/>
        <v>10</v>
      </c>
      <c r="AH367" s="10">
        <f t="shared" si="109"/>
        <v>20</v>
      </c>
    </row>
    <row r="368" spans="27:34" ht="15">
      <c r="AA368" s="10" t="s">
        <v>939</v>
      </c>
      <c r="AB368" s="10">
        <v>3</v>
      </c>
      <c r="AC368" s="10">
        <f t="shared" si="104"/>
        <v>70</v>
      </c>
      <c r="AD368" s="10">
        <f t="shared" si="105"/>
        <v>10</v>
      </c>
      <c r="AE368" s="10">
        <f t="shared" si="106"/>
        <v>20</v>
      </c>
      <c r="AF368" s="10">
        <f t="shared" si="107"/>
        <v>60</v>
      </c>
      <c r="AG368" s="10">
        <f t="shared" si="108"/>
        <v>10</v>
      </c>
      <c r="AH368" s="10">
        <f t="shared" si="109"/>
        <v>20</v>
      </c>
    </row>
    <row r="369" spans="27:34" ht="15">
      <c r="AA369" s="10" t="s">
        <v>940</v>
      </c>
      <c r="AB369" s="10">
        <v>2</v>
      </c>
      <c r="AC369" s="10">
        <f t="shared" si="104"/>
        <v>90</v>
      </c>
      <c r="AD369" s="10">
        <f t="shared" si="105"/>
        <v>10</v>
      </c>
      <c r="AE369" s="10">
        <f t="shared" si="106"/>
        <v>20</v>
      </c>
      <c r="AF369" s="10">
        <f t="shared" si="107"/>
        <v>70</v>
      </c>
      <c r="AG369" s="10">
        <f t="shared" si="108"/>
        <v>10</v>
      </c>
      <c r="AH369" s="10">
        <f t="shared" si="109"/>
        <v>20</v>
      </c>
    </row>
    <row r="370" spans="27:34" ht="15">
      <c r="AA370" s="10" t="s">
        <v>941</v>
      </c>
      <c r="AB370" s="10">
        <v>3</v>
      </c>
      <c r="AC370" s="10">
        <f t="shared" si="104"/>
        <v>70</v>
      </c>
      <c r="AD370" s="10">
        <f t="shared" si="105"/>
        <v>10</v>
      </c>
      <c r="AE370" s="10">
        <f t="shared" si="106"/>
        <v>20</v>
      </c>
      <c r="AF370" s="10">
        <f t="shared" si="107"/>
        <v>60</v>
      </c>
      <c r="AG370" s="10">
        <f t="shared" si="108"/>
        <v>10</v>
      </c>
      <c r="AH370" s="10">
        <f t="shared" si="109"/>
        <v>20</v>
      </c>
    </row>
    <row r="371" spans="27:34" ht="15">
      <c r="AA371" s="10" t="s">
        <v>942</v>
      </c>
      <c r="AB371" s="10">
        <v>4</v>
      </c>
      <c r="AC371" s="10">
        <f t="shared" si="104"/>
        <v>50</v>
      </c>
      <c r="AD371" s="10">
        <f t="shared" si="105"/>
        <v>10</v>
      </c>
      <c r="AE371" s="10">
        <f t="shared" si="106"/>
        <v>20</v>
      </c>
      <c r="AF371" s="10">
        <f t="shared" si="107"/>
        <v>50</v>
      </c>
      <c r="AG371" s="10">
        <f t="shared" si="108"/>
        <v>10</v>
      </c>
      <c r="AH371" s="10">
        <f t="shared" si="109"/>
        <v>20</v>
      </c>
    </row>
    <row r="372" spans="27:34" ht="15">
      <c r="AA372" s="10" t="s">
        <v>943</v>
      </c>
      <c r="AB372" s="10">
        <v>4</v>
      </c>
      <c r="AC372" s="10">
        <f t="shared" si="104"/>
        <v>50</v>
      </c>
      <c r="AD372" s="10">
        <f t="shared" si="105"/>
        <v>10</v>
      </c>
      <c r="AE372" s="10">
        <f t="shared" si="106"/>
        <v>20</v>
      </c>
      <c r="AF372" s="10">
        <f t="shared" si="107"/>
        <v>50</v>
      </c>
      <c r="AG372" s="10">
        <f t="shared" si="108"/>
        <v>10</v>
      </c>
      <c r="AH372" s="10">
        <f t="shared" si="109"/>
        <v>20</v>
      </c>
    </row>
    <row r="373" spans="27:34" ht="15">
      <c r="AA373" s="10" t="s">
        <v>944</v>
      </c>
      <c r="AB373" s="10">
        <v>4</v>
      </c>
      <c r="AC373" s="10">
        <f t="shared" si="104"/>
        <v>50</v>
      </c>
      <c r="AD373" s="10">
        <f t="shared" si="105"/>
        <v>10</v>
      </c>
      <c r="AE373" s="10">
        <f t="shared" si="106"/>
        <v>20</v>
      </c>
      <c r="AF373" s="10">
        <f t="shared" si="107"/>
        <v>50</v>
      </c>
      <c r="AG373" s="10">
        <f t="shared" si="108"/>
        <v>10</v>
      </c>
      <c r="AH373" s="10">
        <f t="shared" si="109"/>
        <v>20</v>
      </c>
    </row>
    <row r="374" spans="27:34" ht="15">
      <c r="AA374" s="10" t="s">
        <v>945</v>
      </c>
      <c r="AB374" s="10">
        <v>3</v>
      </c>
      <c r="AC374" s="10">
        <f t="shared" si="104"/>
        <v>70</v>
      </c>
      <c r="AD374" s="10">
        <f t="shared" si="105"/>
        <v>10</v>
      </c>
      <c r="AE374" s="10">
        <f t="shared" si="106"/>
        <v>20</v>
      </c>
      <c r="AF374" s="10">
        <f t="shared" si="107"/>
        <v>60</v>
      </c>
      <c r="AG374" s="10">
        <f t="shared" si="108"/>
        <v>10</v>
      </c>
      <c r="AH374" s="10">
        <f t="shared" si="109"/>
        <v>20</v>
      </c>
    </row>
    <row r="375" spans="27:34" ht="15">
      <c r="AA375" s="10" t="s">
        <v>946</v>
      </c>
      <c r="AB375" s="10">
        <v>2</v>
      </c>
      <c r="AC375" s="10">
        <f t="shared" si="104"/>
        <v>90</v>
      </c>
      <c r="AD375" s="10">
        <f t="shared" si="105"/>
        <v>10</v>
      </c>
      <c r="AE375" s="10">
        <f t="shared" si="106"/>
        <v>20</v>
      </c>
      <c r="AF375" s="10">
        <f t="shared" si="107"/>
        <v>70</v>
      </c>
      <c r="AG375" s="10">
        <f t="shared" si="108"/>
        <v>10</v>
      </c>
      <c r="AH375" s="10">
        <f t="shared" si="109"/>
        <v>20</v>
      </c>
    </row>
    <row r="376" spans="27:34" ht="15">
      <c r="AA376" s="10" t="s">
        <v>947</v>
      </c>
      <c r="AB376" s="10">
        <v>2</v>
      </c>
      <c r="AC376" s="10">
        <f aca="true" t="shared" si="110" ref="AC376:AC385">VLOOKUP(AB376,$AA$209:$AD$212,2)</f>
        <v>90</v>
      </c>
      <c r="AD376" s="10">
        <f aca="true" t="shared" si="111" ref="AD376:AD385">VLOOKUP(AC376,$AA$209:$AD$212,3)</f>
        <v>10</v>
      </c>
      <c r="AE376" s="10">
        <f aca="true" t="shared" si="112" ref="AE376:AE385">VLOOKUP(AD376,$AA$209:$AD$212,4)</f>
        <v>20</v>
      </c>
      <c r="AF376" s="10">
        <f aca="true" t="shared" si="113" ref="AF376:AF385">VLOOKUP($AB376,$AF$209:$AI$212,2)</f>
        <v>70</v>
      </c>
      <c r="AG376" s="10">
        <f aca="true" t="shared" si="114" ref="AG376:AG385">VLOOKUP($AB376,$AF$209:$AI$212,3)</f>
        <v>10</v>
      </c>
      <c r="AH376" s="10">
        <f aca="true" t="shared" si="115" ref="AH376:AH385">VLOOKUP($AB376,$AF$209:$AI$212,4)</f>
        <v>20</v>
      </c>
    </row>
    <row r="377" spans="27:34" ht="15">
      <c r="AA377" s="10" t="s">
        <v>948</v>
      </c>
      <c r="AB377" s="10">
        <v>1</v>
      </c>
      <c r="AC377" s="10">
        <f t="shared" si="110"/>
        <v>115</v>
      </c>
      <c r="AD377" s="10">
        <f t="shared" si="111"/>
        <v>10</v>
      </c>
      <c r="AE377" s="10">
        <f t="shared" si="112"/>
        <v>20</v>
      </c>
      <c r="AF377" s="10">
        <f t="shared" si="113"/>
        <v>95</v>
      </c>
      <c r="AG377" s="10">
        <f t="shared" si="114"/>
        <v>10</v>
      </c>
      <c r="AH377" s="10">
        <f t="shared" si="115"/>
        <v>20</v>
      </c>
    </row>
    <row r="378" spans="27:34" ht="15">
      <c r="AA378" s="10" t="s">
        <v>949</v>
      </c>
      <c r="AB378" s="10">
        <v>1</v>
      </c>
      <c r="AC378" s="10">
        <f t="shared" si="110"/>
        <v>115</v>
      </c>
      <c r="AD378" s="10">
        <f t="shared" si="111"/>
        <v>10</v>
      </c>
      <c r="AE378" s="10">
        <f t="shared" si="112"/>
        <v>20</v>
      </c>
      <c r="AF378" s="10">
        <f t="shared" si="113"/>
        <v>95</v>
      </c>
      <c r="AG378" s="10">
        <f t="shared" si="114"/>
        <v>10</v>
      </c>
      <c r="AH378" s="10">
        <f t="shared" si="115"/>
        <v>20</v>
      </c>
    </row>
    <row r="379" spans="27:34" ht="15">
      <c r="AA379" s="10" t="s">
        <v>950</v>
      </c>
      <c r="AB379" s="10">
        <v>3</v>
      </c>
      <c r="AC379" s="10">
        <f t="shared" si="110"/>
        <v>70</v>
      </c>
      <c r="AD379" s="10">
        <f t="shared" si="111"/>
        <v>10</v>
      </c>
      <c r="AE379" s="10">
        <f t="shared" si="112"/>
        <v>20</v>
      </c>
      <c r="AF379" s="10">
        <f t="shared" si="113"/>
        <v>60</v>
      </c>
      <c r="AG379" s="10">
        <f t="shared" si="114"/>
        <v>10</v>
      </c>
      <c r="AH379" s="10">
        <f t="shared" si="115"/>
        <v>20</v>
      </c>
    </row>
    <row r="380" spans="27:34" ht="15">
      <c r="AA380" s="10" t="s">
        <v>951</v>
      </c>
      <c r="AB380" s="10">
        <v>2</v>
      </c>
      <c r="AC380" s="10">
        <f t="shared" si="110"/>
        <v>90</v>
      </c>
      <c r="AD380" s="10">
        <f t="shared" si="111"/>
        <v>10</v>
      </c>
      <c r="AE380" s="10">
        <f t="shared" si="112"/>
        <v>20</v>
      </c>
      <c r="AF380" s="10">
        <f t="shared" si="113"/>
        <v>70</v>
      </c>
      <c r="AG380" s="10">
        <f t="shared" si="114"/>
        <v>10</v>
      </c>
      <c r="AH380" s="10">
        <f t="shared" si="115"/>
        <v>20</v>
      </c>
    </row>
    <row r="381" spans="27:34" ht="15">
      <c r="AA381" s="10" t="s">
        <v>952</v>
      </c>
      <c r="AB381" s="10">
        <v>4</v>
      </c>
      <c r="AC381" s="10">
        <f t="shared" si="110"/>
        <v>50</v>
      </c>
      <c r="AD381" s="10">
        <f t="shared" si="111"/>
        <v>10</v>
      </c>
      <c r="AE381" s="10">
        <f t="shared" si="112"/>
        <v>20</v>
      </c>
      <c r="AF381" s="10">
        <f t="shared" si="113"/>
        <v>50</v>
      </c>
      <c r="AG381" s="10">
        <f t="shared" si="114"/>
        <v>10</v>
      </c>
      <c r="AH381" s="10">
        <f t="shared" si="115"/>
        <v>20</v>
      </c>
    </row>
    <row r="382" spans="27:34" ht="15">
      <c r="AA382" s="10" t="s">
        <v>953</v>
      </c>
      <c r="AB382" s="10">
        <v>3</v>
      </c>
      <c r="AC382" s="10">
        <f t="shared" si="110"/>
        <v>70</v>
      </c>
      <c r="AD382" s="10">
        <f t="shared" si="111"/>
        <v>10</v>
      </c>
      <c r="AE382" s="10">
        <f t="shared" si="112"/>
        <v>20</v>
      </c>
      <c r="AF382" s="10">
        <f t="shared" si="113"/>
        <v>60</v>
      </c>
      <c r="AG382" s="10">
        <f t="shared" si="114"/>
        <v>10</v>
      </c>
      <c r="AH382" s="10">
        <f t="shared" si="115"/>
        <v>20</v>
      </c>
    </row>
    <row r="383" spans="27:34" ht="15">
      <c r="AA383" s="10" t="s">
        <v>954</v>
      </c>
      <c r="AB383" s="10">
        <v>3</v>
      </c>
      <c r="AC383" s="10">
        <f t="shared" si="110"/>
        <v>70</v>
      </c>
      <c r="AD383" s="10">
        <f t="shared" si="111"/>
        <v>10</v>
      </c>
      <c r="AE383" s="10">
        <f t="shared" si="112"/>
        <v>20</v>
      </c>
      <c r="AF383" s="10">
        <f t="shared" si="113"/>
        <v>60</v>
      </c>
      <c r="AG383" s="10">
        <f t="shared" si="114"/>
        <v>10</v>
      </c>
      <c r="AH383" s="10">
        <f t="shared" si="115"/>
        <v>20</v>
      </c>
    </row>
    <row r="384" spans="27:34" ht="15">
      <c r="AA384" s="10" t="s">
        <v>955</v>
      </c>
      <c r="AB384" s="10">
        <v>4</v>
      </c>
      <c r="AC384" s="10">
        <f t="shared" si="110"/>
        <v>50</v>
      </c>
      <c r="AD384" s="10">
        <f t="shared" si="111"/>
        <v>10</v>
      </c>
      <c r="AE384" s="10">
        <f t="shared" si="112"/>
        <v>20</v>
      </c>
      <c r="AF384" s="10">
        <f t="shared" si="113"/>
        <v>50</v>
      </c>
      <c r="AG384" s="10">
        <f t="shared" si="114"/>
        <v>10</v>
      </c>
      <c r="AH384" s="10">
        <f t="shared" si="115"/>
        <v>20</v>
      </c>
    </row>
    <row r="385" spans="27:34" ht="15">
      <c r="AA385" s="10" t="s">
        <v>956</v>
      </c>
      <c r="AB385" s="10">
        <v>3</v>
      </c>
      <c r="AC385" s="10">
        <f t="shared" si="110"/>
        <v>70</v>
      </c>
      <c r="AD385" s="10">
        <f t="shared" si="111"/>
        <v>10</v>
      </c>
      <c r="AE385" s="10">
        <f t="shared" si="112"/>
        <v>20</v>
      </c>
      <c r="AF385" s="10">
        <f t="shared" si="113"/>
        <v>60</v>
      </c>
      <c r="AG385" s="10">
        <f t="shared" si="114"/>
        <v>10</v>
      </c>
      <c r="AH385" s="10">
        <f t="shared" si="115"/>
        <v>20</v>
      </c>
    </row>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c r="CC513" s="10" t="e">
        <v>#VALUE!</v>
      </c>
    </row>
    <row r="514" ht="15"/>
    <row r="515" ht="15"/>
    <row r="516" spans="1:82" ht="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22" t="s">
        <v>957</v>
      </c>
    </row>
    <row r="517" ht="15"/>
    <row r="518" ht="15"/>
    <row r="519" ht="15">
      <c r="CC519" s="10">
        <v>0</v>
      </c>
    </row>
    <row r="520" ht="15"/>
    <row r="521" ht="15"/>
    <row r="671" ht="15">
      <c r="B671" s="10" t="s">
        <v>958</v>
      </c>
    </row>
    <row r="672" spans="1:4" ht="15">
      <c r="A672" s="10" t="s">
        <v>959</v>
      </c>
      <c r="D672" s="63" t="s">
        <v>960</v>
      </c>
    </row>
    <row r="673" spans="1:4" ht="15">
      <c r="A673" s="10" t="s">
        <v>961</v>
      </c>
      <c r="B673" s="63" t="s">
        <v>962</v>
      </c>
      <c r="C673" s="63" t="s">
        <v>963</v>
      </c>
      <c r="D673" s="63" t="s">
        <v>964</v>
      </c>
    </row>
    <row r="674" spans="1:4" ht="15">
      <c r="A674" s="90" t="s">
        <v>298</v>
      </c>
      <c r="B674" s="90" t="s">
        <v>298</v>
      </c>
      <c r="C674" s="90" t="s">
        <v>298</v>
      </c>
      <c r="D674" s="90" t="s">
        <v>298</v>
      </c>
    </row>
    <row r="675" spans="1:7" ht="15">
      <c r="A675" s="13" t="s">
        <v>965</v>
      </c>
      <c r="B675" s="26">
        <f>B21</f>
        <v>0</v>
      </c>
      <c r="C675" s="26">
        <f>C21</f>
        <v>0</v>
      </c>
      <c r="D675" s="26">
        <f>G679</f>
        <v>0</v>
      </c>
      <c r="E675" s="13"/>
      <c r="F675" s="13" t="s">
        <v>966</v>
      </c>
      <c r="G675" s="26">
        <f>SUM($B$675*$C$675)</f>
        <v>0</v>
      </c>
    </row>
    <row r="676" spans="1:7" ht="15">
      <c r="A676" s="13" t="s">
        <v>967</v>
      </c>
      <c r="B676" s="26">
        <f>B22</f>
        <v>0</v>
      </c>
      <c r="C676" s="26">
        <f>C22</f>
        <v>0</v>
      </c>
      <c r="D676" s="13"/>
      <c r="E676" s="13"/>
      <c r="F676" s="13" t="s">
        <v>968</v>
      </c>
      <c r="G676" s="26">
        <f>SUM($B$676*$C$676)</f>
        <v>0</v>
      </c>
    </row>
    <row r="677" spans="1:7" ht="15">
      <c r="A677" s="13" t="s">
        <v>969</v>
      </c>
      <c r="B677" s="26">
        <f>B24</f>
        <v>0</v>
      </c>
      <c r="C677" s="26">
        <f>C24</f>
        <v>0</v>
      </c>
      <c r="D677" s="13"/>
      <c r="E677" s="13"/>
      <c r="F677" s="13" t="s">
        <v>970</v>
      </c>
      <c r="G677" s="26">
        <f>SUM($B$675+$B$676)*($C$675+$C$676)</f>
        <v>0</v>
      </c>
    </row>
    <row r="678" spans="1:7" ht="15">
      <c r="A678" s="13" t="s">
        <v>971</v>
      </c>
      <c r="B678" s="26">
        <f>B23</f>
        <v>0</v>
      </c>
      <c r="C678" s="13"/>
      <c r="D678" s="13"/>
      <c r="E678" s="13"/>
      <c r="F678" s="13" t="s">
        <v>972</v>
      </c>
      <c r="G678" s="26">
        <f>G675+G676+G677</f>
        <v>0</v>
      </c>
    </row>
    <row r="679" spans="1:7" ht="15">
      <c r="A679" s="13"/>
      <c r="B679" s="13"/>
      <c r="C679" s="13"/>
      <c r="D679" s="13"/>
      <c r="E679" s="13"/>
      <c r="F679" s="13"/>
      <c r="G679" s="26">
        <f>(G678*B678)/162</f>
        <v>0</v>
      </c>
    </row>
    <row r="682" ht="15">
      <c r="B682" s="10" t="s">
        <v>973</v>
      </c>
    </row>
    <row r="683" spans="1:11" ht="15">
      <c r="A683" s="10" t="s">
        <v>959</v>
      </c>
      <c r="D683" s="63" t="s">
        <v>960</v>
      </c>
      <c r="J683" s="10" t="s">
        <v>974</v>
      </c>
      <c r="K683" s="10" t="s">
        <v>975</v>
      </c>
    </row>
    <row r="684" spans="1:10" ht="15">
      <c r="A684" s="10" t="s">
        <v>961</v>
      </c>
      <c r="B684" s="63" t="s">
        <v>962</v>
      </c>
      <c r="C684" s="63" t="s">
        <v>963</v>
      </c>
      <c r="D684" s="63" t="s">
        <v>964</v>
      </c>
      <c r="J684" s="10" t="s">
        <v>976</v>
      </c>
    </row>
    <row r="685" spans="1:4" ht="15">
      <c r="A685" s="90" t="s">
        <v>298</v>
      </c>
      <c r="B685" s="90" t="s">
        <v>298</v>
      </c>
      <c r="C685" s="90" t="s">
        <v>298</v>
      </c>
      <c r="D685" s="90" t="s">
        <v>298</v>
      </c>
    </row>
    <row r="686" spans="1:11" ht="15">
      <c r="A686" s="13" t="s">
        <v>965</v>
      </c>
      <c r="B686" s="26">
        <f>B22+((B689*B24)*(2))</f>
        <v>0</v>
      </c>
      <c r="C686" s="26">
        <f>C22+((B689*C24)*(2))</f>
        <v>0</v>
      </c>
      <c r="D686" s="26">
        <f>G690</f>
        <v>0</v>
      </c>
      <c r="E686" s="13"/>
      <c r="F686" s="13" t="s">
        <v>966</v>
      </c>
      <c r="G686" s="26">
        <f>SUM($B$686*$C$686)</f>
        <v>0</v>
      </c>
      <c r="H686" s="13"/>
      <c r="I686" s="13"/>
      <c r="J686" s="20"/>
      <c r="K686" s="20"/>
    </row>
    <row r="687" spans="1:15" ht="15">
      <c r="A687" s="13" t="s">
        <v>967</v>
      </c>
      <c r="B687" s="26">
        <f>B22</f>
        <v>0</v>
      </c>
      <c r="C687" s="26">
        <f>C22</f>
        <v>0</v>
      </c>
      <c r="D687" s="13"/>
      <c r="E687" s="13"/>
      <c r="F687" s="13" t="s">
        <v>968</v>
      </c>
      <c r="G687" s="26">
        <f>SUM($B$676*$C$676)</f>
        <v>0</v>
      </c>
      <c r="H687" s="13"/>
      <c r="I687" s="13"/>
      <c r="J687" s="20"/>
      <c r="K687" s="20"/>
      <c r="L687" s="13"/>
      <c r="M687" s="13"/>
      <c r="N687" s="13"/>
      <c r="O687" s="89"/>
    </row>
    <row r="688" spans="1:15" ht="15">
      <c r="A688" s="13" t="s">
        <v>969</v>
      </c>
      <c r="B688" s="26">
        <f>B24</f>
        <v>0</v>
      </c>
      <c r="C688" s="26">
        <f>C24</f>
        <v>0</v>
      </c>
      <c r="D688" s="13"/>
      <c r="E688" s="13"/>
      <c r="F688" s="13" t="s">
        <v>970</v>
      </c>
      <c r="G688" s="26">
        <f>SUM($B$686+$B$687)*($C$686+$C$687)</f>
        <v>0</v>
      </c>
      <c r="H688" s="13"/>
      <c r="I688" s="13"/>
      <c r="J688" s="89"/>
      <c r="K688" s="89"/>
      <c r="L688" s="13"/>
      <c r="M688" s="13"/>
      <c r="N688" s="13"/>
      <c r="O688" s="20"/>
    </row>
    <row r="689" spans="1:15" ht="15">
      <c r="A689" s="13" t="s">
        <v>971</v>
      </c>
      <c r="B689" s="22">
        <f>B23-(1+B692)</f>
        <v>-1.2916666666666667</v>
      </c>
      <c r="C689" s="13"/>
      <c r="D689" s="13"/>
      <c r="E689" s="13"/>
      <c r="F689" s="13" t="s">
        <v>972</v>
      </c>
      <c r="G689" s="26">
        <f>G686+G687+G688</f>
        <v>0</v>
      </c>
      <c r="H689" s="13"/>
      <c r="I689" s="13"/>
      <c r="J689" s="20"/>
      <c r="K689" s="98"/>
      <c r="L689" s="13"/>
      <c r="M689" s="13"/>
      <c r="N689" s="13"/>
      <c r="O689" s="89"/>
    </row>
    <row r="690" spans="1:15" ht="15">
      <c r="A690" s="13"/>
      <c r="B690" s="23" t="s">
        <v>332</v>
      </c>
      <c r="C690" s="13" t="s">
        <v>332</v>
      </c>
      <c r="D690" s="13"/>
      <c r="E690" s="13"/>
      <c r="F690" s="13"/>
      <c r="G690" s="26">
        <f>(G689*B689)/162</f>
        <v>0</v>
      </c>
      <c r="H690" s="13"/>
      <c r="I690" s="13"/>
      <c r="J690" s="20"/>
      <c r="K690" s="20"/>
      <c r="L690" s="13"/>
      <c r="M690" s="13"/>
      <c r="N690" s="13"/>
      <c r="O690" s="89"/>
    </row>
    <row r="691" spans="1:15" ht="15">
      <c r="A691" s="13"/>
      <c r="B691" s="89" t="e">
        <f>G32</f>
        <v>#VALUE!</v>
      </c>
      <c r="C691" s="13" t="s">
        <v>977</v>
      </c>
      <c r="D691" s="13"/>
      <c r="E691" s="13"/>
      <c r="F691" s="13"/>
      <c r="G691" s="13"/>
      <c r="H691" s="13"/>
      <c r="I691" s="13"/>
      <c r="J691" s="20"/>
      <c r="K691" s="20"/>
      <c r="L691" s="13"/>
      <c r="M691" s="13"/>
      <c r="N691" s="13"/>
      <c r="O691" s="89"/>
    </row>
    <row r="692" spans="2:15" ht="15">
      <c r="B692" s="20">
        <f>(G27/12)</f>
        <v>0.2916666666666667</v>
      </c>
      <c r="C692" s="80" t="s">
        <v>978</v>
      </c>
      <c r="D692" s="13"/>
      <c r="E692" s="13"/>
      <c r="F692" s="13"/>
      <c r="G692" s="112" t="e">
        <f>G690/B691</f>
        <v>#VALUE!</v>
      </c>
      <c r="H692" s="13"/>
      <c r="I692" s="13"/>
      <c r="J692" s="81"/>
      <c r="K692" s="81"/>
      <c r="L692" s="13"/>
      <c r="M692" s="13"/>
      <c r="N692" s="121"/>
      <c r="O692" s="89"/>
    </row>
    <row r="693" spans="1:11" ht="15">
      <c r="A693" s="13"/>
      <c r="B693" s="89">
        <f>(G686*B692)/27</f>
        <v>0</v>
      </c>
      <c r="C693" s="80" t="s">
        <v>979</v>
      </c>
      <c r="D693" s="13"/>
      <c r="E693" s="13"/>
      <c r="F693" s="13"/>
      <c r="G693" s="13"/>
      <c r="H693" s="13"/>
      <c r="I693" s="13"/>
      <c r="J693" s="20"/>
      <c r="K693" s="20"/>
    </row>
    <row r="694" spans="1:3" ht="15">
      <c r="A694" s="13"/>
      <c r="B694" s="89">
        <f>G686/27</f>
        <v>0</v>
      </c>
      <c r="C694" s="10" t="s">
        <v>980</v>
      </c>
    </row>
    <row r="695" ht="15">
      <c r="B695" s="90" t="s">
        <v>298</v>
      </c>
    </row>
    <row r="696" spans="1:3" ht="15">
      <c r="A696" s="13"/>
      <c r="B696" s="23" t="e">
        <f>B691+B693+B694</f>
        <v>#VALUE!</v>
      </c>
      <c r="C696" s="10" t="s">
        <v>981</v>
      </c>
    </row>
    <row r="698" spans="6:8" ht="15">
      <c r="F698" s="12" t="s">
        <v>982</v>
      </c>
      <c r="G698" s="12" t="s">
        <v>983</v>
      </c>
      <c r="H698" s="12" t="s">
        <v>984</v>
      </c>
    </row>
    <row r="699" spans="4:8" ht="15">
      <c r="D699" s="10" t="b">
        <f>ISERR(B347)</f>
        <v>1</v>
      </c>
      <c r="E699" s="10" t="s">
        <v>658</v>
      </c>
      <c r="F699" s="10">
        <v>3.6</v>
      </c>
      <c r="G699" s="10">
        <v>15</v>
      </c>
      <c r="H699" s="10">
        <v>0.4</v>
      </c>
    </row>
    <row r="700" spans="5:8" ht="15">
      <c r="E700" s="10" t="s">
        <v>660</v>
      </c>
      <c r="F700" s="10">
        <v>4</v>
      </c>
      <c r="G700" s="10">
        <v>18</v>
      </c>
      <c r="H700" s="10">
        <v>0.6</v>
      </c>
    </row>
    <row r="701" spans="4:8" ht="15">
      <c r="D701" s="10" t="s">
        <v>332</v>
      </c>
      <c r="E701" s="10" t="s">
        <v>662</v>
      </c>
      <c r="F701" s="10">
        <v>3.8</v>
      </c>
      <c r="G701" s="10">
        <v>17</v>
      </c>
      <c r="H701" s="10">
        <v>0.6</v>
      </c>
    </row>
    <row r="702" spans="5:8" ht="15">
      <c r="E702" s="10" t="s">
        <v>664</v>
      </c>
      <c r="F702" s="10">
        <v>3.5</v>
      </c>
      <c r="G702" s="10">
        <v>14</v>
      </c>
      <c r="H702" s="10">
        <v>0.4</v>
      </c>
    </row>
    <row r="703" spans="5:8" ht="15">
      <c r="E703" s="10" t="s">
        <v>666</v>
      </c>
      <c r="F703" s="10">
        <v>3.7</v>
      </c>
      <c r="G703" s="10">
        <v>16.5</v>
      </c>
      <c r="H703" s="10">
        <v>0.6</v>
      </c>
    </row>
    <row r="704" spans="5:8" ht="15">
      <c r="E704" s="10" t="s">
        <v>667</v>
      </c>
      <c r="F704" s="10">
        <v>3.5</v>
      </c>
      <c r="G704" s="10">
        <v>15</v>
      </c>
      <c r="H704" s="10">
        <v>0.4</v>
      </c>
    </row>
    <row r="705" spans="5:8" ht="15">
      <c r="E705" s="10" t="s">
        <v>668</v>
      </c>
      <c r="F705" s="10">
        <v>3.5</v>
      </c>
      <c r="G705" s="10">
        <v>14.5</v>
      </c>
      <c r="H705" s="10">
        <v>0.6</v>
      </c>
    </row>
    <row r="706" spans="5:8" ht="15">
      <c r="E706" s="10" t="s">
        <v>669</v>
      </c>
      <c r="F706" s="10">
        <v>3.8</v>
      </c>
      <c r="G706" s="10">
        <v>16</v>
      </c>
      <c r="H706" s="10">
        <v>0.4</v>
      </c>
    </row>
    <row r="707" spans="5:8" ht="15">
      <c r="E707" s="10" t="s">
        <v>671</v>
      </c>
      <c r="F707" s="10">
        <v>4.1</v>
      </c>
      <c r="G707" s="10">
        <v>19</v>
      </c>
      <c r="H707" s="10">
        <v>0.7</v>
      </c>
    </row>
    <row r="708" spans="5:8" ht="15">
      <c r="E708" s="10" t="s">
        <v>672</v>
      </c>
      <c r="F708" s="10">
        <v>3.8</v>
      </c>
      <c r="G708" s="10">
        <v>18</v>
      </c>
      <c r="H708" s="10">
        <v>0.7</v>
      </c>
    </row>
    <row r="709" spans="5:8" ht="15">
      <c r="E709" s="10" t="s">
        <v>674</v>
      </c>
      <c r="F709" s="10">
        <v>4.1</v>
      </c>
      <c r="G709" s="10">
        <v>19</v>
      </c>
      <c r="H709" s="10">
        <v>0.6</v>
      </c>
    </row>
    <row r="710" spans="5:8" ht="15">
      <c r="E710" s="10" t="s">
        <v>676</v>
      </c>
      <c r="F710" s="10">
        <v>3.5</v>
      </c>
      <c r="G710" s="10">
        <v>13</v>
      </c>
      <c r="H710" s="10">
        <v>0.6</v>
      </c>
    </row>
    <row r="711" spans="5:8" ht="15">
      <c r="E711" s="10" t="s">
        <v>678</v>
      </c>
      <c r="F711" s="10">
        <v>3.6</v>
      </c>
      <c r="G711" s="10">
        <v>15.5</v>
      </c>
      <c r="H711" s="10">
        <v>0.4</v>
      </c>
    </row>
    <row r="712" spans="5:8" ht="15">
      <c r="E712" s="10" t="s">
        <v>679</v>
      </c>
      <c r="F712" s="10">
        <v>3.8</v>
      </c>
      <c r="G712" s="10">
        <v>17.5</v>
      </c>
      <c r="H712" s="10">
        <v>0.6</v>
      </c>
    </row>
    <row r="713" spans="5:8" ht="15">
      <c r="E713" s="10" t="s">
        <v>681</v>
      </c>
      <c r="F713" s="10">
        <v>3.9</v>
      </c>
      <c r="G713" s="10">
        <v>16</v>
      </c>
      <c r="H713" s="10">
        <v>0.4</v>
      </c>
    </row>
    <row r="714" spans="5:8" ht="15">
      <c r="E714" s="10" t="s">
        <v>683</v>
      </c>
      <c r="F714" s="10">
        <v>3.9</v>
      </c>
      <c r="G714" s="10">
        <v>17.5</v>
      </c>
      <c r="H714" s="10">
        <v>0.6</v>
      </c>
    </row>
    <row r="715" spans="5:8" ht="15">
      <c r="E715" s="10" t="s">
        <v>684</v>
      </c>
      <c r="F715" s="10">
        <v>3.5</v>
      </c>
      <c r="G715" s="10">
        <v>13.5</v>
      </c>
      <c r="H715" s="10">
        <v>0.4</v>
      </c>
    </row>
    <row r="716" spans="5:8" ht="15">
      <c r="E716" s="10" t="s">
        <v>686</v>
      </c>
      <c r="F716" s="10">
        <v>3.9</v>
      </c>
      <c r="G716" s="10">
        <v>19</v>
      </c>
      <c r="H716" s="10">
        <v>0.7</v>
      </c>
    </row>
    <row r="717" spans="5:8" ht="15">
      <c r="E717" s="10" t="s">
        <v>688</v>
      </c>
      <c r="F717" s="10">
        <v>3.7</v>
      </c>
      <c r="G717" s="10">
        <v>16</v>
      </c>
      <c r="H717" s="10">
        <v>0.4</v>
      </c>
    </row>
    <row r="718" spans="5:8" ht="15">
      <c r="E718" s="10" t="s">
        <v>689</v>
      </c>
      <c r="F718" s="10">
        <v>3.9</v>
      </c>
      <c r="G718" s="10">
        <v>18</v>
      </c>
      <c r="H718" s="10">
        <v>0.6</v>
      </c>
    </row>
    <row r="719" spans="5:8" ht="15">
      <c r="E719" s="10" t="s">
        <v>690</v>
      </c>
      <c r="F719" s="10">
        <v>3.6</v>
      </c>
      <c r="G719" s="10">
        <v>15</v>
      </c>
      <c r="H719" s="10">
        <v>0.4</v>
      </c>
    </row>
    <row r="720" spans="5:8" ht="15">
      <c r="E720" s="10" t="s">
        <v>692</v>
      </c>
      <c r="F720" s="10">
        <v>3.8</v>
      </c>
      <c r="G720" s="10">
        <v>17</v>
      </c>
      <c r="H720" s="10">
        <v>0.6</v>
      </c>
    </row>
    <row r="721" spans="5:8" ht="15">
      <c r="E721" s="10" t="s">
        <v>694</v>
      </c>
      <c r="F721" s="10">
        <v>4</v>
      </c>
      <c r="G721" s="10">
        <v>18</v>
      </c>
      <c r="H721" s="10">
        <v>0.6</v>
      </c>
    </row>
    <row r="722" spans="5:8" ht="15">
      <c r="E722" s="10" t="s">
        <v>697</v>
      </c>
      <c r="F722" s="10">
        <v>3.9</v>
      </c>
      <c r="G722" s="10">
        <v>17</v>
      </c>
      <c r="H722" s="10">
        <v>0.6</v>
      </c>
    </row>
    <row r="723" spans="5:8" ht="15">
      <c r="E723" s="10" t="s">
        <v>699</v>
      </c>
      <c r="F723" s="10">
        <v>3.7</v>
      </c>
      <c r="G723" s="10">
        <v>16</v>
      </c>
      <c r="H723" s="10">
        <v>0.6</v>
      </c>
    </row>
    <row r="724" spans="5:8" ht="15">
      <c r="E724" s="10" t="s">
        <v>701</v>
      </c>
      <c r="F724" s="10">
        <v>4</v>
      </c>
      <c r="G724" s="10">
        <v>16.5</v>
      </c>
      <c r="H724" s="10">
        <v>0.6</v>
      </c>
    </row>
    <row r="725" spans="5:8" ht="15">
      <c r="E725" s="10" t="s">
        <v>706</v>
      </c>
      <c r="F725" s="10">
        <v>3.5</v>
      </c>
      <c r="G725" s="10">
        <v>14.5</v>
      </c>
      <c r="H725" s="10">
        <v>0.4</v>
      </c>
    </row>
    <row r="726" spans="5:8" ht="15">
      <c r="E726" s="10" t="s">
        <v>708</v>
      </c>
      <c r="F726" s="10">
        <v>3.7</v>
      </c>
      <c r="G726" s="10">
        <v>16</v>
      </c>
      <c r="H726" s="10">
        <v>0.6</v>
      </c>
    </row>
    <row r="727" spans="5:8" ht="15">
      <c r="E727" s="10" t="s">
        <v>709</v>
      </c>
      <c r="F727" s="10">
        <v>3.6</v>
      </c>
      <c r="G727" s="10">
        <v>16</v>
      </c>
      <c r="H727" s="10">
        <v>0.4</v>
      </c>
    </row>
    <row r="728" spans="5:8" ht="15">
      <c r="E728" s="10" t="s">
        <v>710</v>
      </c>
      <c r="F728" s="10">
        <v>3.7</v>
      </c>
      <c r="G728" s="10">
        <v>16</v>
      </c>
      <c r="H728" s="10">
        <v>0.4</v>
      </c>
    </row>
    <row r="729" spans="5:8" ht="15">
      <c r="E729" s="10" t="s">
        <v>711</v>
      </c>
      <c r="F729" s="10">
        <v>3.6</v>
      </c>
      <c r="G729" s="10">
        <v>14</v>
      </c>
      <c r="H729" s="10">
        <v>0.6</v>
      </c>
    </row>
    <row r="730" spans="5:8" ht="15">
      <c r="E730" s="10" t="s">
        <v>713</v>
      </c>
      <c r="F730" s="10">
        <v>3.9</v>
      </c>
      <c r="G730" s="10">
        <v>17.5</v>
      </c>
      <c r="H730" s="10">
        <v>0.6</v>
      </c>
    </row>
    <row r="731" spans="5:8" ht="15">
      <c r="E731" s="10" t="s">
        <v>715</v>
      </c>
      <c r="F731" s="10">
        <v>3.7</v>
      </c>
      <c r="G731" s="10">
        <v>16</v>
      </c>
      <c r="H731" s="10">
        <v>0.4</v>
      </c>
    </row>
    <row r="732" spans="5:8" ht="15">
      <c r="E732" s="10" t="s">
        <v>717</v>
      </c>
      <c r="F732" s="10">
        <v>3.9</v>
      </c>
      <c r="G732" s="10">
        <v>19</v>
      </c>
      <c r="H732" s="10">
        <v>0.7</v>
      </c>
    </row>
    <row r="733" spans="5:8" ht="15">
      <c r="E733" s="10" t="s">
        <v>751</v>
      </c>
      <c r="F733" s="10">
        <v>3.7</v>
      </c>
      <c r="G733" s="10">
        <v>16</v>
      </c>
      <c r="H733" s="10">
        <v>0.6</v>
      </c>
    </row>
    <row r="734" spans="5:8" ht="15">
      <c r="E734" s="10" t="s">
        <v>752</v>
      </c>
      <c r="F734" s="10">
        <v>3.8</v>
      </c>
      <c r="G734" s="10">
        <v>16.5</v>
      </c>
      <c r="H734" s="10">
        <v>0.6</v>
      </c>
    </row>
    <row r="735" spans="5:8" ht="15">
      <c r="E735" s="10" t="s">
        <v>754</v>
      </c>
      <c r="F735" s="10">
        <v>4.1</v>
      </c>
      <c r="G735" s="10">
        <v>20</v>
      </c>
      <c r="H735" s="10">
        <v>0.7</v>
      </c>
    </row>
    <row r="736" spans="5:8" ht="15">
      <c r="E736" s="10" t="s">
        <v>756</v>
      </c>
      <c r="F736" s="10">
        <v>3.6</v>
      </c>
      <c r="G736" s="10">
        <v>16</v>
      </c>
      <c r="H736" s="10">
        <v>0.6</v>
      </c>
    </row>
    <row r="737" spans="5:8" ht="15">
      <c r="E737" s="10" t="s">
        <v>760</v>
      </c>
      <c r="F737" s="10">
        <v>4.2</v>
      </c>
      <c r="G737" s="10">
        <v>20</v>
      </c>
      <c r="H737" s="10">
        <v>0.7</v>
      </c>
    </row>
    <row r="738" spans="5:8" ht="15">
      <c r="E738" s="10" t="s">
        <v>764</v>
      </c>
      <c r="F738" s="10">
        <v>3.7</v>
      </c>
      <c r="G738" s="10">
        <v>16</v>
      </c>
      <c r="H738" s="10">
        <v>0.6</v>
      </c>
    </row>
    <row r="739" spans="5:8" ht="15">
      <c r="E739" s="10" t="s">
        <v>766</v>
      </c>
      <c r="F739" s="10">
        <v>4.2</v>
      </c>
      <c r="G739" s="10">
        <v>19.5</v>
      </c>
      <c r="H739" s="10">
        <v>0.7</v>
      </c>
    </row>
    <row r="740" spans="5:8" ht="15">
      <c r="E740" s="10" t="s">
        <v>767</v>
      </c>
      <c r="F740" s="10">
        <v>3.7</v>
      </c>
      <c r="G740" s="10">
        <v>17</v>
      </c>
      <c r="H740" s="10">
        <v>0.6</v>
      </c>
    </row>
    <row r="741" spans="5:8" ht="15">
      <c r="E741" s="10" t="s">
        <v>769</v>
      </c>
      <c r="F741" s="10">
        <v>3.8</v>
      </c>
      <c r="G741" s="10">
        <v>15</v>
      </c>
      <c r="H741" s="10">
        <v>0.4</v>
      </c>
    </row>
    <row r="742" spans="5:8" ht="15">
      <c r="E742" s="10" t="s">
        <v>771</v>
      </c>
      <c r="F742" s="10">
        <v>3.5</v>
      </c>
      <c r="G742" s="10">
        <v>15</v>
      </c>
      <c r="H742" s="10">
        <v>0.4</v>
      </c>
    </row>
    <row r="743" spans="5:8" ht="15">
      <c r="E743" s="10" t="s">
        <v>773</v>
      </c>
      <c r="F743" s="10">
        <v>3.6</v>
      </c>
      <c r="G743" s="10">
        <v>16</v>
      </c>
      <c r="H743" s="10">
        <v>0.4</v>
      </c>
    </row>
    <row r="744" spans="5:8" ht="15">
      <c r="E744" s="10" t="s">
        <v>775</v>
      </c>
      <c r="F744" s="10">
        <v>4</v>
      </c>
      <c r="G744" s="10">
        <v>18.5</v>
      </c>
      <c r="H744" s="10">
        <v>0.7</v>
      </c>
    </row>
    <row r="745" spans="5:8" ht="15">
      <c r="E745" s="10" t="s">
        <v>777</v>
      </c>
      <c r="F745" s="10">
        <v>3.9</v>
      </c>
      <c r="G745" s="10">
        <v>17.5</v>
      </c>
      <c r="H745" s="10">
        <v>0.6</v>
      </c>
    </row>
    <row r="746" spans="5:8" ht="15">
      <c r="E746" s="10" t="s">
        <v>778</v>
      </c>
      <c r="F746" s="10">
        <v>3.8</v>
      </c>
      <c r="G746" s="10">
        <v>16</v>
      </c>
      <c r="H746" s="10">
        <v>0.6</v>
      </c>
    </row>
    <row r="747" spans="5:8" ht="15">
      <c r="E747" s="10" t="s">
        <v>779</v>
      </c>
      <c r="F747" s="10">
        <v>4</v>
      </c>
      <c r="G747" s="10">
        <v>19.5</v>
      </c>
      <c r="H747" s="10">
        <v>0.7</v>
      </c>
    </row>
    <row r="748" spans="5:8" ht="15">
      <c r="E748" s="10" t="s">
        <v>780</v>
      </c>
      <c r="F748" s="10">
        <v>3.9</v>
      </c>
      <c r="G748" s="10">
        <v>18.5</v>
      </c>
      <c r="H748" s="10">
        <v>0.7</v>
      </c>
    </row>
    <row r="749" spans="5:8" ht="15">
      <c r="E749" s="10" t="s">
        <v>781</v>
      </c>
      <c r="F749" s="10">
        <v>3.6</v>
      </c>
      <c r="G749" s="10">
        <v>15.5</v>
      </c>
      <c r="H749" s="10">
        <v>0.6</v>
      </c>
    </row>
    <row r="750" spans="5:8" ht="15">
      <c r="E750" s="10" t="s">
        <v>782</v>
      </c>
      <c r="F750" s="10">
        <v>3.8</v>
      </c>
      <c r="G750" s="10">
        <v>17</v>
      </c>
      <c r="H750" s="10">
        <v>0.6</v>
      </c>
    </row>
    <row r="751" spans="5:8" ht="15">
      <c r="E751" s="10" t="s">
        <v>783</v>
      </c>
      <c r="F751" s="10">
        <v>3.5</v>
      </c>
      <c r="G751" s="10">
        <v>13.5</v>
      </c>
      <c r="H751" s="10">
        <v>0.6</v>
      </c>
    </row>
    <row r="752" spans="5:8" ht="15">
      <c r="E752" s="10" t="s">
        <v>784</v>
      </c>
      <c r="F752" s="10">
        <v>3.6</v>
      </c>
      <c r="G752" s="10">
        <v>15</v>
      </c>
      <c r="H752" s="10">
        <v>0.4</v>
      </c>
    </row>
    <row r="753" spans="5:8" ht="15">
      <c r="E753" s="10" t="s">
        <v>785</v>
      </c>
      <c r="F753" s="10">
        <v>4</v>
      </c>
      <c r="G753" s="10">
        <v>18</v>
      </c>
      <c r="H753" s="10">
        <v>0.6</v>
      </c>
    </row>
    <row r="754" spans="5:8" ht="15">
      <c r="E754" s="10" t="s">
        <v>786</v>
      </c>
      <c r="F754" s="10">
        <v>3.8</v>
      </c>
      <c r="G754" s="10">
        <v>17</v>
      </c>
      <c r="H754" s="10">
        <v>0.6</v>
      </c>
    </row>
    <row r="755" spans="5:8" ht="15">
      <c r="E755" s="10" t="s">
        <v>787</v>
      </c>
      <c r="F755" s="10">
        <v>3.5</v>
      </c>
      <c r="G755" s="10">
        <v>14</v>
      </c>
      <c r="H755" s="10">
        <v>0.4</v>
      </c>
    </row>
    <row r="756" spans="5:8" ht="15">
      <c r="E756" s="10" t="s">
        <v>788</v>
      </c>
      <c r="F756" s="10">
        <v>3.7</v>
      </c>
      <c r="G756" s="10">
        <v>16.5</v>
      </c>
      <c r="H756" s="10">
        <v>0.6</v>
      </c>
    </row>
    <row r="757" spans="5:8" ht="15">
      <c r="E757" s="10" t="s">
        <v>789</v>
      </c>
      <c r="F757" s="10">
        <v>3.5</v>
      </c>
      <c r="G757" s="10">
        <v>15</v>
      </c>
      <c r="H757" s="10">
        <v>0.4</v>
      </c>
    </row>
    <row r="758" spans="5:8" ht="15">
      <c r="E758" s="10" t="s">
        <v>790</v>
      </c>
      <c r="F758" s="10">
        <v>3.5</v>
      </c>
      <c r="G758" s="10">
        <v>14.5</v>
      </c>
      <c r="H758" s="10">
        <v>0.6</v>
      </c>
    </row>
    <row r="759" spans="5:8" ht="15">
      <c r="E759" s="10" t="s">
        <v>791</v>
      </c>
      <c r="F759" s="10">
        <v>3.8</v>
      </c>
      <c r="G759" s="10">
        <v>16</v>
      </c>
      <c r="H759" s="10">
        <v>0.4</v>
      </c>
    </row>
    <row r="760" spans="5:8" ht="15">
      <c r="E760" s="10" t="s">
        <v>792</v>
      </c>
      <c r="F760" s="10">
        <v>4.1</v>
      </c>
      <c r="G760" s="10">
        <v>19</v>
      </c>
      <c r="H760" s="10">
        <v>0.7</v>
      </c>
    </row>
    <row r="761" spans="5:8" ht="15">
      <c r="E761" s="10" t="s">
        <v>793</v>
      </c>
      <c r="F761" s="10">
        <v>3.8</v>
      </c>
      <c r="G761" s="10">
        <v>18</v>
      </c>
      <c r="H761" s="10">
        <v>0.7</v>
      </c>
    </row>
    <row r="762" spans="5:8" ht="15">
      <c r="E762" s="10" t="s">
        <v>794</v>
      </c>
      <c r="F762" s="10">
        <v>4.1</v>
      </c>
      <c r="G762" s="10">
        <v>19</v>
      </c>
      <c r="H762" s="10">
        <v>0.6</v>
      </c>
    </row>
    <row r="763" spans="5:8" ht="15">
      <c r="E763" s="10" t="s">
        <v>795</v>
      </c>
      <c r="F763" s="10">
        <v>3.5</v>
      </c>
      <c r="G763" s="10">
        <v>13</v>
      </c>
      <c r="H763" s="10">
        <v>0.6</v>
      </c>
    </row>
    <row r="764" spans="5:8" ht="15">
      <c r="E764" s="10" t="s">
        <v>796</v>
      </c>
      <c r="F764" s="10">
        <v>3.6</v>
      </c>
      <c r="G764" s="10">
        <v>15.5</v>
      </c>
      <c r="H764" s="10">
        <v>0.4</v>
      </c>
    </row>
    <row r="765" spans="5:8" ht="15">
      <c r="E765" s="10" t="s">
        <v>797</v>
      </c>
      <c r="F765" s="10">
        <v>3.8</v>
      </c>
      <c r="G765" s="10">
        <v>17.5</v>
      </c>
      <c r="H765" s="10">
        <v>0.6</v>
      </c>
    </row>
    <row r="766" spans="5:8" ht="15">
      <c r="E766" s="10" t="s">
        <v>798</v>
      </c>
      <c r="F766" s="10">
        <v>3.9</v>
      </c>
      <c r="G766" s="10">
        <v>16</v>
      </c>
      <c r="H766" s="10">
        <v>0.4</v>
      </c>
    </row>
    <row r="767" spans="5:8" ht="15">
      <c r="E767" s="10" t="s">
        <v>799</v>
      </c>
      <c r="F767" s="10">
        <v>3.9</v>
      </c>
      <c r="G767" s="10">
        <v>17.5</v>
      </c>
      <c r="H767" s="10">
        <v>0.6</v>
      </c>
    </row>
    <row r="768" spans="5:8" ht="15">
      <c r="E768" s="10" t="s">
        <v>800</v>
      </c>
      <c r="F768" s="10">
        <v>3.5</v>
      </c>
      <c r="G768" s="10">
        <v>13.5</v>
      </c>
      <c r="H768" s="10">
        <v>0.4</v>
      </c>
    </row>
    <row r="769" spans="5:8" ht="15">
      <c r="E769" s="10" t="s">
        <v>801</v>
      </c>
      <c r="F769" s="10">
        <v>3.9</v>
      </c>
      <c r="G769" s="10">
        <v>19</v>
      </c>
      <c r="H769" s="10">
        <v>0.7</v>
      </c>
    </row>
    <row r="770" spans="5:8" ht="15">
      <c r="E770" s="10" t="s">
        <v>802</v>
      </c>
      <c r="F770" s="10">
        <v>3.7</v>
      </c>
      <c r="G770" s="10">
        <v>16</v>
      </c>
      <c r="H770" s="10">
        <v>0.4</v>
      </c>
    </row>
    <row r="771" spans="5:8" ht="15">
      <c r="E771" s="10" t="s">
        <v>803</v>
      </c>
      <c r="F771" s="10">
        <v>3.9</v>
      </c>
      <c r="G771" s="10">
        <v>18</v>
      </c>
      <c r="H771" s="10">
        <v>0.6</v>
      </c>
    </row>
    <row r="772" spans="5:8" ht="15">
      <c r="E772" s="10" t="s">
        <v>804</v>
      </c>
      <c r="F772" s="10">
        <v>3.6</v>
      </c>
      <c r="G772" s="10">
        <v>15</v>
      </c>
      <c r="H772" s="10">
        <v>0.4</v>
      </c>
    </row>
    <row r="773" spans="5:8" ht="15">
      <c r="E773" s="10" t="s">
        <v>807</v>
      </c>
      <c r="F773" s="10">
        <v>3.8</v>
      </c>
      <c r="G773" s="10">
        <v>17</v>
      </c>
      <c r="H773" s="10">
        <v>0.6</v>
      </c>
    </row>
    <row r="774" spans="5:8" ht="15">
      <c r="E774" s="10" t="s">
        <v>224</v>
      </c>
      <c r="F774" s="10">
        <v>4</v>
      </c>
      <c r="G774" s="10">
        <v>18</v>
      </c>
      <c r="H774" s="10">
        <v>0.6</v>
      </c>
    </row>
    <row r="775" spans="5:8" ht="15">
      <c r="E775" s="10" t="s">
        <v>810</v>
      </c>
      <c r="F775" s="10">
        <v>3.9</v>
      </c>
      <c r="G775" s="10">
        <v>17</v>
      </c>
      <c r="H775" s="10">
        <v>0.6</v>
      </c>
    </row>
    <row r="776" spans="5:8" ht="15">
      <c r="E776" s="10" t="s">
        <v>812</v>
      </c>
      <c r="F776" s="10">
        <v>3.7</v>
      </c>
      <c r="G776" s="10">
        <v>16</v>
      </c>
      <c r="H776" s="10">
        <v>0.6</v>
      </c>
    </row>
    <row r="777" spans="5:8" ht="15">
      <c r="E777" s="10" t="s">
        <v>814</v>
      </c>
      <c r="F777" s="10">
        <v>4</v>
      </c>
      <c r="G777" s="10">
        <v>16.5</v>
      </c>
      <c r="H777" s="10">
        <v>0.6</v>
      </c>
    </row>
    <row r="778" spans="5:8" ht="15">
      <c r="E778" s="10" t="s">
        <v>815</v>
      </c>
      <c r="F778" s="10">
        <v>3.5</v>
      </c>
      <c r="G778" s="10">
        <v>14.5</v>
      </c>
      <c r="H778" s="10">
        <v>0.4</v>
      </c>
    </row>
    <row r="779" spans="5:8" ht="15">
      <c r="E779" s="10" t="s">
        <v>817</v>
      </c>
      <c r="F779" s="10">
        <v>3.7</v>
      </c>
      <c r="G779" s="10">
        <v>16</v>
      </c>
      <c r="H779" s="10">
        <v>0.6</v>
      </c>
    </row>
    <row r="780" spans="5:8" ht="15">
      <c r="E780" s="10" t="s">
        <v>818</v>
      </c>
      <c r="F780" s="10">
        <v>3.6</v>
      </c>
      <c r="G780" s="10">
        <v>16</v>
      </c>
      <c r="H780" s="10">
        <v>0.4</v>
      </c>
    </row>
    <row r="781" spans="5:8" ht="15">
      <c r="E781" s="10" t="s">
        <v>819</v>
      </c>
      <c r="F781" s="10">
        <v>3.7</v>
      </c>
      <c r="G781" s="10">
        <v>16</v>
      </c>
      <c r="H781" s="10">
        <v>0.4</v>
      </c>
    </row>
    <row r="782" spans="5:8" ht="15">
      <c r="E782" s="10" t="s">
        <v>820</v>
      </c>
      <c r="F782" s="10">
        <v>3.6</v>
      </c>
      <c r="G782" s="10">
        <v>14</v>
      </c>
      <c r="H782" s="10">
        <v>0.6</v>
      </c>
    </row>
    <row r="783" spans="5:8" ht="15">
      <c r="E783" s="10" t="s">
        <v>821</v>
      </c>
      <c r="F783" s="10">
        <v>3.9</v>
      </c>
      <c r="G783" s="10">
        <v>17.5</v>
      </c>
      <c r="H783" s="10">
        <v>0.6</v>
      </c>
    </row>
    <row r="784" spans="5:8" ht="15">
      <c r="E784" s="10" t="s">
        <v>822</v>
      </c>
      <c r="F784" s="10">
        <v>3.7</v>
      </c>
      <c r="G784" s="10">
        <v>16</v>
      </c>
      <c r="H784" s="10">
        <v>0.4</v>
      </c>
    </row>
    <row r="785" spans="5:8" ht="15">
      <c r="E785" s="10" t="s">
        <v>823</v>
      </c>
      <c r="F785" s="10">
        <v>3.9</v>
      </c>
      <c r="G785" s="10">
        <v>19</v>
      </c>
      <c r="H785" s="10">
        <v>0.7</v>
      </c>
    </row>
    <row r="786" spans="5:8" ht="15">
      <c r="E786" s="10" t="s">
        <v>824</v>
      </c>
      <c r="F786" s="10">
        <v>3.7</v>
      </c>
      <c r="G786" s="10">
        <v>16</v>
      </c>
      <c r="H786" s="10">
        <v>0.6</v>
      </c>
    </row>
    <row r="787" spans="5:8" ht="15">
      <c r="E787" s="10" t="s">
        <v>825</v>
      </c>
      <c r="F787" s="10">
        <v>3.8</v>
      </c>
      <c r="G787" s="10">
        <v>16.5</v>
      </c>
      <c r="H787" s="10">
        <v>0.6</v>
      </c>
    </row>
    <row r="788" spans="5:8" ht="15">
      <c r="E788" s="10" t="s">
        <v>826</v>
      </c>
      <c r="F788" s="10">
        <v>4.1</v>
      </c>
      <c r="G788" s="10">
        <v>20</v>
      </c>
      <c r="H788" s="10">
        <v>0.7</v>
      </c>
    </row>
    <row r="789" spans="5:8" ht="15">
      <c r="E789" s="10" t="s">
        <v>827</v>
      </c>
      <c r="F789" s="10">
        <v>3.6</v>
      </c>
      <c r="G789" s="10">
        <v>16</v>
      </c>
      <c r="H789" s="10">
        <v>0.6</v>
      </c>
    </row>
    <row r="790" spans="5:8" ht="15">
      <c r="E790" s="10" t="s">
        <v>828</v>
      </c>
      <c r="F790" s="10">
        <v>4.2</v>
      </c>
      <c r="G790" s="10">
        <v>20</v>
      </c>
      <c r="H790" s="10">
        <v>0.7</v>
      </c>
    </row>
    <row r="791" spans="5:8" ht="15">
      <c r="E791" s="10" t="s">
        <v>829</v>
      </c>
      <c r="F791" s="10">
        <v>3.7</v>
      </c>
      <c r="G791" s="10">
        <v>16</v>
      </c>
      <c r="H791" s="10">
        <v>0.6</v>
      </c>
    </row>
    <row r="792" spans="5:8" ht="15">
      <c r="E792" s="10" t="s">
        <v>830</v>
      </c>
      <c r="F792" s="10">
        <v>4.2</v>
      </c>
      <c r="G792" s="10">
        <v>19.5</v>
      </c>
      <c r="H792" s="10">
        <v>0.7</v>
      </c>
    </row>
    <row r="793" spans="5:8" ht="15">
      <c r="E793" s="10" t="s">
        <v>831</v>
      </c>
      <c r="F793" s="10">
        <v>3.7</v>
      </c>
      <c r="G793" s="10">
        <v>17</v>
      </c>
      <c r="H793" s="10">
        <v>0.6</v>
      </c>
    </row>
    <row r="794" spans="5:8" ht="15">
      <c r="E794" s="10" t="s">
        <v>832</v>
      </c>
      <c r="F794" s="10">
        <v>3.8</v>
      </c>
      <c r="G794" s="10">
        <v>15</v>
      </c>
      <c r="H794" s="10">
        <v>0.4</v>
      </c>
    </row>
    <row r="795" spans="5:8" ht="15">
      <c r="E795" s="10" t="s">
        <v>833</v>
      </c>
      <c r="F795" s="10">
        <v>3.5</v>
      </c>
      <c r="G795" s="10">
        <v>15</v>
      </c>
      <c r="H795" s="10">
        <v>0.4</v>
      </c>
    </row>
    <row r="796" spans="5:8" ht="15">
      <c r="E796" s="10" t="s">
        <v>834</v>
      </c>
      <c r="F796" s="10">
        <v>3.6</v>
      </c>
      <c r="G796" s="10">
        <v>16</v>
      </c>
      <c r="H796" s="10">
        <v>0.4</v>
      </c>
    </row>
    <row r="797" spans="5:8" ht="15">
      <c r="E797" s="10" t="s">
        <v>835</v>
      </c>
      <c r="F797" s="10">
        <v>4</v>
      </c>
      <c r="G797" s="10">
        <v>18.5</v>
      </c>
      <c r="H797" s="10">
        <v>0.7</v>
      </c>
    </row>
    <row r="798" spans="5:8" ht="15">
      <c r="E798" s="10" t="s">
        <v>836</v>
      </c>
      <c r="F798" s="10">
        <v>3.9</v>
      </c>
      <c r="G798" s="10">
        <v>17.5</v>
      </c>
      <c r="H798" s="10">
        <v>0.6</v>
      </c>
    </row>
    <row r="799" spans="5:8" ht="15">
      <c r="E799" s="10" t="s">
        <v>837</v>
      </c>
      <c r="F799" s="10">
        <v>3.8</v>
      </c>
      <c r="G799" s="10">
        <v>16</v>
      </c>
      <c r="H799" s="10">
        <v>0.6</v>
      </c>
    </row>
    <row r="800" spans="5:8" ht="15">
      <c r="E800" s="10" t="s">
        <v>838</v>
      </c>
      <c r="F800" s="10">
        <v>4</v>
      </c>
      <c r="G800" s="10">
        <v>19.5</v>
      </c>
      <c r="H800" s="10">
        <v>0.7</v>
      </c>
    </row>
    <row r="801" spans="5:8" ht="15">
      <c r="E801" s="10" t="s">
        <v>839</v>
      </c>
      <c r="F801" s="10">
        <v>3.9</v>
      </c>
      <c r="G801" s="10">
        <v>18.5</v>
      </c>
      <c r="H801" s="10">
        <v>0.7</v>
      </c>
    </row>
    <row r="802" spans="5:8" ht="15">
      <c r="E802" s="10" t="s">
        <v>840</v>
      </c>
      <c r="F802" s="10">
        <v>3.6</v>
      </c>
      <c r="G802" s="10">
        <v>15.5</v>
      </c>
      <c r="H802" s="10">
        <v>0.6</v>
      </c>
    </row>
    <row r="803" spans="5:8" ht="15">
      <c r="E803" s="10" t="s">
        <v>841</v>
      </c>
      <c r="F803" s="10">
        <v>3.8</v>
      </c>
      <c r="G803" s="10">
        <v>17</v>
      </c>
      <c r="H803" s="10">
        <v>0.6</v>
      </c>
    </row>
    <row r="804" spans="5:8" ht="15">
      <c r="E804" s="10" t="s">
        <v>842</v>
      </c>
      <c r="F804" s="10">
        <v>3.5</v>
      </c>
      <c r="G804" s="10">
        <v>13.5</v>
      </c>
      <c r="H804" s="10">
        <v>0.6</v>
      </c>
    </row>
    <row r="805" spans="5:8" ht="15">
      <c r="E805" s="10" t="s">
        <v>843</v>
      </c>
      <c r="F805" s="10">
        <v>3.6</v>
      </c>
      <c r="G805" s="10">
        <v>15</v>
      </c>
      <c r="H805" s="10">
        <v>0.4</v>
      </c>
    </row>
    <row r="806" spans="5:8" ht="15">
      <c r="E806" s="10" t="s">
        <v>844</v>
      </c>
      <c r="F806" s="10">
        <v>4</v>
      </c>
      <c r="G806" s="10">
        <v>18</v>
      </c>
      <c r="H806" s="10">
        <v>0.6</v>
      </c>
    </row>
    <row r="807" spans="5:8" ht="15">
      <c r="E807" s="10" t="s">
        <v>845</v>
      </c>
      <c r="F807" s="10">
        <v>3.8</v>
      </c>
      <c r="G807" s="10">
        <v>17</v>
      </c>
      <c r="H807" s="10">
        <v>0.6</v>
      </c>
    </row>
    <row r="808" spans="5:8" ht="15">
      <c r="E808" s="10" t="s">
        <v>846</v>
      </c>
      <c r="F808" s="10">
        <v>3.5</v>
      </c>
      <c r="G808" s="10">
        <v>14</v>
      </c>
      <c r="H808" s="10">
        <v>0.4</v>
      </c>
    </row>
    <row r="809" spans="5:8" ht="15">
      <c r="E809" s="10" t="s">
        <v>847</v>
      </c>
      <c r="F809" s="10">
        <v>3.7</v>
      </c>
      <c r="G809" s="10">
        <v>16.5</v>
      </c>
      <c r="H809" s="10">
        <v>0.6</v>
      </c>
    </row>
    <row r="810" spans="5:8" ht="15">
      <c r="E810" s="10" t="s">
        <v>848</v>
      </c>
      <c r="F810" s="10">
        <v>3.5</v>
      </c>
      <c r="G810" s="10">
        <v>15</v>
      </c>
      <c r="H810" s="10">
        <v>0.4</v>
      </c>
    </row>
    <row r="811" spans="5:8" ht="15">
      <c r="E811" s="10" t="s">
        <v>849</v>
      </c>
      <c r="F811" s="10">
        <v>3.5</v>
      </c>
      <c r="G811" s="10">
        <v>14.5</v>
      </c>
      <c r="H811" s="10">
        <v>0.6</v>
      </c>
    </row>
    <row r="812" spans="5:8" ht="15">
      <c r="E812" s="10" t="s">
        <v>850</v>
      </c>
      <c r="F812" s="10">
        <v>3.8</v>
      </c>
      <c r="G812" s="10">
        <v>16</v>
      </c>
      <c r="H812" s="10">
        <v>0.4</v>
      </c>
    </row>
    <row r="813" spans="5:8" ht="15">
      <c r="E813" s="10" t="s">
        <v>851</v>
      </c>
      <c r="F813" s="10">
        <v>4.1</v>
      </c>
      <c r="G813" s="10">
        <v>19</v>
      </c>
      <c r="H813" s="10">
        <v>0.7</v>
      </c>
    </row>
    <row r="814" spans="5:8" ht="15">
      <c r="E814" s="10" t="s">
        <v>852</v>
      </c>
      <c r="F814" s="10">
        <v>3.8</v>
      </c>
      <c r="G814" s="10">
        <v>18</v>
      </c>
      <c r="H814" s="10">
        <v>0.7</v>
      </c>
    </row>
    <row r="815" spans="5:8" ht="15">
      <c r="E815" s="10" t="s">
        <v>853</v>
      </c>
      <c r="F815" s="10">
        <v>4.1</v>
      </c>
      <c r="G815" s="10">
        <v>19</v>
      </c>
      <c r="H815" s="10">
        <v>0.6</v>
      </c>
    </row>
    <row r="816" spans="5:8" ht="15">
      <c r="E816" s="10" t="s">
        <v>899</v>
      </c>
      <c r="F816" s="10">
        <v>3.5</v>
      </c>
      <c r="G816" s="10">
        <v>13</v>
      </c>
      <c r="H816" s="10">
        <v>0.6</v>
      </c>
    </row>
    <row r="817" spans="5:8" ht="15">
      <c r="E817" s="10" t="s">
        <v>900</v>
      </c>
      <c r="F817" s="10">
        <v>3.6</v>
      </c>
      <c r="G817" s="10">
        <v>15.5</v>
      </c>
      <c r="H817" s="10">
        <v>0.4</v>
      </c>
    </row>
    <row r="818" spans="5:8" ht="15">
      <c r="E818" s="10" t="s">
        <v>901</v>
      </c>
      <c r="F818" s="10">
        <v>3.8</v>
      </c>
      <c r="G818" s="10">
        <v>17.5</v>
      </c>
      <c r="H818" s="10">
        <v>0.6</v>
      </c>
    </row>
    <row r="819" spans="5:8" ht="15">
      <c r="E819" s="10" t="s">
        <v>903</v>
      </c>
      <c r="F819" s="10">
        <v>3.9</v>
      </c>
      <c r="G819" s="10">
        <v>16</v>
      </c>
      <c r="H819" s="10">
        <v>0.4</v>
      </c>
    </row>
    <row r="820" spans="5:8" ht="15">
      <c r="E820" s="10" t="s">
        <v>904</v>
      </c>
      <c r="F820" s="10">
        <v>3.9</v>
      </c>
      <c r="G820" s="10">
        <v>17.5</v>
      </c>
      <c r="H820" s="10">
        <v>0.6</v>
      </c>
    </row>
    <row r="821" spans="5:8" ht="15">
      <c r="E821" s="10" t="s">
        <v>905</v>
      </c>
      <c r="F821" s="10">
        <v>3.5</v>
      </c>
      <c r="G821" s="10">
        <v>13.5</v>
      </c>
      <c r="H821" s="10">
        <v>0.4</v>
      </c>
    </row>
    <row r="822" spans="5:8" ht="15">
      <c r="E822" s="10" t="s">
        <v>906</v>
      </c>
      <c r="F822" s="10">
        <v>3.9</v>
      </c>
      <c r="G822" s="10">
        <v>19</v>
      </c>
      <c r="H822" s="10">
        <v>0.7</v>
      </c>
    </row>
    <row r="823" spans="5:8" ht="15">
      <c r="E823" s="10" t="s">
        <v>907</v>
      </c>
      <c r="F823" s="10">
        <v>3.7</v>
      </c>
      <c r="G823" s="10">
        <v>16</v>
      </c>
      <c r="H823" s="10">
        <v>0.4</v>
      </c>
    </row>
    <row r="824" spans="5:8" ht="15">
      <c r="E824" s="10" t="s">
        <v>908</v>
      </c>
      <c r="F824" s="10">
        <v>3.9</v>
      </c>
      <c r="G824" s="10">
        <v>18</v>
      </c>
      <c r="H824" s="10">
        <v>0.6</v>
      </c>
    </row>
    <row r="825" spans="5:8" ht="15">
      <c r="E825" s="10" t="s">
        <v>912</v>
      </c>
      <c r="F825" s="10">
        <v>3.6</v>
      </c>
      <c r="G825" s="10">
        <v>15</v>
      </c>
      <c r="H825" s="10">
        <v>0.4</v>
      </c>
    </row>
    <row r="826" spans="5:8" ht="15">
      <c r="E826" s="10" t="s">
        <v>913</v>
      </c>
      <c r="F826" s="10">
        <v>3.8</v>
      </c>
      <c r="G826" s="10">
        <v>17</v>
      </c>
      <c r="H826" s="10">
        <v>0.6</v>
      </c>
    </row>
    <row r="827" spans="5:8" ht="15">
      <c r="E827" s="10" t="s">
        <v>914</v>
      </c>
      <c r="F827" s="10">
        <v>4</v>
      </c>
      <c r="G827" s="10">
        <v>18</v>
      </c>
      <c r="H827" s="10">
        <v>0.6</v>
      </c>
    </row>
    <row r="828" spans="5:8" ht="15">
      <c r="E828" s="10" t="s">
        <v>915</v>
      </c>
      <c r="F828" s="10">
        <v>3.9</v>
      </c>
      <c r="G828" s="10">
        <v>17</v>
      </c>
      <c r="H828" s="10">
        <v>0.6</v>
      </c>
    </row>
    <row r="829" spans="5:8" ht="15">
      <c r="E829" s="10" t="s">
        <v>916</v>
      </c>
      <c r="F829" s="10">
        <v>3.7</v>
      </c>
      <c r="G829" s="10">
        <v>16</v>
      </c>
      <c r="H829" s="10">
        <v>0.6</v>
      </c>
    </row>
    <row r="830" spans="5:8" ht="15">
      <c r="E830" s="10" t="s">
        <v>917</v>
      </c>
      <c r="F830" s="10">
        <v>4</v>
      </c>
      <c r="G830" s="10">
        <v>16.5</v>
      </c>
      <c r="H830" s="10">
        <v>0.6</v>
      </c>
    </row>
    <row r="831" spans="5:8" ht="15">
      <c r="E831" s="10" t="s">
        <v>918</v>
      </c>
      <c r="F831" s="10">
        <v>3.5</v>
      </c>
      <c r="G831" s="10">
        <v>14.5</v>
      </c>
      <c r="H831" s="10">
        <v>0.4</v>
      </c>
    </row>
    <row r="832" spans="5:8" ht="15">
      <c r="E832" s="10" t="s">
        <v>919</v>
      </c>
      <c r="F832" s="10">
        <v>3.7</v>
      </c>
      <c r="G832" s="10">
        <v>16</v>
      </c>
      <c r="H832" s="10">
        <v>0.6</v>
      </c>
    </row>
    <row r="833" spans="5:8" ht="15">
      <c r="E833" s="10" t="s">
        <v>920</v>
      </c>
      <c r="F833" s="10">
        <v>3.6</v>
      </c>
      <c r="G833" s="10">
        <v>16</v>
      </c>
      <c r="H833" s="10">
        <v>0.4</v>
      </c>
    </row>
    <row r="834" spans="5:8" ht="15">
      <c r="E834" s="10" t="s">
        <v>921</v>
      </c>
      <c r="F834" s="10">
        <v>3.7</v>
      </c>
      <c r="G834" s="10">
        <v>16</v>
      </c>
      <c r="H834" s="10">
        <v>0.4</v>
      </c>
    </row>
    <row r="835" spans="5:8" ht="15">
      <c r="E835" s="10" t="s">
        <v>922</v>
      </c>
      <c r="F835" s="10">
        <v>3.6</v>
      </c>
      <c r="G835" s="10">
        <v>14</v>
      </c>
      <c r="H835" s="10">
        <v>0.6</v>
      </c>
    </row>
    <row r="836" spans="5:8" ht="15">
      <c r="E836" s="10" t="s">
        <v>923</v>
      </c>
      <c r="F836" s="10">
        <v>3.9</v>
      </c>
      <c r="G836" s="10">
        <v>17.5</v>
      </c>
      <c r="H836" s="10">
        <v>0.6</v>
      </c>
    </row>
    <row r="837" spans="5:8" ht="15">
      <c r="E837" s="10" t="s">
        <v>924</v>
      </c>
      <c r="F837" s="10">
        <v>3.7</v>
      </c>
      <c r="G837" s="10">
        <v>16</v>
      </c>
      <c r="H837" s="10">
        <v>0.4</v>
      </c>
    </row>
    <row r="838" spans="5:8" ht="15">
      <c r="E838" s="10" t="s">
        <v>925</v>
      </c>
      <c r="F838" s="10">
        <v>3.9</v>
      </c>
      <c r="G838" s="10">
        <v>19</v>
      </c>
      <c r="H838" s="10">
        <v>0.7</v>
      </c>
    </row>
    <row r="839" spans="5:8" ht="15">
      <c r="E839" s="10" t="s">
        <v>934</v>
      </c>
      <c r="F839" s="10">
        <v>3.7</v>
      </c>
      <c r="G839" s="10">
        <v>16</v>
      </c>
      <c r="H839" s="10">
        <v>0.6</v>
      </c>
    </row>
    <row r="840" spans="5:8" ht="15">
      <c r="E840" s="10" t="s">
        <v>935</v>
      </c>
      <c r="F840" s="10">
        <v>3.8</v>
      </c>
      <c r="G840" s="10">
        <v>16.5</v>
      </c>
      <c r="H840" s="10">
        <v>0.6</v>
      </c>
    </row>
    <row r="841" spans="5:8" ht="15">
      <c r="E841" s="10" t="s">
        <v>936</v>
      </c>
      <c r="F841" s="10">
        <v>4.1</v>
      </c>
      <c r="G841" s="10">
        <v>20</v>
      </c>
      <c r="H841" s="10">
        <v>0.7</v>
      </c>
    </row>
    <row r="842" spans="5:8" ht="15">
      <c r="E842" s="10" t="s">
        <v>937</v>
      </c>
      <c r="F842" s="10">
        <v>3.6</v>
      </c>
      <c r="G842" s="10">
        <v>16</v>
      </c>
      <c r="H842" s="10">
        <v>0.6</v>
      </c>
    </row>
    <row r="843" spans="1:8" ht="15">
      <c r="A843" s="10">
        <v>35</v>
      </c>
      <c r="B843" s="10">
        <v>4</v>
      </c>
      <c r="E843" s="10" t="s">
        <v>938</v>
      </c>
      <c r="F843" s="10">
        <v>4.2</v>
      </c>
      <c r="G843" s="10">
        <v>20</v>
      </c>
      <c r="H843" s="10">
        <v>0.7</v>
      </c>
    </row>
    <row r="844" spans="1:8" ht="15">
      <c r="A844" s="10">
        <v>36</v>
      </c>
      <c r="B844" s="10">
        <v>3.8</v>
      </c>
      <c r="E844" s="10" t="s">
        <v>939</v>
      </c>
      <c r="F844" s="10">
        <v>3.7</v>
      </c>
      <c r="G844" s="10">
        <v>16</v>
      </c>
      <c r="H844" s="10">
        <v>0.6</v>
      </c>
    </row>
    <row r="845" spans="1:8" ht="15">
      <c r="A845" s="10">
        <v>37</v>
      </c>
      <c r="B845" s="10">
        <v>3.6</v>
      </c>
      <c r="E845" s="10" t="s">
        <v>940</v>
      </c>
      <c r="F845" s="10">
        <v>4.2</v>
      </c>
      <c r="G845" s="10">
        <v>19.5</v>
      </c>
      <c r="H845" s="10">
        <v>0.7</v>
      </c>
    </row>
    <row r="846" spans="1:8" ht="15">
      <c r="A846" s="10">
        <v>38</v>
      </c>
      <c r="B846" s="10">
        <v>3.5</v>
      </c>
      <c r="E846" s="10" t="s">
        <v>941</v>
      </c>
      <c r="F846" s="10">
        <v>3.7</v>
      </c>
      <c r="G846" s="10">
        <v>17</v>
      </c>
      <c r="H846" s="10">
        <v>0.6</v>
      </c>
    </row>
    <row r="847" spans="1:8" ht="15">
      <c r="A847" s="10">
        <v>39</v>
      </c>
      <c r="B847" s="10">
        <v>3.4</v>
      </c>
      <c r="E847" s="10" t="s">
        <v>942</v>
      </c>
      <c r="F847" s="10">
        <v>3.8</v>
      </c>
      <c r="G847" s="10">
        <v>15</v>
      </c>
      <c r="H847" s="10">
        <v>0.4</v>
      </c>
    </row>
    <row r="848" spans="1:8" ht="15">
      <c r="A848" s="10">
        <v>40</v>
      </c>
      <c r="B848" s="10">
        <v>3.2</v>
      </c>
      <c r="E848" s="10" t="s">
        <v>943</v>
      </c>
      <c r="F848" s="10">
        <v>3.5</v>
      </c>
      <c r="G848" s="10">
        <v>15</v>
      </c>
      <c r="H848" s="10">
        <v>0.4</v>
      </c>
    </row>
    <row r="849" spans="1:8" ht="15">
      <c r="A849" s="10">
        <v>41</v>
      </c>
      <c r="B849" s="10">
        <v>3.1</v>
      </c>
      <c r="E849" s="10" t="s">
        <v>944</v>
      </c>
      <c r="F849" s="10">
        <v>3.6</v>
      </c>
      <c r="G849" s="10">
        <v>16</v>
      </c>
      <c r="H849" s="10">
        <v>0.4</v>
      </c>
    </row>
    <row r="850" spans="1:8" ht="15">
      <c r="A850" s="10">
        <v>42</v>
      </c>
      <c r="B850" s="10">
        <v>3</v>
      </c>
      <c r="E850" s="10" t="s">
        <v>945</v>
      </c>
      <c r="F850" s="10">
        <v>4</v>
      </c>
      <c r="G850" s="10">
        <v>18.5</v>
      </c>
      <c r="H850" s="10">
        <v>0.7</v>
      </c>
    </row>
    <row r="851" spans="1:8" ht="15">
      <c r="A851" s="10">
        <v>43</v>
      </c>
      <c r="B851" s="10">
        <v>2.9</v>
      </c>
      <c r="E851" s="10" t="s">
        <v>946</v>
      </c>
      <c r="F851" s="10">
        <v>3.9</v>
      </c>
      <c r="G851" s="10">
        <v>17.5</v>
      </c>
      <c r="H851" s="10">
        <v>0.6</v>
      </c>
    </row>
    <row r="852" spans="1:8" ht="15">
      <c r="A852" s="10">
        <v>44</v>
      </c>
      <c r="B852" s="10">
        <v>2.8</v>
      </c>
      <c r="E852" s="10" t="s">
        <v>947</v>
      </c>
      <c r="F852" s="10">
        <v>3.8</v>
      </c>
      <c r="G852" s="10">
        <v>16</v>
      </c>
      <c r="H852" s="10">
        <v>0.6</v>
      </c>
    </row>
    <row r="853" spans="1:8" ht="15">
      <c r="A853" s="10">
        <v>45</v>
      </c>
      <c r="B853" s="10">
        <v>2.6</v>
      </c>
      <c r="E853" s="10" t="s">
        <v>948</v>
      </c>
      <c r="F853" s="10">
        <v>4</v>
      </c>
      <c r="G853" s="10">
        <v>19.5</v>
      </c>
      <c r="H853" s="10">
        <v>0.7</v>
      </c>
    </row>
    <row r="854" spans="1:8" ht="15">
      <c r="A854" s="10">
        <v>46</v>
      </c>
      <c r="B854" s="10">
        <v>2.5</v>
      </c>
      <c r="E854" s="10" t="s">
        <v>949</v>
      </c>
      <c r="F854" s="10">
        <v>3.9</v>
      </c>
      <c r="G854" s="10">
        <v>18.5</v>
      </c>
      <c r="H854" s="10">
        <v>0.7</v>
      </c>
    </row>
    <row r="855" spans="1:8" ht="15">
      <c r="A855" s="10">
        <v>47</v>
      </c>
      <c r="B855" s="10">
        <v>2.4</v>
      </c>
      <c r="E855" s="10" t="s">
        <v>950</v>
      </c>
      <c r="F855" s="10">
        <v>3.6</v>
      </c>
      <c r="G855" s="10">
        <v>15.5</v>
      </c>
      <c r="H855" s="10">
        <v>0.6</v>
      </c>
    </row>
    <row r="856" spans="1:8" ht="15">
      <c r="A856" s="10">
        <v>48</v>
      </c>
      <c r="B856" s="10">
        <v>2.4</v>
      </c>
      <c r="E856" s="10" t="s">
        <v>951</v>
      </c>
      <c r="F856" s="10">
        <v>3.8</v>
      </c>
      <c r="G856" s="10">
        <v>17</v>
      </c>
      <c r="H856" s="10">
        <v>0.6</v>
      </c>
    </row>
    <row r="857" spans="1:8" ht="15">
      <c r="A857" s="10">
        <v>49</v>
      </c>
      <c r="B857" s="10">
        <v>2.3</v>
      </c>
      <c r="E857" s="10" t="s">
        <v>952</v>
      </c>
      <c r="F857" s="10">
        <v>3.5</v>
      </c>
      <c r="G857" s="10">
        <v>13.5</v>
      </c>
      <c r="H857" s="10">
        <v>0.6</v>
      </c>
    </row>
    <row r="858" spans="1:8" ht="15">
      <c r="A858" s="10">
        <v>50</v>
      </c>
      <c r="B858" s="10">
        <v>2.2</v>
      </c>
      <c r="E858" s="10" t="s">
        <v>953</v>
      </c>
      <c r="F858" s="10">
        <v>3.7</v>
      </c>
      <c r="G858" s="10">
        <v>16</v>
      </c>
      <c r="H858" s="10">
        <v>0.6</v>
      </c>
    </row>
    <row r="859" spans="1:8" ht="15">
      <c r="A859" s="10">
        <v>51</v>
      </c>
      <c r="B859" s="10">
        <v>2.1</v>
      </c>
      <c r="E859" s="10" t="s">
        <v>954</v>
      </c>
      <c r="F859" s="10">
        <v>4</v>
      </c>
      <c r="G859" s="10">
        <v>16.5</v>
      </c>
      <c r="H859" s="10">
        <v>0.6</v>
      </c>
    </row>
    <row r="860" spans="1:8" ht="15">
      <c r="A860" s="10">
        <v>52</v>
      </c>
      <c r="B860" s="10">
        <v>2</v>
      </c>
      <c r="E860" s="10" t="s">
        <v>955</v>
      </c>
      <c r="F860" s="10">
        <v>3.5</v>
      </c>
      <c r="G860" s="10">
        <v>14.5</v>
      </c>
      <c r="H860" s="10">
        <v>0.4</v>
      </c>
    </row>
    <row r="861" spans="1:8" ht="15">
      <c r="A861" s="10">
        <v>53</v>
      </c>
      <c r="B861" s="10">
        <v>1.9</v>
      </c>
      <c r="E861" s="10" t="s">
        <v>956</v>
      </c>
      <c r="F861" s="10">
        <v>3.7</v>
      </c>
      <c r="G861" s="10">
        <v>16</v>
      </c>
      <c r="H861" s="10">
        <v>0.6</v>
      </c>
    </row>
    <row r="862" spans="1:3" ht="15">
      <c r="A862" s="10">
        <v>54</v>
      </c>
      <c r="B862" s="10">
        <v>1.9</v>
      </c>
      <c r="C862" s="10">
        <v>11.9</v>
      </c>
    </row>
    <row r="863" spans="1:3" ht="15">
      <c r="A863" s="10">
        <v>55</v>
      </c>
      <c r="B863" s="10">
        <v>1.8</v>
      </c>
      <c r="C863" s="10">
        <v>10.9</v>
      </c>
    </row>
    <row r="864" spans="1:3" ht="15">
      <c r="A864" s="10">
        <v>56</v>
      </c>
      <c r="B864" s="10">
        <v>1.7</v>
      </c>
      <c r="C864" s="10">
        <v>10.9</v>
      </c>
    </row>
    <row r="865" spans="1:3" ht="15">
      <c r="A865" s="10">
        <v>57</v>
      </c>
      <c r="B865" s="10">
        <v>1.7</v>
      </c>
      <c r="C865" s="10">
        <v>10.9</v>
      </c>
    </row>
    <row r="866" spans="1:3" ht="15">
      <c r="A866" s="10">
        <v>58</v>
      </c>
      <c r="B866" s="10">
        <v>1.6</v>
      </c>
      <c r="C866" s="10">
        <v>10.9</v>
      </c>
    </row>
    <row r="867" spans="1:3" ht="15">
      <c r="A867" s="10">
        <v>59</v>
      </c>
      <c r="B867" s="10">
        <v>1.5</v>
      </c>
      <c r="C867" s="10">
        <v>10.9</v>
      </c>
    </row>
    <row r="868" spans="1:3" ht="15">
      <c r="A868" s="10">
        <v>60</v>
      </c>
      <c r="B868" s="10">
        <v>1.5</v>
      </c>
      <c r="C868" s="10">
        <v>10.9</v>
      </c>
    </row>
    <row r="869" spans="1:3" ht="15">
      <c r="A869" s="10">
        <v>61</v>
      </c>
      <c r="B869" s="10">
        <v>1.4</v>
      </c>
      <c r="C869" s="10">
        <v>10.9</v>
      </c>
    </row>
    <row r="870" spans="1:3" ht="15">
      <c r="A870" s="10">
        <v>62</v>
      </c>
      <c r="B870" s="10">
        <v>1.4</v>
      </c>
      <c r="C870" s="10">
        <v>10.9</v>
      </c>
    </row>
    <row r="871" spans="1:3" ht="15">
      <c r="A871" s="10">
        <v>63</v>
      </c>
      <c r="B871" s="10">
        <v>1.3</v>
      </c>
      <c r="C871" s="10">
        <v>10.9</v>
      </c>
    </row>
    <row r="872" spans="1:3" ht="15">
      <c r="A872" s="10">
        <v>64</v>
      </c>
      <c r="B872" s="10">
        <v>1.3</v>
      </c>
      <c r="C872" s="10">
        <v>10.9</v>
      </c>
    </row>
    <row r="873" spans="1:3" ht="15">
      <c r="A873" s="10">
        <v>65</v>
      </c>
      <c r="B873" s="10">
        <v>1.2</v>
      </c>
      <c r="C873" s="10">
        <v>10.9</v>
      </c>
    </row>
    <row r="874" spans="1:3" ht="15">
      <c r="A874" s="10">
        <v>66</v>
      </c>
      <c r="B874" s="10">
        <v>1.1</v>
      </c>
      <c r="C874" s="10">
        <v>10.9</v>
      </c>
    </row>
    <row r="875" spans="1:3" ht="15">
      <c r="A875" s="10">
        <v>67</v>
      </c>
      <c r="B875" s="10">
        <v>1.1</v>
      </c>
      <c r="C875" s="10">
        <v>10.9</v>
      </c>
    </row>
    <row r="876" spans="1:3" ht="15">
      <c r="A876" s="10">
        <v>68</v>
      </c>
      <c r="B876" s="10">
        <v>1</v>
      </c>
      <c r="C876" s="10">
        <v>10.9</v>
      </c>
    </row>
    <row r="877" spans="1:3" ht="15">
      <c r="A877" s="10">
        <v>69</v>
      </c>
      <c r="B877" s="10">
        <v>1</v>
      </c>
      <c r="C877" s="10">
        <v>10.9</v>
      </c>
    </row>
    <row r="878" spans="1:3" ht="15">
      <c r="A878" s="10">
        <v>70</v>
      </c>
      <c r="B878" s="10">
        <v>1</v>
      </c>
      <c r="C878" s="10">
        <v>10.9</v>
      </c>
    </row>
    <row r="879" spans="1:3" ht="15">
      <c r="A879" s="10">
        <v>71</v>
      </c>
      <c r="B879" s="10">
        <v>0.9</v>
      </c>
      <c r="C879" s="10">
        <v>10.9</v>
      </c>
    </row>
    <row r="880" spans="1:3" ht="15">
      <c r="A880" s="10">
        <v>72</v>
      </c>
      <c r="B880" s="10">
        <v>0.9</v>
      </c>
      <c r="C880" s="10">
        <v>10.9</v>
      </c>
    </row>
    <row r="881" spans="1:3" ht="15">
      <c r="A881" s="10">
        <v>73</v>
      </c>
      <c r="B881" s="10">
        <v>0.8</v>
      </c>
      <c r="C881" s="10">
        <v>10.9</v>
      </c>
    </row>
    <row r="882" spans="1:3" ht="15">
      <c r="A882" s="10">
        <v>74</v>
      </c>
      <c r="B882" s="10">
        <v>0.8</v>
      </c>
      <c r="C882" s="10">
        <v>10.9</v>
      </c>
    </row>
    <row r="883" spans="1:3" ht="15">
      <c r="A883" s="10">
        <v>75</v>
      </c>
      <c r="B883" s="10">
        <v>0.8</v>
      </c>
      <c r="C883" s="10">
        <v>10.9</v>
      </c>
    </row>
    <row r="884" spans="1:3" ht="15">
      <c r="A884" s="10">
        <v>76</v>
      </c>
      <c r="B884" s="10">
        <v>0.7</v>
      </c>
      <c r="C884" s="10">
        <v>10.9</v>
      </c>
    </row>
    <row r="885" spans="1:3" ht="15">
      <c r="A885" s="10">
        <v>77</v>
      </c>
      <c r="B885" s="10">
        <v>0.7</v>
      </c>
      <c r="C885" s="10">
        <v>10.9</v>
      </c>
    </row>
    <row r="886" spans="1:3" ht="15">
      <c r="A886" s="10">
        <v>78</v>
      </c>
      <c r="B886" s="10">
        <v>0.6</v>
      </c>
      <c r="C886" s="10">
        <v>10.9</v>
      </c>
    </row>
    <row r="887" spans="1:3" ht="15">
      <c r="A887" s="10">
        <v>79</v>
      </c>
      <c r="B887" s="10">
        <v>0.6</v>
      </c>
      <c r="C887" s="10">
        <v>10.9</v>
      </c>
    </row>
    <row r="888" spans="1:3" ht="15">
      <c r="A888" s="10">
        <v>80</v>
      </c>
      <c r="B888" s="10">
        <v>0.6</v>
      </c>
      <c r="C888" s="10">
        <v>10.9</v>
      </c>
    </row>
    <row r="889" spans="1:3" ht="15">
      <c r="A889" s="10">
        <v>81</v>
      </c>
      <c r="B889" s="10">
        <v>0.6</v>
      </c>
      <c r="C889" s="10">
        <v>10.9</v>
      </c>
    </row>
    <row r="890" spans="1:3" ht="15">
      <c r="A890" s="10">
        <v>82</v>
      </c>
      <c r="B890" s="10">
        <v>0.5</v>
      </c>
      <c r="C890" s="10">
        <v>10.9</v>
      </c>
    </row>
    <row r="891" spans="1:3" ht="15">
      <c r="A891" s="10">
        <v>83</v>
      </c>
      <c r="B891" s="10">
        <v>0.5</v>
      </c>
      <c r="C891" s="10">
        <v>10.9</v>
      </c>
    </row>
    <row r="892" spans="1:3" ht="15">
      <c r="A892" s="10">
        <v>84</v>
      </c>
      <c r="B892" s="10">
        <v>0.4</v>
      </c>
      <c r="C892" s="10">
        <v>10.9</v>
      </c>
    </row>
    <row r="893" spans="1:3" ht="15">
      <c r="A893" s="10">
        <v>85</v>
      </c>
      <c r="B893" s="10">
        <v>0.4</v>
      </c>
      <c r="C893" s="10">
        <v>10.9</v>
      </c>
    </row>
    <row r="894" spans="1:3" ht="15">
      <c r="A894" s="10">
        <v>86</v>
      </c>
      <c r="B894" s="10">
        <v>0.4</v>
      </c>
      <c r="C894" s="10">
        <v>10.9</v>
      </c>
    </row>
    <row r="895" spans="1:3" ht="15">
      <c r="A895" s="10">
        <v>87</v>
      </c>
      <c r="B895" s="10">
        <v>0.4</v>
      </c>
      <c r="C895" s="10">
        <v>10.9</v>
      </c>
    </row>
    <row r="896" spans="1:3" ht="15">
      <c r="A896" s="10">
        <v>88</v>
      </c>
      <c r="B896" s="10">
        <v>0.3</v>
      </c>
      <c r="C896" s="10">
        <v>10.9</v>
      </c>
    </row>
    <row r="897" spans="1:3" ht="15">
      <c r="A897" s="10">
        <v>89</v>
      </c>
      <c r="B897" s="10">
        <v>0.3</v>
      </c>
      <c r="C897" s="10">
        <v>10.9</v>
      </c>
    </row>
    <row r="898" spans="1:3" ht="15">
      <c r="A898" s="10">
        <v>90</v>
      </c>
      <c r="B898" s="10">
        <v>0.2</v>
      </c>
      <c r="C898" s="10">
        <v>10.9</v>
      </c>
    </row>
    <row r="899" spans="1:3" ht="15">
      <c r="A899" s="10">
        <v>91</v>
      </c>
      <c r="B899" s="10">
        <v>0.2</v>
      </c>
      <c r="C899" s="10">
        <v>10.9</v>
      </c>
    </row>
    <row r="900" spans="1:3" ht="15">
      <c r="A900" s="10">
        <v>92</v>
      </c>
      <c r="B900" s="10">
        <v>0.2</v>
      </c>
      <c r="C900" s="10">
        <v>10.9</v>
      </c>
    </row>
    <row r="901" spans="1:3" ht="15">
      <c r="A901" s="10">
        <v>93</v>
      </c>
      <c r="B901" s="10">
        <v>0.2</v>
      </c>
      <c r="C901" s="10">
        <v>10.9</v>
      </c>
    </row>
    <row r="902" spans="1:3" ht="15">
      <c r="A902" s="10">
        <v>94</v>
      </c>
      <c r="B902" s="10">
        <v>0.1</v>
      </c>
      <c r="C902" s="10">
        <v>10.9</v>
      </c>
    </row>
    <row r="903" spans="1:3" ht="15">
      <c r="A903" s="10">
        <v>95</v>
      </c>
      <c r="B903" s="10">
        <v>0.1</v>
      </c>
      <c r="C903" s="10">
        <v>10.9</v>
      </c>
    </row>
    <row r="904" spans="1:3" ht="15">
      <c r="A904" s="10">
        <v>96</v>
      </c>
      <c r="B904" s="10">
        <v>0</v>
      </c>
      <c r="C904" s="10">
        <v>10.9</v>
      </c>
    </row>
    <row r="905" spans="1:3" ht="15">
      <c r="A905" s="10">
        <v>97</v>
      </c>
      <c r="B905" s="10">
        <v>0</v>
      </c>
      <c r="C905" s="10">
        <v>10.9</v>
      </c>
    </row>
    <row r="906" spans="1:3" ht="15">
      <c r="A906" s="10">
        <v>98</v>
      </c>
      <c r="B906" s="10">
        <v>0</v>
      </c>
      <c r="C906" s="10">
        <v>10.9</v>
      </c>
    </row>
    <row r="1948" spans="1:184" ht="15">
      <c r="A1948" s="13"/>
      <c r="B1948" s="13"/>
      <c r="C1948" s="13"/>
      <c r="D1948" s="13"/>
      <c r="E1948" s="13"/>
      <c r="F1948" s="13"/>
      <c r="G1948" s="13"/>
      <c r="H1948" s="13"/>
      <c r="I1948" s="13"/>
      <c r="J1948" s="13"/>
      <c r="K1948" s="13"/>
      <c r="L1948" s="13"/>
      <c r="M1948" s="13"/>
      <c r="N1948" s="13"/>
      <c r="O1948" s="13"/>
      <c r="P1948" s="13"/>
      <c r="Q1948" s="13"/>
      <c r="R1948" s="13"/>
      <c r="S1948" s="13"/>
      <c r="T1948" s="13"/>
      <c r="U1948" s="13"/>
      <c r="V1948" s="13"/>
      <c r="W1948" s="13"/>
      <c r="X1948" s="13"/>
      <c r="Y1948" s="13"/>
      <c r="Z1948" s="13"/>
      <c r="AA1948" s="13"/>
      <c r="AB1948" s="13"/>
      <c r="AC1948" s="13"/>
      <c r="AD1948" s="13"/>
      <c r="AE1948" s="13"/>
      <c r="AF1948" s="13"/>
      <c r="AG1948" s="13"/>
      <c r="AH1948" s="13"/>
      <c r="AI1948" s="13"/>
      <c r="AJ1948" s="13"/>
      <c r="AK1948" s="13"/>
      <c r="AL1948" s="13"/>
      <c r="AM1948" s="13"/>
      <c r="AN1948" s="13"/>
      <c r="AO1948" s="13"/>
      <c r="AP1948" s="13"/>
      <c r="AQ1948" s="13"/>
      <c r="AR1948" s="13"/>
      <c r="AS1948" s="13"/>
      <c r="AT1948" s="13"/>
      <c r="AU1948" s="13"/>
      <c r="AV1948" s="13"/>
      <c r="AW1948" s="13"/>
      <c r="AX1948" s="13"/>
      <c r="AY1948" s="13"/>
      <c r="AZ1948" s="13"/>
      <c r="BA1948" s="13"/>
      <c r="BB1948" s="13"/>
      <c r="BC1948" s="13"/>
      <c r="BD1948" s="13"/>
      <c r="BE1948" s="13"/>
      <c r="BF1948" s="13"/>
      <c r="BG1948" s="13"/>
      <c r="BH1948" s="13"/>
      <c r="BI1948" s="13"/>
      <c r="BJ1948" s="13"/>
      <c r="BK1948" s="13"/>
      <c r="BL1948" s="13"/>
      <c r="BM1948" s="13"/>
      <c r="BN1948" s="13"/>
      <c r="BO1948" s="13"/>
      <c r="BP1948" s="13"/>
      <c r="BQ1948" s="13"/>
      <c r="BR1948" s="13"/>
      <c r="BS1948" s="13"/>
      <c r="BT1948" s="13"/>
      <c r="BU1948" s="13"/>
      <c r="BV1948" s="13"/>
      <c r="BW1948" s="13"/>
      <c r="BX1948" s="13"/>
      <c r="BY1948" s="13"/>
      <c r="BZ1948" s="13"/>
      <c r="CA1948" s="13"/>
      <c r="CB1948" s="13"/>
      <c r="CC1948" s="13"/>
      <c r="CD1948" s="13"/>
      <c r="CE1948" s="13"/>
      <c r="CF1948" s="13"/>
      <c r="CG1948" s="13"/>
      <c r="CH1948" s="13"/>
      <c r="CI1948" s="13"/>
      <c r="CJ1948" s="13"/>
      <c r="CK1948" s="13"/>
      <c r="CL1948" s="13"/>
      <c r="CM1948" s="13"/>
      <c r="CN1948" s="13"/>
      <c r="CO1948" s="13"/>
      <c r="CP1948" s="13"/>
      <c r="CQ1948" s="13"/>
      <c r="CR1948" s="13"/>
      <c r="CS1948" s="13"/>
      <c r="CT1948" s="13"/>
      <c r="CU1948" s="13"/>
      <c r="CV1948" s="13"/>
      <c r="CW1948" s="13"/>
      <c r="CX1948" s="13"/>
      <c r="CY1948" s="13"/>
      <c r="CZ1948" s="13"/>
      <c r="DA1948" s="13"/>
      <c r="DB1948" s="13"/>
      <c r="DC1948" s="13"/>
      <c r="DD1948" s="13"/>
      <c r="DE1948" s="13"/>
      <c r="DF1948" s="13"/>
      <c r="DG1948" s="13"/>
      <c r="DH1948" s="13"/>
      <c r="DI1948" s="13"/>
      <c r="DJ1948" s="13"/>
      <c r="DK1948" s="13"/>
      <c r="DL1948" s="13"/>
      <c r="DM1948" s="13"/>
      <c r="DN1948" s="13"/>
      <c r="DO1948" s="13"/>
      <c r="DP1948" s="13"/>
      <c r="DQ1948" s="13"/>
      <c r="DR1948" s="13"/>
      <c r="DS1948" s="13"/>
      <c r="DT1948" s="13"/>
      <c r="DU1948" s="13"/>
      <c r="DV1948" s="13"/>
      <c r="DW1948" s="13"/>
      <c r="DX1948" s="13"/>
      <c r="DY1948" s="13"/>
      <c r="DZ1948" s="13"/>
      <c r="EA1948" s="13"/>
      <c r="EB1948" s="13"/>
      <c r="EC1948" s="13"/>
      <c r="ED1948" s="13"/>
      <c r="EE1948" s="13"/>
      <c r="EF1948" s="13"/>
      <c r="EG1948" s="13"/>
      <c r="EH1948" s="13"/>
      <c r="EI1948" s="13"/>
      <c r="EJ1948" s="13"/>
      <c r="EK1948" s="13"/>
      <c r="EL1948" s="13"/>
      <c r="EM1948" s="13"/>
      <c r="EN1948" s="13"/>
      <c r="EO1948" s="13"/>
      <c r="EP1948" s="13"/>
      <c r="EQ1948" s="13"/>
      <c r="ER1948" s="13"/>
      <c r="ES1948" s="13"/>
      <c r="ET1948" s="13"/>
      <c r="EU1948" s="13"/>
      <c r="EV1948" s="13"/>
      <c r="EW1948" s="13"/>
      <c r="EX1948" s="13"/>
      <c r="EY1948" s="13"/>
      <c r="EZ1948" s="13"/>
      <c r="FA1948" s="13"/>
      <c r="FB1948" s="13"/>
      <c r="FC1948" s="13"/>
      <c r="FD1948" s="13"/>
      <c r="FE1948" s="13"/>
      <c r="FF1948" s="13"/>
      <c r="FG1948" s="13"/>
      <c r="FH1948" s="13"/>
      <c r="FI1948" s="13"/>
      <c r="FJ1948" s="13"/>
      <c r="FK1948" s="13"/>
      <c r="FL1948" s="13"/>
      <c r="FM1948" s="13"/>
      <c r="FN1948" s="13"/>
      <c r="FO1948" s="13"/>
      <c r="FP1948" s="13"/>
      <c r="FQ1948" s="13"/>
      <c r="FR1948" s="13"/>
      <c r="FS1948" s="13"/>
      <c r="FT1948" s="13"/>
      <c r="FU1948" s="13"/>
      <c r="FV1948" s="13"/>
      <c r="FW1948" s="13"/>
      <c r="FX1948" s="13"/>
      <c r="FY1948" s="13"/>
      <c r="FZ1948" s="13"/>
      <c r="GA1948" s="13"/>
      <c r="GB1948" s="122">
        <v>4657</v>
      </c>
    </row>
  </sheetData>
  <mergeCells count="14">
    <mergeCell ref="C3:D3"/>
    <mergeCell ref="C5:D5"/>
    <mergeCell ref="C6:D6"/>
    <mergeCell ref="A18:B18"/>
    <mergeCell ref="A17:B17"/>
    <mergeCell ref="A19:B19"/>
    <mergeCell ref="H7:I7"/>
    <mergeCell ref="C23:D23"/>
    <mergeCell ref="H8:I8"/>
    <mergeCell ref="D33:H33"/>
    <mergeCell ref="D34:G34"/>
    <mergeCell ref="D35:F35"/>
    <mergeCell ref="A31:B31"/>
    <mergeCell ref="C31:D31"/>
  </mergeCells>
  <printOptions/>
  <pageMargins left="0.25" right="0.5" top="1" bottom="0.25" header="0.5" footer="0"/>
  <pageSetup horizontalDpi="180" verticalDpi="180" orientation="portrait" scale="75" r:id="rId4"/>
  <rowBreaks count="5" manualBreakCount="5">
    <brk id="56" max="255" man="1"/>
    <brk id="111" max="255" man="1"/>
    <brk id="164" max="255" man="1"/>
    <brk id="205" max="255" man="1"/>
    <brk id="251"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5" transitionEvaluation="1"/>
  <dimension ref="A1:GB1951"/>
  <sheetViews>
    <sheetView defaultGridColor="0" zoomScale="75" zoomScaleNormal="75" colorId="23" workbookViewId="0" topLeftCell="A10">
      <selection activeCell="E55" sqref="E55"/>
    </sheetView>
  </sheetViews>
  <sheetFormatPr defaultColWidth="12.421875" defaultRowHeight="12.75"/>
  <cols>
    <col min="1" max="1" width="16.28125" style="197" customWidth="1"/>
    <col min="2" max="2" width="12.00390625" style="197" customWidth="1"/>
    <col min="3" max="3" width="10.8515625" style="197" customWidth="1"/>
    <col min="4" max="4" width="11.140625" style="197" customWidth="1"/>
    <col min="5" max="5" width="12.00390625" style="197" customWidth="1"/>
    <col min="6" max="6" width="12.421875" style="197" customWidth="1"/>
    <col min="7" max="7" width="12.57421875" style="197" customWidth="1"/>
    <col min="8" max="8" width="11.28125" style="197" customWidth="1"/>
    <col min="9" max="9" width="11.140625" style="197" customWidth="1"/>
    <col min="10" max="11" width="12.421875" style="197" customWidth="1"/>
    <col min="12" max="12" width="12.57421875" style="197" bestFit="1" customWidth="1"/>
    <col min="13" max="16384" width="12.421875" style="197" customWidth="1"/>
  </cols>
  <sheetData>
    <row r="1" spans="1:65" ht="15.75">
      <c r="A1" s="193" t="s">
        <v>1089</v>
      </c>
      <c r="B1" s="193"/>
      <c r="C1" s="193"/>
      <c r="D1" s="193"/>
      <c r="E1" s="193"/>
      <c r="F1" s="193"/>
      <c r="G1" s="193"/>
      <c r="H1" s="193"/>
      <c r="I1" s="194" t="s">
        <v>1090</v>
      </c>
      <c r="J1" s="195"/>
      <c r="K1" s="195"/>
      <c r="L1" s="195"/>
      <c r="M1" s="196" t="s">
        <v>205</v>
      </c>
      <c r="N1" s="196" t="s">
        <v>206</v>
      </c>
      <c r="O1" s="196" t="s">
        <v>207</v>
      </c>
      <c r="P1" s="196" t="s">
        <v>181</v>
      </c>
      <c r="Q1" s="196" t="s">
        <v>189</v>
      </c>
      <c r="R1" s="196" t="s">
        <v>188</v>
      </c>
      <c r="S1" s="196" t="s">
        <v>208</v>
      </c>
      <c r="T1" s="195"/>
      <c r="U1" s="195"/>
      <c r="V1" s="195"/>
      <c r="W1" s="195"/>
      <c r="X1" s="195"/>
      <c r="Y1" s="195"/>
      <c r="Z1" s="195"/>
      <c r="AA1" s="195"/>
      <c r="AB1" s="195"/>
      <c r="AC1" s="195"/>
      <c r="AD1" s="195"/>
      <c r="AE1" s="195"/>
      <c r="AF1" s="196" t="s">
        <v>209</v>
      </c>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row>
    <row r="2" spans="1:65" ht="15">
      <c r="A2" s="198"/>
      <c r="B2" s="198"/>
      <c r="C2" s="198"/>
      <c r="D2" s="198"/>
      <c r="E2" s="198"/>
      <c r="F2" s="198"/>
      <c r="G2" s="198"/>
      <c r="H2" s="199"/>
      <c r="I2" s="198"/>
      <c r="J2" s="195"/>
      <c r="K2" s="195"/>
      <c r="L2" s="195"/>
      <c r="M2" s="196" t="s">
        <v>214</v>
      </c>
      <c r="N2" s="196" t="s">
        <v>215</v>
      </c>
      <c r="O2" s="196" t="s">
        <v>216</v>
      </c>
      <c r="P2" s="196" t="s">
        <v>217</v>
      </c>
      <c r="Q2" s="196" t="s">
        <v>217</v>
      </c>
      <c r="R2" s="196" t="s">
        <v>217</v>
      </c>
      <c r="S2" s="196" t="s">
        <v>218</v>
      </c>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6" t="s">
        <v>210</v>
      </c>
      <c r="AR2" s="195"/>
      <c r="AS2" s="195"/>
      <c r="AT2" s="195"/>
      <c r="AU2" s="195"/>
      <c r="AV2" s="195"/>
      <c r="AW2" s="195"/>
      <c r="AX2" s="195"/>
      <c r="AY2" s="195"/>
      <c r="AZ2" s="195"/>
      <c r="BA2" s="195"/>
      <c r="BB2" s="195"/>
      <c r="BC2" s="195"/>
      <c r="BD2" s="195"/>
      <c r="BE2" s="195"/>
      <c r="BF2" s="195"/>
      <c r="BG2" s="195"/>
      <c r="BH2" s="195"/>
      <c r="BI2" s="195"/>
      <c r="BJ2" s="195"/>
      <c r="BK2" s="195"/>
      <c r="BL2" s="195"/>
      <c r="BM2" s="195"/>
    </row>
    <row r="3" spans="1:65" ht="15.75">
      <c r="A3" s="198"/>
      <c r="B3" s="200" t="s">
        <v>1091</v>
      </c>
      <c r="C3" s="258">
        <f>'Nutrient Management Planner'!C1</f>
      </c>
      <c r="D3" s="258"/>
      <c r="E3" s="198"/>
      <c r="F3" s="198"/>
      <c r="G3" s="200" t="s">
        <v>1092</v>
      </c>
      <c r="H3" s="412">
        <f>'Nutrient Management Planner'!H86</f>
        <v>0</v>
      </c>
      <c r="I3" s="198" t="s">
        <v>1093</v>
      </c>
      <c r="J3" s="195"/>
      <c r="K3" s="195">
        <v>1</v>
      </c>
      <c r="L3" s="196" t="s">
        <v>227</v>
      </c>
      <c r="M3" s="202">
        <v>1.32</v>
      </c>
      <c r="N3" s="195">
        <v>0.127</v>
      </c>
      <c r="O3" s="195">
        <v>62</v>
      </c>
      <c r="P3" s="203">
        <v>10.02</v>
      </c>
      <c r="Q3" s="203">
        <v>1.78</v>
      </c>
      <c r="R3" s="203">
        <v>6.6</v>
      </c>
      <c r="S3" s="203">
        <v>1</v>
      </c>
      <c r="T3" s="195"/>
      <c r="U3" s="204"/>
      <c r="V3" s="195"/>
      <c r="W3" s="204"/>
      <c r="X3" s="195"/>
      <c r="Y3" s="204"/>
      <c r="Z3" s="195">
        <f aca="true" t="shared" si="0" ref="Z3:Z13">E15</f>
      </c>
      <c r="AA3" s="195" t="str">
        <f aca="true" t="shared" si="1" ref="AA3:AA13">F15</f>
        <v> </v>
      </c>
      <c r="AB3" s="195">
        <f aca="true" t="shared" si="2" ref="AB3:AB13">G15</f>
        <v>0</v>
      </c>
      <c r="AC3" s="195">
        <f aca="true" t="shared" si="3" ref="AC3:AC13">H15</f>
        <v>0</v>
      </c>
      <c r="AD3" s="195">
        <f aca="true" t="shared" si="4" ref="AD3:AD13">IF(E15&lt;1,0,VLOOKUP(E15,$K$3:$S$15,9))</f>
        <v>0</v>
      </c>
      <c r="AE3" s="204"/>
      <c r="AF3" s="204">
        <f aca="true" t="shared" si="5" ref="AF3:AF13">AB3*AC3</f>
        <v>0</v>
      </c>
      <c r="AG3" s="204">
        <f aca="true" t="shared" si="6" ref="AG3:AG13">IF(Z3&lt;1,0,AB3/AD3)</f>
        <v>0</v>
      </c>
      <c r="AH3" s="195"/>
      <c r="AI3" s="195"/>
      <c r="AJ3" s="195"/>
      <c r="AK3" s="195"/>
      <c r="AL3" s="195"/>
      <c r="AM3" s="195"/>
      <c r="AN3" s="196" t="s">
        <v>219</v>
      </c>
      <c r="AO3" s="196" t="s">
        <v>219</v>
      </c>
      <c r="AP3" s="196" t="s">
        <v>220</v>
      </c>
      <c r="AQ3" s="196" t="s">
        <v>221</v>
      </c>
      <c r="AR3" s="195"/>
      <c r="AS3" s="195"/>
      <c r="AT3" s="195"/>
      <c r="AU3" s="195"/>
      <c r="AV3" s="195"/>
      <c r="AW3" s="196" t="s">
        <v>222</v>
      </c>
      <c r="AX3" s="195"/>
      <c r="AY3" s="195"/>
      <c r="AZ3" s="195"/>
      <c r="BA3" s="195"/>
      <c r="BB3" s="195"/>
      <c r="BC3" s="195"/>
      <c r="BD3" s="195"/>
      <c r="BE3" s="195"/>
      <c r="BF3" s="195"/>
      <c r="BG3" s="195"/>
      <c r="BH3" s="195"/>
      <c r="BI3" s="195"/>
      <c r="BJ3" s="195"/>
      <c r="BK3" s="195"/>
      <c r="BL3" s="195"/>
      <c r="BM3" s="195"/>
    </row>
    <row r="4" spans="1:65" ht="15.75">
      <c r="A4" s="198"/>
      <c r="B4" s="200" t="s">
        <v>1094</v>
      </c>
      <c r="C4" s="258" t="str">
        <f>'Nutrient Management Planner'!C2</f>
        <v>Golden Valley</v>
      </c>
      <c r="D4" s="258"/>
      <c r="E4" s="198" t="str">
        <f>IF(AA20&lt;1,AB20,AA21)</f>
        <v> </v>
      </c>
      <c r="F4" s="198"/>
      <c r="G4" s="200" t="s">
        <v>1095</v>
      </c>
      <c r="H4" s="413">
        <f>'Nutrient Management Planner'!J58</f>
        <v>0</v>
      </c>
      <c r="I4" s="198" t="s">
        <v>226</v>
      </c>
      <c r="J4" s="195"/>
      <c r="K4" s="195">
        <v>2</v>
      </c>
      <c r="L4" s="196" t="s">
        <v>240</v>
      </c>
      <c r="M4" s="202">
        <v>1</v>
      </c>
      <c r="N4" s="195">
        <v>0.116</v>
      </c>
      <c r="O4" s="195">
        <v>60</v>
      </c>
      <c r="P4" s="203">
        <v>11.33</v>
      </c>
      <c r="Q4" s="203">
        <v>3.67</v>
      </c>
      <c r="R4" s="203">
        <v>8</v>
      </c>
      <c r="S4" s="203">
        <v>1.5</v>
      </c>
      <c r="T4" s="195"/>
      <c r="U4" s="204"/>
      <c r="V4" s="195"/>
      <c r="W4" s="204"/>
      <c r="X4" s="195"/>
      <c r="Y4" s="204"/>
      <c r="Z4" s="195">
        <f t="shared" si="0"/>
      </c>
      <c r="AA4" s="195" t="str">
        <f t="shared" si="1"/>
        <v> </v>
      </c>
      <c r="AB4" s="195">
        <f t="shared" si="2"/>
        <v>0</v>
      </c>
      <c r="AC4" s="195">
        <f t="shared" si="3"/>
        <v>0</v>
      </c>
      <c r="AD4" s="195">
        <f t="shared" si="4"/>
        <v>0</v>
      </c>
      <c r="AE4" s="204"/>
      <c r="AF4" s="204">
        <f t="shared" si="5"/>
        <v>0</v>
      </c>
      <c r="AG4" s="204">
        <f t="shared" si="6"/>
        <v>0</v>
      </c>
      <c r="AH4" s="195"/>
      <c r="AI4" s="195" t="s">
        <v>332</v>
      </c>
      <c r="AJ4" s="195"/>
      <c r="AK4" s="195"/>
      <c r="AL4" s="196" t="s">
        <v>228</v>
      </c>
      <c r="AM4" s="196" t="s">
        <v>228</v>
      </c>
      <c r="AN4" s="196" t="s">
        <v>229</v>
      </c>
      <c r="AO4" s="196" t="s">
        <v>230</v>
      </c>
      <c r="AP4" s="196" t="s">
        <v>230</v>
      </c>
      <c r="AQ4" s="196" t="s">
        <v>231</v>
      </c>
      <c r="AR4" s="196" t="s">
        <v>232</v>
      </c>
      <c r="AS4" s="196" t="s">
        <v>233</v>
      </c>
      <c r="AT4" s="196" t="s">
        <v>234</v>
      </c>
      <c r="AU4" s="196" t="s">
        <v>228</v>
      </c>
      <c r="AV4" s="196" t="s">
        <v>235</v>
      </c>
      <c r="AW4" s="196" t="s">
        <v>236</v>
      </c>
      <c r="AX4" s="195"/>
      <c r="AY4" s="195"/>
      <c r="AZ4" s="195"/>
      <c r="BA4" s="195"/>
      <c r="BB4" s="195"/>
      <c r="BC4" s="195"/>
      <c r="BD4" s="195"/>
      <c r="BE4" s="195"/>
      <c r="BF4" s="195"/>
      <c r="BG4" s="195"/>
      <c r="BH4" s="195"/>
      <c r="BI4" s="195"/>
      <c r="BJ4" s="195"/>
      <c r="BK4" s="195"/>
      <c r="BL4" s="195"/>
      <c r="BM4" s="195"/>
    </row>
    <row r="5" spans="1:65" ht="15.75">
      <c r="A5" s="198"/>
      <c r="B5" s="200" t="s">
        <v>1096</v>
      </c>
      <c r="C5" s="201" t="s">
        <v>242</v>
      </c>
      <c r="D5" s="258"/>
      <c r="E5" s="198"/>
      <c r="F5" s="198"/>
      <c r="G5" s="200" t="s">
        <v>1097</v>
      </c>
      <c r="H5" s="206">
        <f>VLOOKUP(C4,A859:D1021,3)</f>
        <v>13.5</v>
      </c>
      <c r="I5" s="198" t="s">
        <v>1098</v>
      </c>
      <c r="J5" s="195"/>
      <c r="K5" s="195">
        <v>3</v>
      </c>
      <c r="L5" s="196" t="s">
        <v>244</v>
      </c>
      <c r="M5" s="202">
        <v>1.1</v>
      </c>
      <c r="N5" s="202">
        <v>0.092</v>
      </c>
      <c r="O5" s="207">
        <v>60</v>
      </c>
      <c r="P5" s="203">
        <v>13.64</v>
      </c>
      <c r="Q5" s="203">
        <v>4.55</v>
      </c>
      <c r="R5" s="203">
        <v>8.94</v>
      </c>
      <c r="S5" s="203">
        <v>4</v>
      </c>
      <c r="T5" s="195"/>
      <c r="U5" s="204"/>
      <c r="V5" s="195"/>
      <c r="W5" s="204"/>
      <c r="X5" s="195"/>
      <c r="Y5" s="204"/>
      <c r="Z5" s="195">
        <f t="shared" si="0"/>
      </c>
      <c r="AA5" s="195" t="str">
        <f t="shared" si="1"/>
        <v> </v>
      </c>
      <c r="AB5" s="195">
        <f t="shared" si="2"/>
        <v>0</v>
      </c>
      <c r="AC5" s="195">
        <f t="shared" si="3"/>
        <v>0</v>
      </c>
      <c r="AD5" s="195">
        <f t="shared" si="4"/>
        <v>0</v>
      </c>
      <c r="AE5" s="204"/>
      <c r="AF5" s="204">
        <f t="shared" si="5"/>
        <v>0</v>
      </c>
      <c r="AG5" s="204">
        <f t="shared" si="6"/>
        <v>0</v>
      </c>
      <c r="AH5" s="195"/>
      <c r="AI5" s="195"/>
      <c r="AJ5" s="208"/>
      <c r="AK5" s="204" t="str">
        <f aca="true" t="shared" si="7" ref="AK5:AK15">F15</f>
        <v> </v>
      </c>
      <c r="AL5" s="203">
        <f aca="true" t="shared" si="8" ref="AL5:AL15">IF(E15&lt;1,0,VLOOKUP(E15,$K$3:$R$15,6))</f>
        <v>0</v>
      </c>
      <c r="AM5" s="203">
        <f aca="true" t="shared" si="9" ref="AM5:AM15">IF(E15&gt;0,AL5,0)</f>
        <v>0</v>
      </c>
      <c r="AN5" s="195" t="e">
        <f aca="true" t="shared" si="10" ref="AN5:AN15">VLOOKUP($P$53,$AN$22:$AP$24,2)</f>
        <v>#N/A</v>
      </c>
      <c r="AO5" s="202">
        <f aca="true" t="shared" si="11" ref="AO5:AO15">IF(E15&lt;1,0,VLOOKUP(E15,$K$3:$Y$15,4))</f>
        <v>0</v>
      </c>
      <c r="AP5" s="203">
        <f aca="true" t="shared" si="12" ref="AP5:AP15">IF(E15&lt;1,0,AN5/AO5)</f>
        <v>0</v>
      </c>
      <c r="AQ5" s="195" t="e">
        <f aca="true" t="shared" si="13" ref="AQ5:AQ15">VLOOKUP($P$53,$AN$22:$AQ$24,3)</f>
        <v>#N/A</v>
      </c>
      <c r="AR5" s="203" t="e">
        <f aca="true" t="shared" si="14" ref="AR5:AR15">$G$71</f>
        <v>#N/A</v>
      </c>
      <c r="AS5" s="195">
        <f aca="true" t="shared" si="15" ref="AS5:AS15">VLOOKUP($D$65,$AN$22:$AQ$27,4)</f>
        <v>1</v>
      </c>
      <c r="AT5" s="203">
        <f aca="true" t="shared" si="16" ref="AT5:AT15">IF(E15&lt;1,0,VLOOKUP(E15,$AN$22:$AR$34,5))</f>
        <v>0</v>
      </c>
      <c r="AU5" s="203" t="e">
        <f aca="true" t="shared" si="17" ref="AU5:AU15">AM5*AQ5*AR5*AS5*AT5</f>
        <v>#N/A</v>
      </c>
      <c r="AV5" s="209">
        <f aca="true" t="shared" si="18" ref="AV5:AV15">S19</f>
        <v>0</v>
      </c>
      <c r="AW5" s="204" t="e">
        <f aca="true" t="shared" si="19" ref="AW5:AW15">AU5*AV5</f>
        <v>#N/A</v>
      </c>
      <c r="AX5" s="195" t="str">
        <f aca="true" t="shared" si="20" ref="AX5:AX15">F15</f>
        <v> </v>
      </c>
      <c r="AY5" s="195"/>
      <c r="AZ5" s="195"/>
      <c r="BA5" s="195"/>
      <c r="BB5" s="195"/>
      <c r="BC5" s="195"/>
      <c r="BD5" s="195"/>
      <c r="BE5" s="195"/>
      <c r="BF5" s="195"/>
      <c r="BG5" s="195"/>
      <c r="BH5" s="195"/>
      <c r="BI5" s="195"/>
      <c r="BJ5" s="195"/>
      <c r="BK5" s="195"/>
      <c r="BL5" s="195"/>
      <c r="BM5" s="195"/>
    </row>
    <row r="6" spans="1:65" ht="15.75">
      <c r="A6" s="198"/>
      <c r="B6" s="200" t="s">
        <v>1106</v>
      </c>
      <c r="C6" s="201" t="s">
        <v>1107</v>
      </c>
      <c r="D6" s="258"/>
      <c r="E6" s="198"/>
      <c r="F6" s="198"/>
      <c r="G6" s="200" t="s">
        <v>1108</v>
      </c>
      <c r="H6" s="206">
        <f>VLOOKUP(C4,A859:D1021,2)</f>
        <v>3.5</v>
      </c>
      <c r="I6" s="198" t="s">
        <v>343</v>
      </c>
      <c r="J6" s="195"/>
      <c r="K6" s="195">
        <v>4</v>
      </c>
      <c r="L6" s="196" t="s">
        <v>248</v>
      </c>
      <c r="M6" s="202">
        <v>1.1</v>
      </c>
      <c r="N6" s="202">
        <v>0.092</v>
      </c>
      <c r="O6" s="207">
        <v>60</v>
      </c>
      <c r="P6" s="203">
        <v>13.64</v>
      </c>
      <c r="Q6" s="203">
        <v>4.55</v>
      </c>
      <c r="R6" s="203">
        <v>8.94</v>
      </c>
      <c r="S6" s="203">
        <v>4</v>
      </c>
      <c r="T6" s="195"/>
      <c r="U6" s="204"/>
      <c r="V6" s="195"/>
      <c r="W6" s="204"/>
      <c r="X6" s="195"/>
      <c r="Y6" s="204"/>
      <c r="Z6" s="195">
        <f t="shared" si="0"/>
      </c>
      <c r="AA6" s="195" t="str">
        <f t="shared" si="1"/>
        <v> </v>
      </c>
      <c r="AB6" s="195">
        <f t="shared" si="2"/>
        <v>0</v>
      </c>
      <c r="AC6" s="195">
        <f t="shared" si="3"/>
        <v>0</v>
      </c>
      <c r="AD6" s="195">
        <f t="shared" si="4"/>
        <v>0</v>
      </c>
      <c r="AE6" s="204"/>
      <c r="AF6" s="204">
        <f t="shared" si="5"/>
        <v>0</v>
      </c>
      <c r="AG6" s="204">
        <f t="shared" si="6"/>
        <v>0</v>
      </c>
      <c r="AH6" s="195"/>
      <c r="AI6" s="195"/>
      <c r="AJ6" s="208"/>
      <c r="AK6" s="204" t="str">
        <f t="shared" si="7"/>
        <v> </v>
      </c>
      <c r="AL6" s="203">
        <f t="shared" si="8"/>
        <v>0</v>
      </c>
      <c r="AM6" s="203">
        <f t="shared" si="9"/>
        <v>0</v>
      </c>
      <c r="AN6" s="195" t="e">
        <f t="shared" si="10"/>
        <v>#N/A</v>
      </c>
      <c r="AO6" s="202">
        <f t="shared" si="11"/>
        <v>0</v>
      </c>
      <c r="AP6" s="203">
        <f t="shared" si="12"/>
        <v>0</v>
      </c>
      <c r="AQ6" s="195" t="e">
        <f t="shared" si="13"/>
        <v>#N/A</v>
      </c>
      <c r="AR6" s="203" t="e">
        <f t="shared" si="14"/>
        <v>#N/A</v>
      </c>
      <c r="AS6" s="195">
        <f t="shared" si="15"/>
        <v>1</v>
      </c>
      <c r="AT6" s="203">
        <f t="shared" si="16"/>
        <v>0</v>
      </c>
      <c r="AU6" s="203" t="e">
        <f t="shared" si="17"/>
        <v>#N/A</v>
      </c>
      <c r="AV6" s="209">
        <f t="shared" si="18"/>
        <v>0</v>
      </c>
      <c r="AW6" s="204" t="e">
        <f t="shared" si="19"/>
        <v>#N/A</v>
      </c>
      <c r="AX6" s="195" t="str">
        <f t="shared" si="20"/>
        <v> </v>
      </c>
      <c r="AY6" s="195"/>
      <c r="AZ6" s="195"/>
      <c r="BA6" s="195"/>
      <c r="BB6" s="195"/>
      <c r="BC6" s="195"/>
      <c r="BD6" s="195"/>
      <c r="BE6" s="195"/>
      <c r="BF6" s="195"/>
      <c r="BG6" s="195"/>
      <c r="BH6" s="195"/>
      <c r="BI6" s="195"/>
      <c r="BJ6" s="195"/>
      <c r="BK6" s="195"/>
      <c r="BL6" s="195"/>
      <c r="BM6" s="195"/>
    </row>
    <row r="7" spans="1:65" ht="15.75">
      <c r="A7" s="198"/>
      <c r="B7" s="200" t="s">
        <v>1109</v>
      </c>
      <c r="C7" s="210">
        <f>'Nutrient Management Planner'!E58</f>
        <v>0</v>
      </c>
      <c r="D7" s="198" t="s">
        <v>246</v>
      </c>
      <c r="E7" s="198"/>
      <c r="F7" s="198"/>
      <c r="G7" s="200" t="s">
        <v>1110</v>
      </c>
      <c r="H7" s="206">
        <f>VLOOKUP(C4,A858:E1020,5)</f>
        <v>37</v>
      </c>
      <c r="I7" s="198" t="s">
        <v>347</v>
      </c>
      <c r="J7" s="195"/>
      <c r="K7" s="195">
        <v>5</v>
      </c>
      <c r="L7" s="196" t="s">
        <v>251</v>
      </c>
      <c r="M7" s="202">
        <v>1.1</v>
      </c>
      <c r="N7" s="202">
        <v>0.092</v>
      </c>
      <c r="O7" s="207">
        <v>60</v>
      </c>
      <c r="P7" s="203">
        <v>13.64</v>
      </c>
      <c r="Q7" s="203">
        <v>4.55</v>
      </c>
      <c r="R7" s="203">
        <v>8.94</v>
      </c>
      <c r="S7" s="203">
        <v>4</v>
      </c>
      <c r="T7" s="195"/>
      <c r="U7" s="204"/>
      <c r="V7" s="195"/>
      <c r="W7" s="204"/>
      <c r="X7" s="195"/>
      <c r="Y7" s="204"/>
      <c r="Z7" s="195" t="str">
        <f t="shared" si="0"/>
        <v> </v>
      </c>
      <c r="AA7" s="195" t="str">
        <f t="shared" si="1"/>
        <v> </v>
      </c>
      <c r="AB7" s="195" t="str">
        <f t="shared" si="2"/>
        <v> </v>
      </c>
      <c r="AC7" s="195" t="str">
        <f t="shared" si="3"/>
        <v> </v>
      </c>
      <c r="AD7" s="195">
        <f t="shared" si="4"/>
        <v>0</v>
      </c>
      <c r="AE7" s="204"/>
      <c r="AF7" s="204">
        <f t="shared" si="5"/>
        <v>0</v>
      </c>
      <c r="AG7" s="204">
        <f t="shared" si="6"/>
        <v>0</v>
      </c>
      <c r="AH7" s="195"/>
      <c r="AI7" s="195"/>
      <c r="AJ7" s="208"/>
      <c r="AK7" s="204" t="str">
        <f t="shared" si="7"/>
        <v> </v>
      </c>
      <c r="AL7" s="203">
        <f t="shared" si="8"/>
        <v>0</v>
      </c>
      <c r="AM7" s="203">
        <f t="shared" si="9"/>
        <v>0</v>
      </c>
      <c r="AN7" s="195" t="e">
        <f t="shared" si="10"/>
        <v>#N/A</v>
      </c>
      <c r="AO7" s="202">
        <f t="shared" si="11"/>
        <v>0</v>
      </c>
      <c r="AP7" s="203">
        <f t="shared" si="12"/>
        <v>0</v>
      </c>
      <c r="AQ7" s="195" t="e">
        <f t="shared" si="13"/>
        <v>#N/A</v>
      </c>
      <c r="AR7" s="203" t="e">
        <f t="shared" si="14"/>
        <v>#N/A</v>
      </c>
      <c r="AS7" s="195">
        <f t="shared" si="15"/>
        <v>1</v>
      </c>
      <c r="AT7" s="203">
        <f t="shared" si="16"/>
        <v>0</v>
      </c>
      <c r="AU7" s="203" t="e">
        <f t="shared" si="17"/>
        <v>#N/A</v>
      </c>
      <c r="AV7" s="209">
        <f t="shared" si="18"/>
        <v>0</v>
      </c>
      <c r="AW7" s="204" t="e">
        <f t="shared" si="19"/>
        <v>#N/A</v>
      </c>
      <c r="AX7" s="195" t="str">
        <f t="shared" si="20"/>
        <v> </v>
      </c>
      <c r="AY7" s="195"/>
      <c r="AZ7" s="195"/>
      <c r="BA7" s="195"/>
      <c r="BB7" s="195"/>
      <c r="BC7" s="195"/>
      <c r="BD7" s="195"/>
      <c r="BE7" s="195"/>
      <c r="BF7" s="195"/>
      <c r="BG7" s="195"/>
      <c r="BH7" s="195"/>
      <c r="BI7" s="195"/>
      <c r="BJ7" s="195"/>
      <c r="BK7" s="195"/>
      <c r="BL7" s="195"/>
      <c r="BM7" s="195"/>
    </row>
    <row r="8" spans="1:65" ht="15">
      <c r="A8" s="198"/>
      <c r="B8" s="198"/>
      <c r="C8" s="198"/>
      <c r="D8" s="198"/>
      <c r="E8" s="198"/>
      <c r="F8" s="198"/>
      <c r="G8" s="198"/>
      <c r="H8" s="198"/>
      <c r="I8" s="198"/>
      <c r="J8" s="195"/>
      <c r="K8" s="195">
        <v>6</v>
      </c>
      <c r="L8" s="196" t="s">
        <v>1111</v>
      </c>
      <c r="M8" s="202">
        <v>1.44</v>
      </c>
      <c r="N8" s="202">
        <v>0.092</v>
      </c>
      <c r="O8" s="207">
        <v>60</v>
      </c>
      <c r="P8" s="203">
        <v>14.19</v>
      </c>
      <c r="Q8" s="203">
        <v>4.7</v>
      </c>
      <c r="R8" s="203">
        <v>9.26</v>
      </c>
      <c r="S8" s="203">
        <v>4</v>
      </c>
      <c r="T8" s="195"/>
      <c r="U8" s="204"/>
      <c r="V8" s="195"/>
      <c r="W8" s="204"/>
      <c r="X8" s="195"/>
      <c r="Y8" s="204"/>
      <c r="Z8" s="195" t="str">
        <f t="shared" si="0"/>
        <v> </v>
      </c>
      <c r="AA8" s="195" t="str">
        <f t="shared" si="1"/>
        <v> </v>
      </c>
      <c r="AB8" s="195" t="str">
        <f t="shared" si="2"/>
        <v> </v>
      </c>
      <c r="AC8" s="195" t="str">
        <f t="shared" si="3"/>
        <v> </v>
      </c>
      <c r="AD8" s="195">
        <f t="shared" si="4"/>
        <v>0</v>
      </c>
      <c r="AE8" s="204"/>
      <c r="AF8" s="204">
        <f t="shared" si="5"/>
        <v>0</v>
      </c>
      <c r="AG8" s="204">
        <f t="shared" si="6"/>
        <v>0</v>
      </c>
      <c r="AH8" s="195"/>
      <c r="AI8" s="195"/>
      <c r="AJ8" s="208"/>
      <c r="AK8" s="204" t="str">
        <f t="shared" si="7"/>
        <v> </v>
      </c>
      <c r="AL8" s="203">
        <f t="shared" si="8"/>
        <v>0</v>
      </c>
      <c r="AM8" s="203">
        <f t="shared" si="9"/>
        <v>0</v>
      </c>
      <c r="AN8" s="195" t="e">
        <f t="shared" si="10"/>
        <v>#N/A</v>
      </c>
      <c r="AO8" s="202">
        <f t="shared" si="11"/>
        <v>0</v>
      </c>
      <c r="AP8" s="203">
        <f t="shared" si="12"/>
        <v>0</v>
      </c>
      <c r="AQ8" s="195" t="e">
        <f t="shared" si="13"/>
        <v>#N/A</v>
      </c>
      <c r="AR8" s="203" t="e">
        <f t="shared" si="14"/>
        <v>#N/A</v>
      </c>
      <c r="AS8" s="195">
        <f t="shared" si="15"/>
        <v>1</v>
      </c>
      <c r="AT8" s="203">
        <f t="shared" si="16"/>
        <v>0</v>
      </c>
      <c r="AU8" s="203" t="e">
        <f t="shared" si="17"/>
        <v>#N/A</v>
      </c>
      <c r="AV8" s="209">
        <f t="shared" si="18"/>
        <v>0</v>
      </c>
      <c r="AW8" s="204" t="e">
        <f t="shared" si="19"/>
        <v>#N/A</v>
      </c>
      <c r="AX8" s="195" t="str">
        <f t="shared" si="20"/>
        <v> </v>
      </c>
      <c r="AY8" s="195"/>
      <c r="AZ8" s="195"/>
      <c r="BA8" s="195"/>
      <c r="BB8" s="195"/>
      <c r="BC8" s="195"/>
      <c r="BD8" s="195"/>
      <c r="BE8" s="195"/>
      <c r="BF8" s="195"/>
      <c r="BG8" s="195"/>
      <c r="BH8" s="195"/>
      <c r="BI8" s="195"/>
      <c r="BJ8" s="195"/>
      <c r="BK8" s="195"/>
      <c r="BL8" s="195"/>
      <c r="BM8" s="195"/>
    </row>
    <row r="9" spans="1:65" ht="15">
      <c r="A9" s="1415" t="s">
        <v>1112</v>
      </c>
      <c r="B9" s="1416"/>
      <c r="C9" s="1416"/>
      <c r="D9" s="1416"/>
      <c r="E9" s="1416"/>
      <c r="F9" s="1416"/>
      <c r="G9" s="1416"/>
      <c r="I9" s="211" t="s">
        <v>250</v>
      </c>
      <c r="J9" s="195"/>
      <c r="K9" s="195">
        <v>7</v>
      </c>
      <c r="L9" s="196" t="s">
        <v>261</v>
      </c>
      <c r="M9" s="202">
        <v>0.545</v>
      </c>
      <c r="N9" s="202">
        <v>0.092</v>
      </c>
      <c r="O9" s="207">
        <v>60</v>
      </c>
      <c r="P9" s="203">
        <v>13.7</v>
      </c>
      <c r="Q9" s="203">
        <v>4.59</v>
      </c>
      <c r="R9" s="203">
        <v>8.87</v>
      </c>
      <c r="S9" s="203">
        <v>4</v>
      </c>
      <c r="T9" s="195"/>
      <c r="U9" s="204"/>
      <c r="V9" s="195"/>
      <c r="W9" s="204"/>
      <c r="X9" s="195"/>
      <c r="Y9" s="204"/>
      <c r="Z9" s="195" t="str">
        <f t="shared" si="0"/>
        <v> </v>
      </c>
      <c r="AA9" s="195" t="str">
        <f t="shared" si="1"/>
        <v> </v>
      </c>
      <c r="AB9" s="195">
        <f t="shared" si="2"/>
        <v>0</v>
      </c>
      <c r="AC9" s="195">
        <f t="shared" si="3"/>
        <v>0</v>
      </c>
      <c r="AD9" s="195">
        <f t="shared" si="4"/>
        <v>0</v>
      </c>
      <c r="AE9" s="204"/>
      <c r="AF9" s="204">
        <f t="shared" si="5"/>
        <v>0</v>
      </c>
      <c r="AG9" s="204">
        <f t="shared" si="6"/>
        <v>0</v>
      </c>
      <c r="AH9" s="195"/>
      <c r="AI9" s="195"/>
      <c r="AJ9" s="212"/>
      <c r="AK9" s="204" t="str">
        <f t="shared" si="7"/>
        <v> </v>
      </c>
      <c r="AL9" s="203">
        <f t="shared" si="8"/>
        <v>0</v>
      </c>
      <c r="AM9" s="203">
        <f t="shared" si="9"/>
        <v>0</v>
      </c>
      <c r="AN9" s="195" t="e">
        <f t="shared" si="10"/>
        <v>#N/A</v>
      </c>
      <c r="AO9" s="202">
        <f t="shared" si="11"/>
        <v>0</v>
      </c>
      <c r="AP9" s="203">
        <f t="shared" si="12"/>
        <v>0</v>
      </c>
      <c r="AQ9" s="195" t="e">
        <f t="shared" si="13"/>
        <v>#N/A</v>
      </c>
      <c r="AR9" s="203" t="e">
        <f t="shared" si="14"/>
        <v>#N/A</v>
      </c>
      <c r="AS9" s="195">
        <f t="shared" si="15"/>
        <v>1</v>
      </c>
      <c r="AT9" s="203">
        <f t="shared" si="16"/>
        <v>0</v>
      </c>
      <c r="AU9" s="203" t="e">
        <f t="shared" si="17"/>
        <v>#N/A</v>
      </c>
      <c r="AV9" s="209">
        <f t="shared" si="18"/>
        <v>0</v>
      </c>
      <c r="AW9" s="204" t="e">
        <f t="shared" si="19"/>
        <v>#N/A</v>
      </c>
      <c r="AX9" s="195" t="str">
        <f t="shared" si="20"/>
        <v> </v>
      </c>
      <c r="AY9" s="195"/>
      <c r="AZ9" s="195"/>
      <c r="BA9" s="195"/>
      <c r="BB9" s="195"/>
      <c r="BC9" s="195"/>
      <c r="BD9" s="195"/>
      <c r="BE9" s="195"/>
      <c r="BF9" s="195"/>
      <c r="BG9" s="195"/>
      <c r="BH9" s="195"/>
      <c r="BI9" s="195"/>
      <c r="BJ9" s="195"/>
      <c r="BK9" s="195"/>
      <c r="BL9" s="195"/>
      <c r="BM9" s="195"/>
    </row>
    <row r="10" spans="1:65" ht="15">
      <c r="A10" s="213" t="s">
        <v>1113</v>
      </c>
      <c r="B10" s="198"/>
      <c r="C10" s="214" t="s">
        <v>227</v>
      </c>
      <c r="D10" s="214" t="s">
        <v>1114</v>
      </c>
      <c r="E10" s="214" t="s">
        <v>240</v>
      </c>
      <c r="F10" s="214" t="s">
        <v>1115</v>
      </c>
      <c r="G10" s="214" t="s">
        <v>276</v>
      </c>
      <c r="H10" s="214" t="s">
        <v>295</v>
      </c>
      <c r="I10" s="198"/>
      <c r="J10" s="215"/>
      <c r="K10" s="195">
        <v>8</v>
      </c>
      <c r="L10" s="196" t="s">
        <v>267</v>
      </c>
      <c r="M10" s="202">
        <v>0.545</v>
      </c>
      <c r="N10" s="202">
        <v>0.092</v>
      </c>
      <c r="O10" s="207">
        <v>60</v>
      </c>
      <c r="P10" s="203">
        <v>13.7</v>
      </c>
      <c r="Q10" s="203">
        <v>4.59</v>
      </c>
      <c r="R10" s="203">
        <v>8.87</v>
      </c>
      <c r="S10" s="203">
        <v>4</v>
      </c>
      <c r="T10" s="195"/>
      <c r="U10" s="204"/>
      <c r="V10" s="195"/>
      <c r="W10" s="204"/>
      <c r="X10" s="195"/>
      <c r="Y10" s="204"/>
      <c r="Z10" s="195" t="str">
        <f t="shared" si="0"/>
        <v> </v>
      </c>
      <c r="AA10" s="195" t="str">
        <f t="shared" si="1"/>
        <v> </v>
      </c>
      <c r="AB10" s="195">
        <f t="shared" si="2"/>
        <v>0</v>
      </c>
      <c r="AC10" s="195">
        <f t="shared" si="3"/>
        <v>0</v>
      </c>
      <c r="AD10" s="195">
        <f t="shared" si="4"/>
        <v>0</v>
      </c>
      <c r="AE10" s="204"/>
      <c r="AF10" s="204">
        <f t="shared" si="5"/>
        <v>0</v>
      </c>
      <c r="AG10" s="204">
        <f t="shared" si="6"/>
        <v>0</v>
      </c>
      <c r="AH10" s="195"/>
      <c r="AI10" s="195"/>
      <c r="AJ10" s="208"/>
      <c r="AK10" s="204" t="str">
        <f t="shared" si="7"/>
        <v> </v>
      </c>
      <c r="AL10" s="203">
        <f t="shared" si="8"/>
        <v>0</v>
      </c>
      <c r="AM10" s="203">
        <f t="shared" si="9"/>
        <v>0</v>
      </c>
      <c r="AN10" s="195" t="e">
        <f t="shared" si="10"/>
        <v>#N/A</v>
      </c>
      <c r="AO10" s="202">
        <f t="shared" si="11"/>
        <v>0</v>
      </c>
      <c r="AP10" s="203">
        <f t="shared" si="12"/>
        <v>0</v>
      </c>
      <c r="AQ10" s="195" t="e">
        <f t="shared" si="13"/>
        <v>#N/A</v>
      </c>
      <c r="AR10" s="203" t="e">
        <f t="shared" si="14"/>
        <v>#N/A</v>
      </c>
      <c r="AS10" s="195">
        <f t="shared" si="15"/>
        <v>1</v>
      </c>
      <c r="AT10" s="203">
        <f t="shared" si="16"/>
        <v>0</v>
      </c>
      <c r="AU10" s="203" t="e">
        <f t="shared" si="17"/>
        <v>#N/A</v>
      </c>
      <c r="AV10" s="209">
        <f t="shared" si="18"/>
        <v>0</v>
      </c>
      <c r="AW10" s="204" t="e">
        <f t="shared" si="19"/>
        <v>#N/A</v>
      </c>
      <c r="AX10" s="195" t="str">
        <f t="shared" si="20"/>
        <v> </v>
      </c>
      <c r="AY10" s="195"/>
      <c r="AZ10" s="195"/>
      <c r="BA10" s="195"/>
      <c r="BB10" s="195"/>
      <c r="BC10" s="195"/>
      <c r="BD10" s="195"/>
      <c r="BE10" s="195"/>
      <c r="BF10" s="195"/>
      <c r="BG10" s="195"/>
      <c r="BH10" s="195"/>
      <c r="BI10" s="195"/>
      <c r="BJ10" s="195"/>
      <c r="BK10" s="195"/>
      <c r="BL10" s="195"/>
      <c r="BM10" s="195"/>
    </row>
    <row r="11" spans="1:65" ht="15">
      <c r="A11" s="200" t="s">
        <v>1116</v>
      </c>
      <c r="B11" s="198"/>
      <c r="C11" s="216">
        <f>IF(ISERR(SUM((B40*27/$C$7)*AC24))=1,0,SUM((B40*27/$C$7)*AC24))</f>
        <v>0</v>
      </c>
      <c r="D11" s="216">
        <f>IF(ISERR(SUM((B40*27/$C$7)*AC25))=1,0,SUM((B40*27/$C$7)*AC25))</f>
        <v>0</v>
      </c>
      <c r="E11" s="216">
        <f>IF(ISERR(SUM((B40*27/$C$7)*AC26))=1,0,SUM(B40*27/$C$7)*AC26)</f>
        <v>0</v>
      </c>
      <c r="F11" s="216">
        <f>IF(ISERR(SUM((B40*27/$C$7)*AC27))=1,0,SUM(B40*27/$C$7)*AC27)</f>
        <v>0</v>
      </c>
      <c r="G11" s="216">
        <f>IF(ISERR(SUM((B40*27/$C$7)*AC28))=1,0,SUM(B40*27/$C$7)*AC28)</f>
        <v>0</v>
      </c>
      <c r="H11" s="216">
        <f>IF(ISERR(SUM((B40*27/$C$7)*AC29))=1,0,SUM(B40*27/$C$7)*AC29)</f>
        <v>0</v>
      </c>
      <c r="I11" s="198"/>
      <c r="J11" s="215"/>
      <c r="K11" s="195">
        <v>9</v>
      </c>
      <c r="L11" s="196" t="s">
        <v>269</v>
      </c>
      <c r="M11" s="202">
        <v>0.875</v>
      </c>
      <c r="N11" s="202">
        <v>0.252</v>
      </c>
      <c r="O11" s="207">
        <v>60</v>
      </c>
      <c r="P11" s="203">
        <v>27.62</v>
      </c>
      <c r="Q11" s="203">
        <v>10.48</v>
      </c>
      <c r="R11" s="203">
        <v>11.43</v>
      </c>
      <c r="S11" s="203">
        <v>80</v>
      </c>
      <c r="T11" s="195"/>
      <c r="U11" s="204"/>
      <c r="V11" s="195"/>
      <c r="W11" s="204"/>
      <c r="X11" s="195"/>
      <c r="Y11" s="204"/>
      <c r="Z11" s="195" t="str">
        <f t="shared" si="0"/>
        <v> </v>
      </c>
      <c r="AA11" s="195" t="str">
        <f t="shared" si="1"/>
        <v> </v>
      </c>
      <c r="AB11" s="195">
        <f t="shared" si="2"/>
        <v>0</v>
      </c>
      <c r="AC11" s="195">
        <f t="shared" si="3"/>
        <v>0</v>
      </c>
      <c r="AD11" s="195">
        <f t="shared" si="4"/>
        <v>0</v>
      </c>
      <c r="AE11" s="204"/>
      <c r="AF11" s="204">
        <f t="shared" si="5"/>
        <v>0</v>
      </c>
      <c r="AG11" s="204">
        <f t="shared" si="6"/>
        <v>0</v>
      </c>
      <c r="AH11" s="195"/>
      <c r="AI11" s="195"/>
      <c r="AJ11" s="208"/>
      <c r="AK11" s="204" t="str">
        <f t="shared" si="7"/>
        <v> </v>
      </c>
      <c r="AL11" s="203">
        <f t="shared" si="8"/>
        <v>0</v>
      </c>
      <c r="AM11" s="203">
        <f t="shared" si="9"/>
        <v>0</v>
      </c>
      <c r="AN11" s="195" t="e">
        <f t="shared" si="10"/>
        <v>#N/A</v>
      </c>
      <c r="AO11" s="202">
        <f t="shared" si="11"/>
        <v>0</v>
      </c>
      <c r="AP11" s="203">
        <f t="shared" si="12"/>
        <v>0</v>
      </c>
      <c r="AQ11" s="195" t="e">
        <f t="shared" si="13"/>
        <v>#N/A</v>
      </c>
      <c r="AR11" s="203" t="e">
        <f t="shared" si="14"/>
        <v>#N/A</v>
      </c>
      <c r="AS11" s="195">
        <f t="shared" si="15"/>
        <v>1</v>
      </c>
      <c r="AT11" s="203">
        <f t="shared" si="16"/>
        <v>0</v>
      </c>
      <c r="AU11" s="203" t="e">
        <f t="shared" si="17"/>
        <v>#N/A</v>
      </c>
      <c r="AV11" s="209">
        <f t="shared" si="18"/>
        <v>0</v>
      </c>
      <c r="AW11" s="204" t="e">
        <f t="shared" si="19"/>
        <v>#N/A</v>
      </c>
      <c r="AX11" s="195" t="str">
        <f t="shared" si="20"/>
        <v> </v>
      </c>
      <c r="AY11" s="195"/>
      <c r="AZ11" s="195"/>
      <c r="BA11" s="195"/>
      <c r="BB11" s="195"/>
      <c r="BC11" s="195"/>
      <c r="BD11" s="195"/>
      <c r="BE11" s="195"/>
      <c r="BF11" s="195"/>
      <c r="BG11" s="195"/>
      <c r="BH11" s="195"/>
      <c r="BI11" s="195"/>
      <c r="BJ11" s="195"/>
      <c r="BK11" s="195"/>
      <c r="BL11" s="195"/>
      <c r="BM11" s="195"/>
    </row>
    <row r="12" spans="1:65" ht="15">
      <c r="A12" s="200" t="s">
        <v>1117</v>
      </c>
      <c r="B12" s="198"/>
      <c r="C12" s="216">
        <f>IF(ISERR(SUM((B40*27/$C$7)*AD24))=1,0,SUM(B40*27/$C$7)*AD24)</f>
        <v>0</v>
      </c>
      <c r="D12" s="216">
        <f>IF(ISERR(SUM((B40*27/$C$7)*AD25))=1,0,SUM(B40*27/$C$7)*AD25)</f>
        <v>0</v>
      </c>
      <c r="E12" s="216">
        <f>IF(ISERR(SUM((B40*27/$C$7)*AD26))=1,0,SUM(B40*27/$C$7)*AD26)</f>
        <v>0</v>
      </c>
      <c r="F12" s="216">
        <f>IF(ISERR(SUM((B40*27/$C$7)*AD27))=1,0,SUM(B40*27/$C$7)*AD27)</f>
        <v>0</v>
      </c>
      <c r="G12" s="216">
        <f>IF(ISERR(SUM((B40*27/$C$7)*AD28))=1,0,SUM((B40*27/$C$7)*AD28))</f>
        <v>0</v>
      </c>
      <c r="H12" s="216">
        <f>IF(ISERR(SUM((B40*27/$C$7)*AD29))=1,0,SUM(B40*27/$C$7)*AD29)</f>
        <v>0</v>
      </c>
      <c r="I12" s="198"/>
      <c r="J12" s="215"/>
      <c r="K12" s="195">
        <v>10</v>
      </c>
      <c r="L12" s="196" t="s">
        <v>271</v>
      </c>
      <c r="M12" s="202">
        <v>1.2</v>
      </c>
      <c r="N12" s="202">
        <v>0.252</v>
      </c>
      <c r="O12" s="207">
        <v>60</v>
      </c>
      <c r="P12" s="203">
        <v>33.33</v>
      </c>
      <c r="Q12" s="203">
        <v>7.5</v>
      </c>
      <c r="R12" s="203">
        <v>10.42</v>
      </c>
      <c r="S12" s="203">
        <v>80</v>
      </c>
      <c r="T12" s="195"/>
      <c r="U12" s="204"/>
      <c r="V12" s="195"/>
      <c r="W12" s="204"/>
      <c r="X12" s="195"/>
      <c r="Y12" s="204"/>
      <c r="Z12" s="195" t="str">
        <f t="shared" si="0"/>
        <v>  </v>
      </c>
      <c r="AA12" s="195" t="str">
        <f t="shared" si="1"/>
        <v> </v>
      </c>
      <c r="AB12" s="195">
        <f t="shared" si="2"/>
        <v>0</v>
      </c>
      <c r="AC12" s="195">
        <f t="shared" si="3"/>
        <v>0</v>
      </c>
      <c r="AD12" s="195">
        <f t="shared" si="4"/>
        <v>0</v>
      </c>
      <c r="AE12" s="204"/>
      <c r="AF12" s="204">
        <f t="shared" si="5"/>
        <v>0</v>
      </c>
      <c r="AG12" s="204">
        <f t="shared" si="6"/>
        <v>0</v>
      </c>
      <c r="AH12" s="195"/>
      <c r="AI12" s="195"/>
      <c r="AJ12" s="208"/>
      <c r="AK12" s="204" t="str">
        <f t="shared" si="7"/>
        <v> </v>
      </c>
      <c r="AL12" s="203">
        <f t="shared" si="8"/>
        <v>0</v>
      </c>
      <c r="AM12" s="203">
        <f t="shared" si="9"/>
        <v>0</v>
      </c>
      <c r="AN12" s="195" t="e">
        <f t="shared" si="10"/>
        <v>#N/A</v>
      </c>
      <c r="AO12" s="202">
        <f t="shared" si="11"/>
        <v>0</v>
      </c>
      <c r="AP12" s="203">
        <f t="shared" si="12"/>
        <v>0</v>
      </c>
      <c r="AQ12" s="195" t="e">
        <f t="shared" si="13"/>
        <v>#N/A</v>
      </c>
      <c r="AR12" s="203" t="e">
        <f t="shared" si="14"/>
        <v>#N/A</v>
      </c>
      <c r="AS12" s="195">
        <f t="shared" si="15"/>
        <v>1</v>
      </c>
      <c r="AT12" s="203">
        <f t="shared" si="16"/>
        <v>0</v>
      </c>
      <c r="AU12" s="203" t="e">
        <f t="shared" si="17"/>
        <v>#N/A</v>
      </c>
      <c r="AV12" s="209">
        <f t="shared" si="18"/>
        <v>0</v>
      </c>
      <c r="AW12" s="204" t="e">
        <f t="shared" si="19"/>
        <v>#N/A</v>
      </c>
      <c r="AX12" s="195" t="str">
        <f t="shared" si="20"/>
        <v> </v>
      </c>
      <c r="AY12" s="195"/>
      <c r="AZ12" s="195"/>
      <c r="BA12" s="195"/>
      <c r="BB12" s="195"/>
      <c r="BC12" s="195"/>
      <c r="BD12" s="195"/>
      <c r="BE12" s="195"/>
      <c r="BF12" s="195"/>
      <c r="BG12" s="195"/>
      <c r="BH12" s="195"/>
      <c r="BI12" s="195"/>
      <c r="BJ12" s="195"/>
      <c r="BK12" s="195"/>
      <c r="BL12" s="195"/>
      <c r="BM12" s="195"/>
    </row>
    <row r="13" spans="1:65" ht="15">
      <c r="A13" s="198"/>
      <c r="B13" s="198"/>
      <c r="C13" s="198"/>
      <c r="D13" s="198"/>
      <c r="E13" s="198"/>
      <c r="F13" s="198"/>
      <c r="G13" s="198"/>
      <c r="H13" s="198"/>
      <c r="I13" s="198"/>
      <c r="J13" s="215"/>
      <c r="K13" s="195">
        <v>11</v>
      </c>
      <c r="L13" s="196" t="s">
        <v>273</v>
      </c>
      <c r="M13" s="202">
        <v>0.89</v>
      </c>
      <c r="N13" s="202">
        <v>0.252</v>
      </c>
      <c r="O13" s="207">
        <v>60</v>
      </c>
      <c r="P13" s="203">
        <v>31.09</v>
      </c>
      <c r="Q13" s="203">
        <v>8.61</v>
      </c>
      <c r="R13" s="203">
        <v>10.11</v>
      </c>
      <c r="S13" s="203">
        <v>30</v>
      </c>
      <c r="T13" s="195"/>
      <c r="U13" s="204"/>
      <c r="V13" s="195"/>
      <c r="W13" s="204"/>
      <c r="X13" s="195"/>
      <c r="Y13" s="204"/>
      <c r="Z13" s="195" t="str">
        <f t="shared" si="0"/>
        <v> </v>
      </c>
      <c r="AA13" s="195" t="str">
        <f t="shared" si="1"/>
        <v> </v>
      </c>
      <c r="AB13" s="195">
        <f t="shared" si="2"/>
        <v>0</v>
      </c>
      <c r="AC13" s="195">
        <f t="shared" si="3"/>
        <v>0</v>
      </c>
      <c r="AD13" s="195">
        <f t="shared" si="4"/>
        <v>0</v>
      </c>
      <c r="AE13" s="204"/>
      <c r="AF13" s="204">
        <f t="shared" si="5"/>
        <v>0</v>
      </c>
      <c r="AG13" s="204">
        <f t="shared" si="6"/>
        <v>0</v>
      </c>
      <c r="AH13" s="195"/>
      <c r="AI13" s="195"/>
      <c r="AJ13" s="208"/>
      <c r="AK13" s="204" t="str">
        <f t="shared" si="7"/>
        <v> </v>
      </c>
      <c r="AL13" s="203">
        <f t="shared" si="8"/>
        <v>0</v>
      </c>
      <c r="AM13" s="203">
        <f t="shared" si="9"/>
        <v>0</v>
      </c>
      <c r="AN13" s="195" t="e">
        <f t="shared" si="10"/>
        <v>#N/A</v>
      </c>
      <c r="AO13" s="202">
        <f t="shared" si="11"/>
        <v>0</v>
      </c>
      <c r="AP13" s="203">
        <f t="shared" si="12"/>
        <v>0</v>
      </c>
      <c r="AQ13" s="195" t="e">
        <f t="shared" si="13"/>
        <v>#N/A</v>
      </c>
      <c r="AR13" s="203" t="e">
        <f t="shared" si="14"/>
        <v>#N/A</v>
      </c>
      <c r="AS13" s="195">
        <f t="shared" si="15"/>
        <v>1</v>
      </c>
      <c r="AT13" s="203">
        <f t="shared" si="16"/>
        <v>0</v>
      </c>
      <c r="AU13" s="203" t="e">
        <f t="shared" si="17"/>
        <v>#N/A</v>
      </c>
      <c r="AV13" s="209">
        <f t="shared" si="18"/>
        <v>0</v>
      </c>
      <c r="AW13" s="204" t="e">
        <f t="shared" si="19"/>
        <v>#N/A</v>
      </c>
      <c r="AX13" s="195" t="str">
        <f t="shared" si="20"/>
        <v> </v>
      </c>
      <c r="AY13" s="195"/>
      <c r="AZ13" s="195"/>
      <c r="BA13" s="195"/>
      <c r="BB13" s="195"/>
      <c r="BC13" s="195"/>
      <c r="BD13" s="195"/>
      <c r="BE13" s="195"/>
      <c r="BF13" s="195"/>
      <c r="BG13" s="195"/>
      <c r="BH13" s="195"/>
      <c r="BI13" s="195"/>
      <c r="BJ13" s="195"/>
      <c r="BK13" s="195"/>
      <c r="BL13" s="195"/>
      <c r="BM13" s="195"/>
    </row>
    <row r="14" spans="1:65" ht="15">
      <c r="A14" s="214" t="s">
        <v>1118</v>
      </c>
      <c r="B14" s="214" t="s">
        <v>379</v>
      </c>
      <c r="C14" s="198"/>
      <c r="D14" s="198"/>
      <c r="E14" s="214" t="s">
        <v>379</v>
      </c>
      <c r="F14" s="214" t="s">
        <v>380</v>
      </c>
      <c r="G14" s="214" t="s">
        <v>381</v>
      </c>
      <c r="H14" s="214" t="s">
        <v>382</v>
      </c>
      <c r="I14" s="214" t="s">
        <v>246</v>
      </c>
      <c r="J14" s="215"/>
      <c r="K14" s="195">
        <v>12</v>
      </c>
      <c r="L14" s="196" t="s">
        <v>276</v>
      </c>
      <c r="M14" s="202">
        <v>0.62</v>
      </c>
      <c r="N14" s="202">
        <v>0.25</v>
      </c>
      <c r="O14" s="207">
        <v>65</v>
      </c>
      <c r="P14" s="203">
        <v>22.33</v>
      </c>
      <c r="Q14" s="203">
        <v>3.28</v>
      </c>
      <c r="R14" s="203">
        <v>15.88</v>
      </c>
      <c r="S14" s="203">
        <v>8</v>
      </c>
      <c r="T14" s="195"/>
      <c r="U14" s="204"/>
      <c r="V14" s="195"/>
      <c r="W14" s="204"/>
      <c r="X14" s="195"/>
      <c r="Y14" s="204"/>
      <c r="Z14" s="195"/>
      <c r="AA14" s="195"/>
      <c r="AB14" s="195"/>
      <c r="AC14" s="195"/>
      <c r="AD14" s="195"/>
      <c r="AE14" s="195"/>
      <c r="AF14" s="195"/>
      <c r="AG14" s="195"/>
      <c r="AH14" s="195"/>
      <c r="AI14" s="195"/>
      <c r="AJ14" s="208"/>
      <c r="AK14" s="204" t="str">
        <f t="shared" si="7"/>
        <v> </v>
      </c>
      <c r="AL14" s="203">
        <f t="shared" si="8"/>
        <v>0</v>
      </c>
      <c r="AM14" s="203">
        <f t="shared" si="9"/>
        <v>0</v>
      </c>
      <c r="AN14" s="195" t="e">
        <f t="shared" si="10"/>
        <v>#N/A</v>
      </c>
      <c r="AO14" s="202">
        <f t="shared" si="11"/>
        <v>0</v>
      </c>
      <c r="AP14" s="203">
        <f t="shared" si="12"/>
        <v>0</v>
      </c>
      <c r="AQ14" s="195" t="e">
        <f t="shared" si="13"/>
        <v>#N/A</v>
      </c>
      <c r="AR14" s="203" t="e">
        <f t="shared" si="14"/>
        <v>#N/A</v>
      </c>
      <c r="AS14" s="195">
        <f t="shared" si="15"/>
        <v>1</v>
      </c>
      <c r="AT14" s="203">
        <f t="shared" si="16"/>
        <v>0</v>
      </c>
      <c r="AU14" s="203" t="e">
        <f t="shared" si="17"/>
        <v>#N/A</v>
      </c>
      <c r="AV14" s="209">
        <f t="shared" si="18"/>
        <v>0</v>
      </c>
      <c r="AW14" s="204" t="e">
        <f t="shared" si="19"/>
        <v>#N/A</v>
      </c>
      <c r="AX14" s="195" t="str">
        <f t="shared" si="20"/>
        <v> </v>
      </c>
      <c r="AY14" s="195"/>
      <c r="AZ14" s="195"/>
      <c r="BA14" s="195"/>
      <c r="BB14" s="195"/>
      <c r="BC14" s="195"/>
      <c r="BD14" s="195"/>
      <c r="BE14" s="195"/>
      <c r="BF14" s="195"/>
      <c r="BG14" s="195"/>
      <c r="BH14" s="195"/>
      <c r="BI14" s="195"/>
      <c r="BJ14" s="195"/>
      <c r="BK14" s="195"/>
      <c r="BL14" s="195"/>
      <c r="BM14" s="195"/>
    </row>
    <row r="15" spans="1:65" ht="15.75">
      <c r="A15" s="214" t="s">
        <v>227</v>
      </c>
      <c r="B15" s="214" t="s">
        <v>384</v>
      </c>
      <c r="C15" s="198" t="s">
        <v>1119</v>
      </c>
      <c r="D15" s="198"/>
      <c r="E15" s="416">
        <f>IF('Nutrient Management Planner'!F58="","",(VLOOKUP('Nutrient Management Planner'!F58,'Nutrient Management Planner'!$M$371:$N$384,2)))</f>
      </c>
      <c r="F15" s="214" t="str">
        <f aca="true" t="shared" si="21" ref="F15:F26">IF(E15&lt;1,$Z$37,VLOOKUP(E15,$K$3:$Y$15,2))</f>
        <v> </v>
      </c>
      <c r="G15" s="281">
        <f>'Nutrient Management Planner'!H58</f>
        <v>0</v>
      </c>
      <c r="H15" s="281">
        <f>'Nutrient Management Planner'!I58</f>
        <v>0</v>
      </c>
      <c r="I15" s="217" t="s">
        <v>332</v>
      </c>
      <c r="J15" s="215"/>
      <c r="K15" s="195">
        <v>13</v>
      </c>
      <c r="L15" s="196" t="s">
        <v>295</v>
      </c>
      <c r="M15" s="202">
        <v>0.75</v>
      </c>
      <c r="N15" s="202">
        <v>0.2</v>
      </c>
      <c r="O15" s="207">
        <v>60</v>
      </c>
      <c r="P15" s="203">
        <v>12</v>
      </c>
      <c r="Q15" s="203">
        <v>2.04</v>
      </c>
      <c r="R15" s="203">
        <v>7.56</v>
      </c>
      <c r="S15" s="203">
        <v>1</v>
      </c>
      <c r="T15" s="195"/>
      <c r="U15" s="204"/>
      <c r="V15" s="195"/>
      <c r="W15" s="204"/>
      <c r="X15" s="195"/>
      <c r="Y15" s="204"/>
      <c r="Z15" s="195"/>
      <c r="AA15" s="195"/>
      <c r="AB15" s="195"/>
      <c r="AC15" s="195"/>
      <c r="AD15" s="195"/>
      <c r="AE15" s="207"/>
      <c r="AF15" s="207"/>
      <c r="AG15" s="195"/>
      <c r="AH15" s="195"/>
      <c r="AI15" s="195"/>
      <c r="AJ15" s="208"/>
      <c r="AK15" s="204" t="str">
        <f t="shared" si="7"/>
        <v> </v>
      </c>
      <c r="AL15" s="203">
        <f t="shared" si="8"/>
        <v>0</v>
      </c>
      <c r="AM15" s="203">
        <f t="shared" si="9"/>
        <v>0</v>
      </c>
      <c r="AN15" s="195" t="e">
        <f t="shared" si="10"/>
        <v>#N/A</v>
      </c>
      <c r="AO15" s="202">
        <f t="shared" si="11"/>
        <v>0</v>
      </c>
      <c r="AP15" s="203">
        <f t="shared" si="12"/>
        <v>0</v>
      </c>
      <c r="AQ15" s="195" t="e">
        <f t="shared" si="13"/>
        <v>#N/A</v>
      </c>
      <c r="AR15" s="203" t="e">
        <f t="shared" si="14"/>
        <v>#N/A</v>
      </c>
      <c r="AS15" s="195">
        <f t="shared" si="15"/>
        <v>1</v>
      </c>
      <c r="AT15" s="203">
        <f t="shared" si="16"/>
        <v>0</v>
      </c>
      <c r="AU15" s="203" t="e">
        <f t="shared" si="17"/>
        <v>#N/A</v>
      </c>
      <c r="AV15" s="209">
        <f t="shared" si="18"/>
        <v>0</v>
      </c>
      <c r="AW15" s="204" t="e">
        <f t="shared" si="19"/>
        <v>#N/A</v>
      </c>
      <c r="AX15" s="195" t="str">
        <f t="shared" si="20"/>
        <v> </v>
      </c>
      <c r="AY15" s="195"/>
      <c r="AZ15" s="195"/>
      <c r="BA15" s="195"/>
      <c r="BB15" s="195"/>
      <c r="BC15" s="195"/>
      <c r="BD15" s="195"/>
      <c r="BE15" s="195"/>
      <c r="BF15" s="195"/>
      <c r="BG15" s="195"/>
      <c r="BH15" s="195"/>
      <c r="BI15" s="195"/>
      <c r="BJ15" s="195"/>
      <c r="BK15" s="195"/>
      <c r="BL15" s="195"/>
      <c r="BM15" s="195"/>
    </row>
    <row r="16" spans="1:65" ht="15.75">
      <c r="A16" s="214" t="s">
        <v>240</v>
      </c>
      <c r="B16" s="214" t="s">
        <v>386</v>
      </c>
      <c r="C16" s="198" t="s">
        <v>1120</v>
      </c>
      <c r="D16" s="198"/>
      <c r="E16" s="416">
        <f>IF('Nutrient Management Planner'!F59="","",(VLOOKUP('Nutrient Management Planner'!F59,'Nutrient Management Planner'!$M$371:$N$384,2)))</f>
      </c>
      <c r="F16" s="214" t="str">
        <f t="shared" si="21"/>
        <v> </v>
      </c>
      <c r="G16" s="281">
        <f>'Nutrient Management Planner'!H59</f>
        <v>0</v>
      </c>
      <c r="H16" s="281">
        <f>'Nutrient Management Planner'!I59</f>
        <v>0</v>
      </c>
      <c r="I16" s="217">
        <f>'Nutrient Management Planner'!E59+0</f>
        <v>0</v>
      </c>
      <c r="J16" s="215"/>
      <c r="K16" s="195"/>
      <c r="L16" s="195"/>
      <c r="M16" s="195"/>
      <c r="N16" s="195"/>
      <c r="O16" s="195"/>
      <c r="P16" s="195"/>
      <c r="Q16" s="195"/>
      <c r="R16" s="195"/>
      <c r="S16" s="195"/>
      <c r="T16" s="195"/>
      <c r="U16" s="195"/>
      <c r="V16" s="195"/>
      <c r="W16" s="195"/>
      <c r="X16" s="195"/>
      <c r="Y16" s="195"/>
      <c r="Z16" s="195"/>
      <c r="AA16" s="195"/>
      <c r="AB16" s="195"/>
      <c r="AC16" s="195"/>
      <c r="AD16" s="195"/>
      <c r="AE16" s="195"/>
      <c r="AF16" s="218" t="s">
        <v>298</v>
      </c>
      <c r="AG16" s="218" t="s">
        <v>298</v>
      </c>
      <c r="AH16" s="195"/>
      <c r="AI16" s="195"/>
      <c r="AJ16" s="208"/>
      <c r="AK16" s="208"/>
      <c r="AL16" s="195"/>
      <c r="AM16" s="195"/>
      <c r="AN16" s="195"/>
      <c r="AO16" s="202"/>
      <c r="AP16" s="203"/>
      <c r="AQ16" s="195"/>
      <c r="AR16" s="203"/>
      <c r="AS16" s="195"/>
      <c r="AT16" s="195"/>
      <c r="AU16" s="203"/>
      <c r="AV16" s="195"/>
      <c r="AW16" s="195"/>
      <c r="AX16" s="195"/>
      <c r="AY16" s="195"/>
      <c r="AZ16" s="195"/>
      <c r="BA16" s="195"/>
      <c r="BB16" s="195"/>
      <c r="BC16" s="195"/>
      <c r="BD16" s="195"/>
      <c r="BE16" s="195"/>
      <c r="BF16" s="195"/>
      <c r="BG16" s="195"/>
      <c r="BH16" s="195"/>
      <c r="BI16" s="195"/>
      <c r="BJ16" s="195"/>
      <c r="BK16" s="195"/>
      <c r="BL16" s="195"/>
      <c r="BM16" s="195"/>
    </row>
    <row r="17" spans="1:65" ht="15.75">
      <c r="A17" s="214" t="s">
        <v>244</v>
      </c>
      <c r="B17" s="214" t="s">
        <v>391</v>
      </c>
      <c r="C17" s="198" t="s">
        <v>1121</v>
      </c>
      <c r="D17" s="198"/>
      <c r="E17" s="416">
        <f>IF('Nutrient Management Planner'!F60="","",(VLOOKUP('Nutrient Management Planner'!F60,'Nutrient Management Planner'!$M$371:$N$384,2)))</f>
      </c>
      <c r="F17" s="214" t="str">
        <f t="shared" si="21"/>
        <v> </v>
      </c>
      <c r="G17" s="281">
        <f>'Nutrient Management Planner'!H60</f>
        <v>0</v>
      </c>
      <c r="H17" s="281">
        <f>'Nutrient Management Planner'!I60</f>
        <v>0</v>
      </c>
      <c r="I17" s="217">
        <f>'Nutrient Management Planner'!E60+0</f>
        <v>0</v>
      </c>
      <c r="J17" s="215"/>
      <c r="K17" s="195"/>
      <c r="L17" s="195"/>
      <c r="M17" s="196" t="s">
        <v>205</v>
      </c>
      <c r="N17" s="196" t="s">
        <v>206</v>
      </c>
      <c r="O17" s="195"/>
      <c r="P17" s="196" t="s">
        <v>207</v>
      </c>
      <c r="Q17" s="196" t="s">
        <v>300</v>
      </c>
      <c r="R17" s="196" t="s">
        <v>301</v>
      </c>
      <c r="S17" s="196" t="s">
        <v>302</v>
      </c>
      <c r="T17" s="196" t="s">
        <v>181</v>
      </c>
      <c r="U17" s="196" t="s">
        <v>181</v>
      </c>
      <c r="V17" s="196" t="s">
        <v>189</v>
      </c>
      <c r="W17" s="196" t="s">
        <v>189</v>
      </c>
      <c r="X17" s="196" t="s">
        <v>188</v>
      </c>
      <c r="Y17" s="196" t="s">
        <v>188</v>
      </c>
      <c r="Z17" s="195"/>
      <c r="AA17" s="195"/>
      <c r="AB17" s="195"/>
      <c r="AC17" s="195"/>
      <c r="AD17" s="195"/>
      <c r="AE17" s="219" t="s">
        <v>303</v>
      </c>
      <c r="AF17" s="204">
        <f>SUM(AF3:AF13)/1000</f>
        <v>0</v>
      </c>
      <c r="AG17" s="204">
        <f>SUM(AG3:AG15)</f>
        <v>0</v>
      </c>
      <c r="AH17" s="195"/>
      <c r="AI17" s="195"/>
      <c r="AJ17" s="208"/>
      <c r="AK17" s="208"/>
      <c r="AL17" s="195"/>
      <c r="AM17" s="195"/>
      <c r="AN17" s="195"/>
      <c r="AO17" s="202"/>
      <c r="AP17" s="203"/>
      <c r="AQ17" s="195"/>
      <c r="AR17" s="203"/>
      <c r="AS17" s="195"/>
      <c r="AT17" s="195"/>
      <c r="AU17" s="203"/>
      <c r="AV17" s="209"/>
      <c r="AW17" s="204" t="e">
        <f>SUM(AW5:AW15)</f>
        <v>#N/A</v>
      </c>
      <c r="AX17" s="195" t="s">
        <v>1122</v>
      </c>
      <c r="AY17" s="195"/>
      <c r="AZ17" s="195"/>
      <c r="BA17" s="195"/>
      <c r="BB17" s="195"/>
      <c r="BC17" s="195"/>
      <c r="BD17" s="195"/>
      <c r="BE17" s="195"/>
      <c r="BF17" s="195"/>
      <c r="BG17" s="195"/>
      <c r="BH17" s="195"/>
      <c r="BI17" s="195"/>
      <c r="BJ17" s="195"/>
      <c r="BK17" s="195"/>
      <c r="BL17" s="195"/>
      <c r="BM17" s="195"/>
    </row>
    <row r="18" spans="1:65" ht="15.75">
      <c r="A18" s="214" t="s">
        <v>248</v>
      </c>
      <c r="B18" s="214" t="s">
        <v>393</v>
      </c>
      <c r="C18" s="198" t="s">
        <v>1123</v>
      </c>
      <c r="D18" s="198"/>
      <c r="E18" s="416">
        <f>IF('Nutrient Management Planner'!F61="","",(VLOOKUP('Nutrient Management Planner'!F61,'Nutrient Management Planner'!$M$371:$N$384,2)))</f>
      </c>
      <c r="F18" s="214" t="str">
        <f t="shared" si="21"/>
        <v> </v>
      </c>
      <c r="G18" s="281">
        <f>'Nutrient Management Planner'!H61</f>
        <v>0</v>
      </c>
      <c r="H18" s="281">
        <f>'Nutrient Management Planner'!I61</f>
        <v>0</v>
      </c>
      <c r="I18" s="217">
        <f>'Nutrient Management Planner'!E61+0</f>
        <v>0</v>
      </c>
      <c r="J18" s="215"/>
      <c r="K18" s="195"/>
      <c r="L18" s="195"/>
      <c r="M18" s="196" t="s">
        <v>214</v>
      </c>
      <c r="N18" s="196" t="s">
        <v>215</v>
      </c>
      <c r="O18" s="196" t="s">
        <v>305</v>
      </c>
      <c r="P18" s="196" t="s">
        <v>216</v>
      </c>
      <c r="Q18" s="196" t="s">
        <v>214</v>
      </c>
      <c r="R18" s="196" t="s">
        <v>306</v>
      </c>
      <c r="S18" s="196" t="s">
        <v>307</v>
      </c>
      <c r="T18" s="196" t="s">
        <v>217</v>
      </c>
      <c r="U18" s="196" t="s">
        <v>308</v>
      </c>
      <c r="V18" s="196" t="s">
        <v>217</v>
      </c>
      <c r="W18" s="196" t="s">
        <v>308</v>
      </c>
      <c r="X18" s="196" t="s">
        <v>217</v>
      </c>
      <c r="Y18" s="196" t="s">
        <v>308</v>
      </c>
      <c r="Z18" s="195"/>
      <c r="AA18" s="195"/>
      <c r="AB18" s="195"/>
      <c r="AC18" s="195"/>
      <c r="AD18" s="195"/>
      <c r="AE18" s="195"/>
      <c r="AF18" s="219" t="s">
        <v>309</v>
      </c>
      <c r="AG18" s="219" t="s">
        <v>208</v>
      </c>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row>
    <row r="19" spans="1:65" ht="15.75">
      <c r="A19" s="214" t="s">
        <v>251</v>
      </c>
      <c r="B19" s="214" t="s">
        <v>395</v>
      </c>
      <c r="C19" s="198" t="s">
        <v>1124</v>
      </c>
      <c r="D19" s="198"/>
      <c r="E19" s="735" t="s">
        <v>332</v>
      </c>
      <c r="F19" s="734" t="str">
        <f t="shared" si="21"/>
        <v> </v>
      </c>
      <c r="G19" s="735" t="s">
        <v>332</v>
      </c>
      <c r="H19" s="735" t="s">
        <v>332</v>
      </c>
      <c r="I19" s="735"/>
      <c r="J19" s="215"/>
      <c r="K19" s="195">
        <f aca="true" t="shared" si="22" ref="K19:K26">E15</f>
      </c>
      <c r="L19" s="195" t="str">
        <f aca="true" t="shared" si="23" ref="L19:L26">IF(E15&lt;1,$K$30,VLOOKUP(K19,$K$3:$R$15,2))</f>
        <v> </v>
      </c>
      <c r="M19" s="202">
        <f aca="true" t="shared" si="24" ref="M19:M30">IF(E15&lt;1,0,VLOOKUP(E15,$K$3:$R$15,3))</f>
        <v>0</v>
      </c>
      <c r="N19" s="195">
        <f aca="true" t="shared" si="25" ref="N19:N30">IF(E15&lt;1,0,VLOOKUP(E15,$K$3:$R$15,4))</f>
        <v>0</v>
      </c>
      <c r="O19" s="195">
        <f aca="true" t="shared" si="26" ref="O19:O30">IF(I15&lt;1,$C$7,I15)</f>
        <v>0</v>
      </c>
      <c r="P19" s="195">
        <f aca="true" t="shared" si="27" ref="P19:P30">IF(E15&lt;1,0,VLOOKUP(E15,$K$3:$Y$15,5))</f>
        <v>0</v>
      </c>
      <c r="Q19" s="202">
        <f aca="true" t="shared" si="28" ref="Q19:Q30">SUM(R19/1000)</f>
        <v>0</v>
      </c>
      <c r="R19" s="204">
        <f aca="true" t="shared" si="29" ref="R19:R30">IF(I15&lt;1,SUM(G15*H15*$C$7)/(1000)*M19,SUM(G15*H15*I15)/1000*M19)</f>
        <v>0</v>
      </c>
      <c r="S19" s="207">
        <f aca="true" t="shared" si="30" ref="S19:S30">IF(E15&lt;1,0,SUM(P19*R19)/2000)</f>
        <v>0</v>
      </c>
      <c r="T19" s="195">
        <f aca="true" t="shared" si="31" ref="T19:T30">IF(E15&lt;1,0,VLOOKUP(E15,$K$3:$Y$15,6))</f>
        <v>0</v>
      </c>
      <c r="U19" s="204">
        <f aca="true" t="shared" si="32" ref="U19:U30">SUM(S19*T19)</f>
        <v>0</v>
      </c>
      <c r="V19" s="195">
        <f aca="true" t="shared" si="33" ref="V19:V30">IF(E15&lt;1,0,VLOOKUP(E15,$K$3:$Y$15,7))</f>
        <v>0</v>
      </c>
      <c r="W19" s="204">
        <f aca="true" t="shared" si="34" ref="W19:W30">IF(E15&lt;1,0,SUM(S19*V19)*2.29)</f>
        <v>0</v>
      </c>
      <c r="X19" s="195">
        <f aca="true" t="shared" si="35" ref="X19:X30">IF(E15&lt;1,0,VLOOKUP(E15,$K$3:$Y$15,8))</f>
        <v>0</v>
      </c>
      <c r="Y19" s="204">
        <f aca="true" t="shared" si="36" ref="Y19:Y30">IF(E15&lt;1,0,SUM(S19*X19)*1.21)</f>
        <v>0</v>
      </c>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row>
    <row r="20" spans="1:65" ht="15.75">
      <c r="A20" s="214" t="s">
        <v>254</v>
      </c>
      <c r="B20" s="214" t="s">
        <v>397</v>
      </c>
      <c r="C20" s="198" t="s">
        <v>332</v>
      </c>
      <c r="D20" s="198"/>
      <c r="E20" s="735" t="s">
        <v>332</v>
      </c>
      <c r="F20" s="734" t="str">
        <f t="shared" si="21"/>
        <v> </v>
      </c>
      <c r="G20" s="735" t="s">
        <v>332</v>
      </c>
      <c r="H20" s="735" t="s">
        <v>332</v>
      </c>
      <c r="I20" s="735"/>
      <c r="J20" s="215"/>
      <c r="K20" s="195">
        <f t="shared" si="22"/>
      </c>
      <c r="L20" s="195" t="str">
        <f t="shared" si="23"/>
        <v> </v>
      </c>
      <c r="M20" s="202">
        <f t="shared" si="24"/>
        <v>0</v>
      </c>
      <c r="N20" s="195">
        <f t="shared" si="25"/>
        <v>0</v>
      </c>
      <c r="O20" s="195">
        <f t="shared" si="26"/>
        <v>0</v>
      </c>
      <c r="P20" s="195">
        <f t="shared" si="27"/>
        <v>0</v>
      </c>
      <c r="Q20" s="202">
        <f t="shared" si="28"/>
        <v>0</v>
      </c>
      <c r="R20" s="204">
        <f t="shared" si="29"/>
        <v>0</v>
      </c>
      <c r="S20" s="207">
        <f t="shared" si="30"/>
        <v>0</v>
      </c>
      <c r="T20" s="195">
        <f t="shared" si="31"/>
        <v>0</v>
      </c>
      <c r="U20" s="204">
        <f t="shared" si="32"/>
        <v>0</v>
      </c>
      <c r="V20" s="195">
        <f t="shared" si="33"/>
        <v>0</v>
      </c>
      <c r="W20" s="204">
        <f t="shared" si="34"/>
        <v>0</v>
      </c>
      <c r="X20" s="195">
        <f t="shared" si="35"/>
        <v>0</v>
      </c>
      <c r="Y20" s="204">
        <f t="shared" si="36"/>
        <v>0</v>
      </c>
      <c r="Z20" s="195"/>
      <c r="AA20" s="207" t="b">
        <f>ISERR(H5)</f>
        <v>0</v>
      </c>
      <c r="AB20" s="195" t="s">
        <v>332</v>
      </c>
      <c r="AC20" s="195"/>
      <c r="AD20" s="195"/>
      <c r="AE20" s="195"/>
      <c r="AF20" s="195"/>
      <c r="AG20" s="195"/>
      <c r="AH20" s="195"/>
      <c r="AI20" s="195"/>
      <c r="AJ20" s="195"/>
      <c r="AK20" s="195"/>
      <c r="AL20" s="195"/>
      <c r="AM20" s="195"/>
      <c r="AN20" s="195"/>
      <c r="AO20" s="195" t="s">
        <v>321</v>
      </c>
      <c r="AP20" s="195" t="s">
        <v>322</v>
      </c>
      <c r="AQ20" s="195" t="s">
        <v>233</v>
      </c>
      <c r="AR20" s="195" t="s">
        <v>234</v>
      </c>
      <c r="AS20" s="195"/>
      <c r="AT20" s="195"/>
      <c r="AU20" s="195"/>
      <c r="AV20" s="195"/>
      <c r="AW20" s="195"/>
      <c r="AX20" s="195"/>
      <c r="AY20" s="195"/>
      <c r="AZ20" s="195"/>
      <c r="BA20" s="195"/>
      <c r="BB20" s="195"/>
      <c r="BC20" s="195"/>
      <c r="BD20" s="195"/>
      <c r="BE20" s="195"/>
      <c r="BF20" s="195"/>
      <c r="BG20" s="195"/>
      <c r="BH20" s="195"/>
      <c r="BI20" s="195"/>
      <c r="BJ20" s="195"/>
      <c r="BK20" s="195"/>
      <c r="BL20" s="195"/>
      <c r="BM20" s="195"/>
    </row>
    <row r="21" spans="1:65" ht="15.75">
      <c r="A21" s="214" t="s">
        <v>261</v>
      </c>
      <c r="B21" s="214" t="s">
        <v>398</v>
      </c>
      <c r="C21" s="198" t="s">
        <v>1125</v>
      </c>
      <c r="D21" s="198"/>
      <c r="E21" s="735" t="s">
        <v>332</v>
      </c>
      <c r="F21" s="734" t="str">
        <f t="shared" si="21"/>
        <v> </v>
      </c>
      <c r="G21" s="735"/>
      <c r="H21" s="735"/>
      <c r="I21" s="735"/>
      <c r="J21" s="215"/>
      <c r="K21" s="195">
        <f t="shared" si="22"/>
      </c>
      <c r="L21" s="195" t="str">
        <f t="shared" si="23"/>
        <v> </v>
      </c>
      <c r="M21" s="202">
        <f t="shared" si="24"/>
        <v>0</v>
      </c>
      <c r="N21" s="195">
        <f t="shared" si="25"/>
        <v>0</v>
      </c>
      <c r="O21" s="195">
        <f t="shared" si="26"/>
        <v>0</v>
      </c>
      <c r="P21" s="195">
        <f t="shared" si="27"/>
        <v>0</v>
      </c>
      <c r="Q21" s="202">
        <f t="shared" si="28"/>
        <v>0</v>
      </c>
      <c r="R21" s="204">
        <f t="shared" si="29"/>
        <v>0</v>
      </c>
      <c r="S21" s="207">
        <f t="shared" si="30"/>
        <v>0</v>
      </c>
      <c r="T21" s="195">
        <f t="shared" si="31"/>
        <v>0</v>
      </c>
      <c r="U21" s="204">
        <f t="shared" si="32"/>
        <v>0</v>
      </c>
      <c r="V21" s="195">
        <f t="shared" si="33"/>
        <v>0</v>
      </c>
      <c r="W21" s="204">
        <f t="shared" si="34"/>
        <v>0</v>
      </c>
      <c r="X21" s="195">
        <f t="shared" si="35"/>
        <v>0</v>
      </c>
      <c r="Y21" s="204">
        <f t="shared" si="36"/>
        <v>0</v>
      </c>
      <c r="Z21" s="195"/>
      <c r="AA21" s="195" t="s">
        <v>1126</v>
      </c>
      <c r="AB21" s="195"/>
      <c r="AC21" s="195"/>
      <c r="AD21" s="195"/>
      <c r="AE21" s="195"/>
      <c r="AF21" s="195"/>
      <c r="AG21" s="195"/>
      <c r="AH21" s="195"/>
      <c r="AI21" s="195"/>
      <c r="AJ21" s="195"/>
      <c r="AK21" s="195"/>
      <c r="AL21" s="195"/>
      <c r="AM21" s="195"/>
      <c r="AN21" s="195"/>
      <c r="AO21" s="196" t="s">
        <v>325</v>
      </c>
      <c r="AP21" s="195" t="s">
        <v>326</v>
      </c>
      <c r="AQ21" s="195" t="s">
        <v>326</v>
      </c>
      <c r="AR21" s="195" t="s">
        <v>1127</v>
      </c>
      <c r="AS21" s="195"/>
      <c r="AT21" s="195"/>
      <c r="AU21" s="195"/>
      <c r="AV21" s="195"/>
      <c r="AW21" s="195"/>
      <c r="AX21" s="195"/>
      <c r="AY21" s="195"/>
      <c r="AZ21" s="195"/>
      <c r="BA21" s="195"/>
      <c r="BB21" s="195"/>
      <c r="BC21" s="195"/>
      <c r="BD21" s="195"/>
      <c r="BE21" s="195"/>
      <c r="BF21" s="195"/>
      <c r="BG21" s="195"/>
      <c r="BH21" s="195"/>
      <c r="BI21" s="195"/>
      <c r="BJ21" s="195"/>
      <c r="BK21" s="195"/>
      <c r="BL21" s="195"/>
      <c r="BM21" s="195"/>
    </row>
    <row r="22" spans="1:65" ht="15.75">
      <c r="A22" s="214" t="s">
        <v>267</v>
      </c>
      <c r="B22" s="214" t="s">
        <v>400</v>
      </c>
      <c r="C22" s="198" t="s">
        <v>1128</v>
      </c>
      <c r="D22" s="198"/>
      <c r="E22" s="735" t="s">
        <v>332</v>
      </c>
      <c r="F22" s="734" t="str">
        <f t="shared" si="21"/>
        <v> </v>
      </c>
      <c r="G22" s="735"/>
      <c r="H22" s="735"/>
      <c r="I22" s="735"/>
      <c r="J22" s="215"/>
      <c r="K22" s="195">
        <f t="shared" si="22"/>
      </c>
      <c r="L22" s="195" t="str">
        <f t="shared" si="23"/>
        <v> </v>
      </c>
      <c r="M22" s="202">
        <f t="shared" si="24"/>
        <v>0</v>
      </c>
      <c r="N22" s="195">
        <f t="shared" si="25"/>
        <v>0</v>
      </c>
      <c r="O22" s="195">
        <f t="shared" si="26"/>
        <v>0</v>
      </c>
      <c r="P22" s="195">
        <f t="shared" si="27"/>
        <v>0</v>
      </c>
      <c r="Q22" s="202">
        <f t="shared" si="28"/>
        <v>0</v>
      </c>
      <c r="R22" s="204">
        <f t="shared" si="29"/>
        <v>0</v>
      </c>
      <c r="S22" s="207">
        <f t="shared" si="30"/>
        <v>0</v>
      </c>
      <c r="T22" s="195">
        <f t="shared" si="31"/>
        <v>0</v>
      </c>
      <c r="U22" s="204">
        <f t="shared" si="32"/>
        <v>0</v>
      </c>
      <c r="V22" s="195">
        <f t="shared" si="33"/>
        <v>0</v>
      </c>
      <c r="W22" s="204">
        <f t="shared" si="34"/>
        <v>0</v>
      </c>
      <c r="X22" s="195">
        <f t="shared" si="35"/>
        <v>0</v>
      </c>
      <c r="Y22" s="204">
        <f t="shared" si="36"/>
        <v>0</v>
      </c>
      <c r="Z22" s="195"/>
      <c r="AA22" s="195"/>
      <c r="AB22" s="195"/>
      <c r="AC22" s="195"/>
      <c r="AD22" s="195"/>
      <c r="AE22" s="195"/>
      <c r="AF22" s="195"/>
      <c r="AG22" s="195"/>
      <c r="AH22" s="195"/>
      <c r="AI22" s="195"/>
      <c r="AJ22" s="195"/>
      <c r="AK22" s="195"/>
      <c r="AL22" s="195"/>
      <c r="AM22" s="195"/>
      <c r="AN22" s="195">
        <v>1</v>
      </c>
      <c r="AO22" s="195">
        <v>0.05</v>
      </c>
      <c r="AP22" s="203">
        <v>0.65</v>
      </c>
      <c r="AQ22" s="195">
        <v>1</v>
      </c>
      <c r="AR22" s="203">
        <v>0.3</v>
      </c>
      <c r="AS22" s="195" t="s">
        <v>227</v>
      </c>
      <c r="AT22" s="195"/>
      <c r="AU22" s="195"/>
      <c r="AV22" s="195"/>
      <c r="AW22" s="195"/>
      <c r="AX22" s="195"/>
      <c r="AY22" s="195"/>
      <c r="AZ22" s="195"/>
      <c r="BA22" s="195"/>
      <c r="BB22" s="195"/>
      <c r="BC22" s="195"/>
      <c r="BD22" s="195"/>
      <c r="BE22" s="195"/>
      <c r="BF22" s="195"/>
      <c r="BG22" s="195"/>
      <c r="BH22" s="195"/>
      <c r="BI22" s="195"/>
      <c r="BJ22" s="195"/>
      <c r="BK22" s="195"/>
      <c r="BL22" s="195"/>
      <c r="BM22" s="195"/>
    </row>
    <row r="23" spans="1:65" ht="15.75">
      <c r="A23" s="214" t="s">
        <v>269</v>
      </c>
      <c r="B23" s="214" t="s">
        <v>403</v>
      </c>
      <c r="C23" s="198" t="s">
        <v>1129</v>
      </c>
      <c r="D23" s="198"/>
      <c r="E23" s="735" t="s">
        <v>332</v>
      </c>
      <c r="F23" s="734" t="str">
        <f t="shared" si="21"/>
        <v> </v>
      </c>
      <c r="G23" s="735"/>
      <c r="H23" s="735"/>
      <c r="I23" s="735"/>
      <c r="J23" s="215"/>
      <c r="K23" s="195" t="str">
        <f t="shared" si="22"/>
        <v> </v>
      </c>
      <c r="L23" s="195" t="str">
        <f t="shared" si="23"/>
        <v> </v>
      </c>
      <c r="M23" s="202">
        <f t="shared" si="24"/>
        <v>0</v>
      </c>
      <c r="N23" s="195">
        <f t="shared" si="25"/>
        <v>0</v>
      </c>
      <c r="O23" s="195">
        <f t="shared" si="26"/>
        <v>0</v>
      </c>
      <c r="P23" s="195">
        <f t="shared" si="27"/>
        <v>0</v>
      </c>
      <c r="Q23" s="202">
        <f t="shared" si="28"/>
        <v>0</v>
      </c>
      <c r="R23" s="204">
        <f t="shared" si="29"/>
        <v>0</v>
      </c>
      <c r="S23" s="207">
        <f t="shared" si="30"/>
        <v>0</v>
      </c>
      <c r="T23" s="195">
        <f t="shared" si="31"/>
        <v>0</v>
      </c>
      <c r="U23" s="204">
        <f t="shared" si="32"/>
        <v>0</v>
      </c>
      <c r="V23" s="195">
        <f t="shared" si="33"/>
        <v>0</v>
      </c>
      <c r="W23" s="204">
        <f t="shared" si="34"/>
        <v>0</v>
      </c>
      <c r="X23" s="195">
        <f t="shared" si="35"/>
        <v>0</v>
      </c>
      <c r="Y23" s="204">
        <f t="shared" si="36"/>
        <v>0</v>
      </c>
      <c r="Z23" s="195"/>
      <c r="AA23" s="195" t="s">
        <v>332</v>
      </c>
      <c r="AB23" s="195"/>
      <c r="AC23" s="196" t="s">
        <v>1130</v>
      </c>
      <c r="AD23" s="196" t="s">
        <v>1131</v>
      </c>
      <c r="AE23" s="195"/>
      <c r="AF23" s="195"/>
      <c r="AG23" s="195"/>
      <c r="AH23" s="195"/>
      <c r="AI23" s="195"/>
      <c r="AJ23" s="195"/>
      <c r="AK23" s="195"/>
      <c r="AL23" s="195"/>
      <c r="AM23" s="195"/>
      <c r="AN23" s="195">
        <v>2</v>
      </c>
      <c r="AO23" s="195">
        <v>0.08</v>
      </c>
      <c r="AP23" s="203">
        <v>0.8</v>
      </c>
      <c r="AQ23" s="195">
        <v>0.9</v>
      </c>
      <c r="AR23" s="203">
        <v>0.35</v>
      </c>
      <c r="AS23" s="195" t="s">
        <v>240</v>
      </c>
      <c r="AT23" s="195"/>
      <c r="AU23" s="195"/>
      <c r="AV23" s="195"/>
      <c r="AW23" s="195"/>
      <c r="AX23" s="195"/>
      <c r="AY23" s="195"/>
      <c r="AZ23" s="195"/>
      <c r="BA23" s="195"/>
      <c r="BB23" s="195"/>
      <c r="BC23" s="195"/>
      <c r="BD23" s="195"/>
      <c r="BE23" s="195"/>
      <c r="BF23" s="195"/>
      <c r="BG23" s="195"/>
      <c r="BH23" s="195"/>
      <c r="BI23" s="195"/>
      <c r="BJ23" s="195"/>
      <c r="BK23" s="195"/>
      <c r="BL23" s="195"/>
      <c r="BM23" s="195"/>
    </row>
    <row r="24" spans="1:65" ht="15.75">
      <c r="A24" s="214" t="s">
        <v>271</v>
      </c>
      <c r="B24" s="214" t="s">
        <v>407</v>
      </c>
      <c r="C24" s="198" t="s">
        <v>1132</v>
      </c>
      <c r="D24" s="198"/>
      <c r="E24" s="735" t="s">
        <v>405</v>
      </c>
      <c r="F24" s="734" t="str">
        <f t="shared" si="21"/>
        <v> </v>
      </c>
      <c r="G24" s="735"/>
      <c r="H24" s="735"/>
      <c r="I24" s="735"/>
      <c r="J24" s="215"/>
      <c r="K24" s="195" t="str">
        <f t="shared" si="22"/>
        <v> </v>
      </c>
      <c r="L24" s="195" t="str">
        <f t="shared" si="23"/>
        <v> </v>
      </c>
      <c r="M24" s="202">
        <f t="shared" si="24"/>
        <v>0</v>
      </c>
      <c r="N24" s="195">
        <f t="shared" si="25"/>
        <v>0</v>
      </c>
      <c r="O24" s="195">
        <f t="shared" si="26"/>
        <v>0</v>
      </c>
      <c r="P24" s="195">
        <f t="shared" si="27"/>
        <v>0</v>
      </c>
      <c r="Q24" s="202">
        <f t="shared" si="28"/>
        <v>0</v>
      </c>
      <c r="R24" s="204">
        <f t="shared" si="29"/>
        <v>0</v>
      </c>
      <c r="S24" s="207">
        <f t="shared" si="30"/>
        <v>0</v>
      </c>
      <c r="T24" s="195">
        <f t="shared" si="31"/>
        <v>0</v>
      </c>
      <c r="U24" s="204">
        <f t="shared" si="32"/>
        <v>0</v>
      </c>
      <c r="V24" s="195">
        <f t="shared" si="33"/>
        <v>0</v>
      </c>
      <c r="W24" s="204">
        <f t="shared" si="34"/>
        <v>0</v>
      </c>
      <c r="X24" s="195">
        <f t="shared" si="35"/>
        <v>0</v>
      </c>
      <c r="Y24" s="204">
        <f t="shared" si="36"/>
        <v>0</v>
      </c>
      <c r="Z24" s="195"/>
      <c r="AA24" s="195"/>
      <c r="AB24" s="195" t="s">
        <v>1133</v>
      </c>
      <c r="AC24" s="220">
        <f>7.48*(0.127-0.03)/0.03</f>
        <v>24.185333333333336</v>
      </c>
      <c r="AD24" s="220">
        <f>7.48*(0.127-0.05)/0.05</f>
        <v>11.5192</v>
      </c>
      <c r="AE24" s="195"/>
      <c r="AF24" s="195"/>
      <c r="AG24" s="195"/>
      <c r="AH24" s="195"/>
      <c r="AI24" s="195"/>
      <c r="AJ24" s="195"/>
      <c r="AK24" s="195"/>
      <c r="AL24" s="195"/>
      <c r="AM24" s="195"/>
      <c r="AN24" s="195">
        <v>3</v>
      </c>
      <c r="AO24" s="195">
        <v>0.18</v>
      </c>
      <c r="AP24" s="203">
        <v>0.8</v>
      </c>
      <c r="AQ24" s="195">
        <v>0.8</v>
      </c>
      <c r="AR24" s="203">
        <v>0.9</v>
      </c>
      <c r="AS24" s="195" t="s">
        <v>1114</v>
      </c>
      <c r="AT24" s="195"/>
      <c r="AU24" s="195"/>
      <c r="AV24" s="195"/>
      <c r="AW24" s="195"/>
      <c r="AX24" s="195"/>
      <c r="AY24" s="195"/>
      <c r="AZ24" s="195"/>
      <c r="BA24" s="195"/>
      <c r="BB24" s="195"/>
      <c r="BC24" s="195"/>
      <c r="BD24" s="195"/>
      <c r="BE24" s="195"/>
      <c r="BF24" s="195"/>
      <c r="BG24" s="195"/>
      <c r="BH24" s="195"/>
      <c r="BI24" s="195"/>
      <c r="BJ24" s="195"/>
      <c r="BK24" s="195"/>
      <c r="BL24" s="195"/>
      <c r="BM24" s="195"/>
    </row>
    <row r="25" spans="1:65" ht="15.75">
      <c r="A25" s="214" t="s">
        <v>273</v>
      </c>
      <c r="B25" s="214" t="s">
        <v>410</v>
      </c>
      <c r="C25" s="198" t="s">
        <v>1134</v>
      </c>
      <c r="D25" s="198"/>
      <c r="E25" s="735" t="s">
        <v>332</v>
      </c>
      <c r="F25" s="734" t="str">
        <f t="shared" si="21"/>
        <v> </v>
      </c>
      <c r="G25" s="735"/>
      <c r="H25" s="735"/>
      <c r="I25" s="735"/>
      <c r="J25" s="215"/>
      <c r="K25" s="195" t="str">
        <f t="shared" si="22"/>
        <v> </v>
      </c>
      <c r="L25" s="195" t="str">
        <f t="shared" si="23"/>
        <v> </v>
      </c>
      <c r="M25" s="202">
        <f t="shared" si="24"/>
        <v>0</v>
      </c>
      <c r="N25" s="195">
        <f t="shared" si="25"/>
        <v>0</v>
      </c>
      <c r="O25" s="195">
        <f t="shared" si="26"/>
        <v>0</v>
      </c>
      <c r="P25" s="195">
        <f t="shared" si="27"/>
        <v>0</v>
      </c>
      <c r="Q25" s="202">
        <f t="shared" si="28"/>
        <v>0</v>
      </c>
      <c r="R25" s="204">
        <f t="shared" si="29"/>
        <v>0</v>
      </c>
      <c r="S25" s="207">
        <f t="shared" si="30"/>
        <v>0</v>
      </c>
      <c r="T25" s="195">
        <f t="shared" si="31"/>
        <v>0</v>
      </c>
      <c r="U25" s="204">
        <f t="shared" si="32"/>
        <v>0</v>
      </c>
      <c r="V25" s="195">
        <f t="shared" si="33"/>
        <v>0</v>
      </c>
      <c r="W25" s="204">
        <f t="shared" si="34"/>
        <v>0</v>
      </c>
      <c r="X25" s="195">
        <f t="shared" si="35"/>
        <v>0</v>
      </c>
      <c r="Y25" s="204">
        <f t="shared" si="36"/>
        <v>0</v>
      </c>
      <c r="Z25" s="195"/>
      <c r="AA25" s="195"/>
      <c r="AB25" s="195" t="s">
        <v>1135</v>
      </c>
      <c r="AC25" s="220">
        <f>7.48*(0.092-0.04)/0.04</f>
        <v>9.724</v>
      </c>
      <c r="AD25" s="220">
        <f>7.48*(0.092-0.06)/0.06</f>
        <v>3.9893333333333323</v>
      </c>
      <c r="AE25" s="195"/>
      <c r="AF25" s="195"/>
      <c r="AG25" s="195"/>
      <c r="AH25" s="195"/>
      <c r="AI25" s="195"/>
      <c r="AJ25" s="195"/>
      <c r="AK25" s="195"/>
      <c r="AL25" s="195"/>
      <c r="AM25" s="195"/>
      <c r="AN25" s="195">
        <v>4</v>
      </c>
      <c r="AO25" s="195"/>
      <c r="AP25" s="203"/>
      <c r="AQ25" s="195">
        <v>0.7</v>
      </c>
      <c r="AR25" s="203">
        <v>0.9</v>
      </c>
      <c r="AS25" s="195" t="s">
        <v>1114</v>
      </c>
      <c r="AT25" s="195"/>
      <c r="AU25" s="195"/>
      <c r="AV25" s="195"/>
      <c r="AW25" s="195"/>
      <c r="AX25" s="195"/>
      <c r="AY25" s="195"/>
      <c r="AZ25" s="195"/>
      <c r="BA25" s="195"/>
      <c r="BB25" s="195"/>
      <c r="BC25" s="195"/>
      <c r="BD25" s="195"/>
      <c r="BE25" s="195"/>
      <c r="BF25" s="195"/>
      <c r="BG25" s="195"/>
      <c r="BH25" s="195"/>
      <c r="BI25" s="195"/>
      <c r="BJ25" s="195"/>
      <c r="BK25" s="195"/>
      <c r="BL25" s="195"/>
      <c r="BM25" s="195"/>
    </row>
    <row r="26" spans="1:65" ht="15.75">
      <c r="A26" s="214" t="s">
        <v>276</v>
      </c>
      <c r="B26" s="214" t="s">
        <v>412</v>
      </c>
      <c r="C26" s="198" t="s">
        <v>1136</v>
      </c>
      <c r="D26" s="198"/>
      <c r="E26" s="735" t="s">
        <v>332</v>
      </c>
      <c r="F26" s="734" t="str">
        <f t="shared" si="21"/>
        <v> </v>
      </c>
      <c r="G26" s="735"/>
      <c r="H26" s="735"/>
      <c r="I26" s="735"/>
      <c r="J26" s="215"/>
      <c r="K26" s="195" t="str">
        <f t="shared" si="22"/>
        <v> </v>
      </c>
      <c r="L26" s="195" t="str">
        <f t="shared" si="23"/>
        <v> </v>
      </c>
      <c r="M26" s="202">
        <f t="shared" si="24"/>
        <v>0</v>
      </c>
      <c r="N26" s="195">
        <f t="shared" si="25"/>
        <v>0</v>
      </c>
      <c r="O26" s="195">
        <f t="shared" si="26"/>
        <v>0</v>
      </c>
      <c r="P26" s="195">
        <f t="shared" si="27"/>
        <v>0</v>
      </c>
      <c r="Q26" s="202">
        <f t="shared" si="28"/>
        <v>0</v>
      </c>
      <c r="R26" s="204">
        <f t="shared" si="29"/>
        <v>0</v>
      </c>
      <c r="S26" s="207">
        <f t="shared" si="30"/>
        <v>0</v>
      </c>
      <c r="T26" s="195">
        <f t="shared" si="31"/>
        <v>0</v>
      </c>
      <c r="U26" s="204">
        <f t="shared" si="32"/>
        <v>0</v>
      </c>
      <c r="V26" s="195">
        <f t="shared" si="33"/>
        <v>0</v>
      </c>
      <c r="W26" s="204">
        <f t="shared" si="34"/>
        <v>0</v>
      </c>
      <c r="X26" s="195">
        <f t="shared" si="35"/>
        <v>0</v>
      </c>
      <c r="Y26" s="204">
        <f t="shared" si="36"/>
        <v>0</v>
      </c>
      <c r="Z26" s="195"/>
      <c r="AA26" s="195"/>
      <c r="AB26" s="195" t="s">
        <v>1137</v>
      </c>
      <c r="AC26" s="220">
        <f>7.48*(0.116-0.03)/0.03</f>
        <v>21.442666666666668</v>
      </c>
      <c r="AD26" s="220">
        <f>7.48*(0.116-0.05)/0.05</f>
        <v>9.873600000000001</v>
      </c>
      <c r="AE26" s="195"/>
      <c r="AF26" s="195"/>
      <c r="AG26" s="195"/>
      <c r="AH26" s="195"/>
      <c r="AI26" s="195"/>
      <c r="AJ26" s="195"/>
      <c r="AK26" s="195"/>
      <c r="AL26" s="195"/>
      <c r="AM26" s="195"/>
      <c r="AN26" s="195">
        <v>5</v>
      </c>
      <c r="AO26" s="195"/>
      <c r="AP26" s="203"/>
      <c r="AQ26" s="195">
        <v>0.6</v>
      </c>
      <c r="AR26" s="203">
        <v>0.9</v>
      </c>
      <c r="AS26" s="195" t="s">
        <v>1114</v>
      </c>
      <c r="AT26" s="195"/>
      <c r="AU26" s="195"/>
      <c r="AV26" s="195"/>
      <c r="AW26" s="195"/>
      <c r="AX26" s="195"/>
      <c r="AY26" s="195"/>
      <c r="AZ26" s="195"/>
      <c r="BA26" s="195"/>
      <c r="BB26" s="195"/>
      <c r="BC26" s="195"/>
      <c r="BD26" s="195"/>
      <c r="BE26" s="195"/>
      <c r="BF26" s="195"/>
      <c r="BG26" s="195"/>
      <c r="BH26" s="195"/>
      <c r="BI26" s="195"/>
      <c r="BJ26" s="195"/>
      <c r="BK26" s="195"/>
      <c r="BL26" s="195"/>
      <c r="BM26" s="195"/>
    </row>
    <row r="27" spans="1:65" ht="15.75">
      <c r="A27" s="214" t="s">
        <v>295</v>
      </c>
      <c r="B27" s="214" t="s">
        <v>414</v>
      </c>
      <c r="C27" s="198" t="s">
        <v>1138</v>
      </c>
      <c r="D27" s="221"/>
      <c r="E27" s="737"/>
      <c r="F27" s="734"/>
      <c r="G27" s="735"/>
      <c r="H27" s="735"/>
      <c r="I27" s="736"/>
      <c r="J27" s="215"/>
      <c r="K27" s="195"/>
      <c r="L27" s="195" t="s">
        <v>332</v>
      </c>
      <c r="M27" s="202">
        <f t="shared" si="24"/>
        <v>0</v>
      </c>
      <c r="N27" s="195">
        <f t="shared" si="25"/>
        <v>0</v>
      </c>
      <c r="O27" s="195">
        <f t="shared" si="26"/>
        <v>0</v>
      </c>
      <c r="P27" s="195">
        <f t="shared" si="27"/>
        <v>0</v>
      </c>
      <c r="Q27" s="202">
        <f t="shared" si="28"/>
        <v>0</v>
      </c>
      <c r="R27" s="204">
        <f t="shared" si="29"/>
        <v>0</v>
      </c>
      <c r="S27" s="207">
        <f t="shared" si="30"/>
        <v>0</v>
      </c>
      <c r="T27" s="195">
        <f t="shared" si="31"/>
        <v>0</v>
      </c>
      <c r="U27" s="204">
        <f t="shared" si="32"/>
        <v>0</v>
      </c>
      <c r="V27" s="195">
        <f t="shared" si="33"/>
        <v>0</v>
      </c>
      <c r="W27" s="204">
        <f t="shared" si="34"/>
        <v>0</v>
      </c>
      <c r="X27" s="195">
        <f t="shared" si="35"/>
        <v>0</v>
      </c>
      <c r="Y27" s="204">
        <f t="shared" si="36"/>
        <v>0</v>
      </c>
      <c r="Z27" s="195"/>
      <c r="AA27" s="195"/>
      <c r="AB27" s="195" t="s">
        <v>1139</v>
      </c>
      <c r="AC27" s="220">
        <f>7.48*(0.252-0.04)/0.04</f>
        <v>39.644</v>
      </c>
      <c r="AD27" s="220">
        <f>7.48*(0.252-0.16)/0.16</f>
        <v>4.301</v>
      </c>
      <c r="AE27" s="195"/>
      <c r="AF27" s="195"/>
      <c r="AG27" s="195"/>
      <c r="AH27" s="195"/>
      <c r="AI27" s="195"/>
      <c r="AJ27" s="195"/>
      <c r="AK27" s="195"/>
      <c r="AL27" s="195"/>
      <c r="AM27" s="195"/>
      <c r="AN27" s="195">
        <v>6</v>
      </c>
      <c r="AO27" s="195" t="s">
        <v>332</v>
      </c>
      <c r="AP27" s="203" t="s">
        <v>332</v>
      </c>
      <c r="AQ27" s="195">
        <v>0.7</v>
      </c>
      <c r="AR27" s="203">
        <v>0.9</v>
      </c>
      <c r="AS27" s="195" t="s">
        <v>1114</v>
      </c>
      <c r="AT27" s="195"/>
      <c r="AU27" s="195"/>
      <c r="AV27" s="195"/>
      <c r="AW27" s="195"/>
      <c r="AX27" s="195"/>
      <c r="AY27" s="195"/>
      <c r="AZ27" s="195"/>
      <c r="BA27" s="195"/>
      <c r="BB27" s="195"/>
      <c r="BC27" s="195"/>
      <c r="BD27" s="195"/>
      <c r="BE27" s="195"/>
      <c r="BF27" s="195"/>
      <c r="BG27" s="195"/>
      <c r="BH27" s="195"/>
      <c r="BI27" s="195"/>
      <c r="BJ27" s="195"/>
      <c r="BK27" s="195"/>
      <c r="BL27" s="195"/>
      <c r="BM27" s="195"/>
    </row>
    <row r="28" spans="1:65" ht="15">
      <c r="A28" s="198"/>
      <c r="B28" s="198"/>
      <c r="C28" s="198"/>
      <c r="D28" s="198"/>
      <c r="E28" s="198"/>
      <c r="F28" s="198"/>
      <c r="G28" s="198"/>
      <c r="H28" s="198"/>
      <c r="I28" s="198"/>
      <c r="J28" s="215"/>
      <c r="K28" s="195" t="s">
        <v>332</v>
      </c>
      <c r="L28" s="195" t="s">
        <v>332</v>
      </c>
      <c r="M28" s="202">
        <f t="shared" si="24"/>
        <v>0</v>
      </c>
      <c r="N28" s="195">
        <f t="shared" si="25"/>
        <v>0</v>
      </c>
      <c r="O28" s="195">
        <f t="shared" si="26"/>
        <v>0</v>
      </c>
      <c r="P28" s="195">
        <f t="shared" si="27"/>
        <v>0</v>
      </c>
      <c r="Q28" s="202">
        <f t="shared" si="28"/>
        <v>0</v>
      </c>
      <c r="R28" s="204">
        <f t="shared" si="29"/>
        <v>0</v>
      </c>
      <c r="S28" s="207">
        <f t="shared" si="30"/>
        <v>0</v>
      </c>
      <c r="T28" s="195">
        <f t="shared" si="31"/>
        <v>0</v>
      </c>
      <c r="U28" s="204">
        <f t="shared" si="32"/>
        <v>0</v>
      </c>
      <c r="V28" s="195">
        <f t="shared" si="33"/>
        <v>0</v>
      </c>
      <c r="W28" s="204">
        <f t="shared" si="34"/>
        <v>0</v>
      </c>
      <c r="X28" s="195">
        <f t="shared" si="35"/>
        <v>0</v>
      </c>
      <c r="Y28" s="204">
        <f t="shared" si="36"/>
        <v>0</v>
      </c>
      <c r="Z28" s="195"/>
      <c r="AA28" s="195"/>
      <c r="AB28" s="195" t="s">
        <v>1140</v>
      </c>
      <c r="AC28" s="220">
        <f>7.48*(0.25-0.04)/0.04</f>
        <v>39.269999999999996</v>
      </c>
      <c r="AD28" s="220">
        <f>7.48*(0.25-0.16)/0.16</f>
        <v>4.2075000000000005</v>
      </c>
      <c r="AE28" s="195"/>
      <c r="AF28" s="195"/>
      <c r="AG28" s="195"/>
      <c r="AH28" s="195"/>
      <c r="AI28" s="195"/>
      <c r="AJ28" s="195"/>
      <c r="AK28" s="195"/>
      <c r="AL28" s="195"/>
      <c r="AM28" s="195"/>
      <c r="AN28" s="195">
        <v>7</v>
      </c>
      <c r="AO28" s="195"/>
      <c r="AP28" s="195"/>
      <c r="AQ28" s="195"/>
      <c r="AR28" s="203">
        <v>0.9</v>
      </c>
      <c r="AS28" s="195" t="s">
        <v>1114</v>
      </c>
      <c r="AT28" s="195"/>
      <c r="AU28" s="195"/>
      <c r="AV28" s="195"/>
      <c r="AW28" s="195"/>
      <c r="AX28" s="195"/>
      <c r="AY28" s="195"/>
      <c r="AZ28" s="222" t="s">
        <v>332</v>
      </c>
      <c r="BA28" s="195"/>
      <c r="BB28" s="195"/>
      <c r="BC28" s="195"/>
      <c r="BD28" s="195"/>
      <c r="BE28" s="195"/>
      <c r="BF28" s="195"/>
      <c r="BG28" s="195"/>
      <c r="BH28" s="195"/>
      <c r="BI28" s="195"/>
      <c r="BJ28" s="195"/>
      <c r="BK28" s="195"/>
      <c r="BL28" s="195"/>
      <c r="BM28" s="195"/>
    </row>
    <row r="29" spans="1:65" ht="15.75">
      <c r="A29" s="198"/>
      <c r="B29" s="223" t="s">
        <v>317</v>
      </c>
      <c r="C29" s="198"/>
      <c r="D29" s="1421" t="s">
        <v>1141</v>
      </c>
      <c r="E29" s="1422"/>
      <c r="F29" s="1422"/>
      <c r="G29" s="198"/>
      <c r="H29" s="223" t="s">
        <v>338</v>
      </c>
      <c r="I29" s="198"/>
      <c r="J29" s="215"/>
      <c r="K29" s="195"/>
      <c r="L29" s="195" t="s">
        <v>332</v>
      </c>
      <c r="M29" s="202">
        <f t="shared" si="24"/>
        <v>0</v>
      </c>
      <c r="N29" s="195">
        <f t="shared" si="25"/>
        <v>0</v>
      </c>
      <c r="O29" s="195">
        <f t="shared" si="26"/>
        <v>0</v>
      </c>
      <c r="P29" s="195">
        <f t="shared" si="27"/>
        <v>0</v>
      </c>
      <c r="Q29" s="202">
        <f t="shared" si="28"/>
        <v>0</v>
      </c>
      <c r="R29" s="204">
        <f t="shared" si="29"/>
        <v>0</v>
      </c>
      <c r="S29" s="207">
        <f t="shared" si="30"/>
        <v>0</v>
      </c>
      <c r="T29" s="203">
        <f t="shared" si="31"/>
        <v>0</v>
      </c>
      <c r="U29" s="204">
        <f t="shared" si="32"/>
        <v>0</v>
      </c>
      <c r="V29" s="195">
        <f t="shared" si="33"/>
        <v>0</v>
      </c>
      <c r="W29" s="204">
        <f t="shared" si="34"/>
        <v>0</v>
      </c>
      <c r="X29" s="195">
        <f t="shared" si="35"/>
        <v>0</v>
      </c>
      <c r="Y29" s="204">
        <f t="shared" si="36"/>
        <v>0</v>
      </c>
      <c r="Z29" s="195"/>
      <c r="AA29" s="195"/>
      <c r="AB29" s="195" t="s">
        <v>1142</v>
      </c>
      <c r="AC29" s="220">
        <f>7.48*(0.2-0.04)/0.04</f>
        <v>29.92</v>
      </c>
      <c r="AD29" s="220">
        <f>7.48*(0.2-0.16)/0.16</f>
        <v>1.8700000000000006</v>
      </c>
      <c r="AE29" s="195"/>
      <c r="AF29" s="195"/>
      <c r="AG29" s="195"/>
      <c r="AH29" s="195"/>
      <c r="AI29" s="195"/>
      <c r="AJ29" s="195"/>
      <c r="AK29" s="195"/>
      <c r="AL29" s="195"/>
      <c r="AM29" s="195"/>
      <c r="AN29" s="195">
        <v>8</v>
      </c>
      <c r="AO29" s="195"/>
      <c r="AP29" s="195"/>
      <c r="AQ29" s="195"/>
      <c r="AR29" s="203">
        <v>0.9</v>
      </c>
      <c r="AS29" s="195" t="s">
        <v>1114</v>
      </c>
      <c r="AT29" s="195"/>
      <c r="AU29" s="195"/>
      <c r="AV29" s="195"/>
      <c r="AW29" s="195"/>
      <c r="AX29" s="195"/>
      <c r="AY29" s="195"/>
      <c r="AZ29" s="222" t="s">
        <v>332</v>
      </c>
      <c r="BA29" s="195"/>
      <c r="BB29" s="195"/>
      <c r="BC29" s="195"/>
      <c r="BD29" s="195"/>
      <c r="BE29" s="195"/>
      <c r="BF29" s="195"/>
      <c r="BG29" s="195"/>
      <c r="BH29" s="195"/>
      <c r="BI29" s="195"/>
      <c r="BJ29" s="195"/>
      <c r="BK29" s="195"/>
      <c r="BL29" s="195"/>
      <c r="BM29" s="195"/>
    </row>
    <row r="30" spans="1:65" ht="15.75">
      <c r="A30" s="198"/>
      <c r="B30" s="206" t="e">
        <f>VLOOKUP(C30,N31:O32,2)</f>
        <v>#N/A</v>
      </c>
      <c r="C30" s="217" t="e">
        <f>'Nutrient Management Planner'!H372</f>
        <v>#N/A</v>
      </c>
      <c r="D30" s="198"/>
      <c r="E30" s="224" t="s">
        <v>1143</v>
      </c>
      <c r="F30" s="198"/>
      <c r="G30" s="217" t="e">
        <f>'Nutrient Management Planner'!H372</f>
        <v>#N/A</v>
      </c>
      <c r="H30" s="206" t="e">
        <f>VLOOKUP(G30,N31:O32,2)</f>
        <v>#N/A</v>
      </c>
      <c r="I30" s="198"/>
      <c r="J30" s="215"/>
      <c r="K30" s="195" t="str">
        <f>E26</f>
        <v> </v>
      </c>
      <c r="L30" s="195" t="str">
        <f>IF(E26&lt;1,$K$30,VLOOKUP(K30,$K$3:$R$15,2))</f>
        <v> </v>
      </c>
      <c r="M30" s="202">
        <f t="shared" si="24"/>
        <v>0</v>
      </c>
      <c r="N30" s="195">
        <f t="shared" si="25"/>
        <v>0</v>
      </c>
      <c r="O30" s="195">
        <f t="shared" si="26"/>
        <v>0</v>
      </c>
      <c r="P30" s="195">
        <f t="shared" si="27"/>
        <v>0</v>
      </c>
      <c r="Q30" s="202">
        <f t="shared" si="28"/>
        <v>0</v>
      </c>
      <c r="R30" s="204">
        <f t="shared" si="29"/>
        <v>0</v>
      </c>
      <c r="S30" s="207">
        <f t="shared" si="30"/>
        <v>0</v>
      </c>
      <c r="T30" s="203">
        <f t="shared" si="31"/>
        <v>0</v>
      </c>
      <c r="U30" s="204">
        <f t="shared" si="32"/>
        <v>0</v>
      </c>
      <c r="V30" s="195">
        <f t="shared" si="33"/>
        <v>0</v>
      </c>
      <c r="W30" s="204">
        <f t="shared" si="34"/>
        <v>0</v>
      </c>
      <c r="X30" s="195">
        <f t="shared" si="35"/>
        <v>0</v>
      </c>
      <c r="Y30" s="204">
        <f t="shared" si="36"/>
        <v>0</v>
      </c>
      <c r="Z30" s="195"/>
      <c r="AA30" s="195"/>
      <c r="AB30" s="195"/>
      <c r="AC30" s="195"/>
      <c r="AD30" s="195"/>
      <c r="AE30" s="195"/>
      <c r="AF30" s="195"/>
      <c r="AG30" s="195"/>
      <c r="AH30" s="195"/>
      <c r="AI30" s="195"/>
      <c r="AJ30" s="195"/>
      <c r="AK30" s="195"/>
      <c r="AL30" s="195"/>
      <c r="AM30" s="195"/>
      <c r="AN30" s="195">
        <v>9</v>
      </c>
      <c r="AO30" s="195"/>
      <c r="AP30" s="195"/>
      <c r="AQ30" s="195"/>
      <c r="AR30" s="203">
        <v>0.9</v>
      </c>
      <c r="AS30" s="195" t="s">
        <v>1144</v>
      </c>
      <c r="AT30" s="195"/>
      <c r="AU30" s="195"/>
      <c r="AV30" s="195"/>
      <c r="AW30" s="195"/>
      <c r="AX30" s="195"/>
      <c r="AY30" s="195"/>
      <c r="AZ30" s="195"/>
      <c r="BA30" s="195"/>
      <c r="BB30" s="195"/>
      <c r="BC30" s="195"/>
      <c r="BD30" s="195"/>
      <c r="BE30" s="195"/>
      <c r="BF30" s="195"/>
      <c r="BG30" s="195"/>
      <c r="BH30" s="195"/>
      <c r="BI30" s="195"/>
      <c r="BJ30" s="195"/>
      <c r="BK30" s="195"/>
      <c r="BL30" s="195"/>
      <c r="BM30" s="195"/>
    </row>
    <row r="31" spans="1:65" ht="15">
      <c r="A31" s="225" t="str">
        <f>IF(B35&lt;12,Z36,Z37)</f>
        <v>Bottom Length too SHORT!!</v>
      </c>
      <c r="B31" s="198"/>
      <c r="C31" s="198"/>
      <c r="D31" s="225" t="str">
        <f>IF(C35&lt;12,Z35,Z37)</f>
        <v>Bottom Width too NARROW!!</v>
      </c>
      <c r="E31" s="198"/>
      <c r="F31" s="198"/>
      <c r="G31" s="1417" t="str">
        <f>IF(G35&lt;1,Z38,Z37)</f>
        <v>Increase top diameter!!</v>
      </c>
      <c r="H31" s="1417"/>
      <c r="I31" s="1417"/>
      <c r="J31" s="215"/>
      <c r="K31" s="195"/>
      <c r="L31" s="196" t="s">
        <v>1145</v>
      </c>
      <c r="M31" s="196" t="s">
        <v>1146</v>
      </c>
      <c r="N31" s="197">
        <v>1</v>
      </c>
      <c r="O31" s="226" t="s">
        <v>1147</v>
      </c>
      <c r="P31" s="195"/>
      <c r="Q31" s="195"/>
      <c r="R31" s="204">
        <f>SUM(R19:R29)</f>
        <v>0</v>
      </c>
      <c r="S31" s="204">
        <f>SUM(S19:S29)</f>
        <v>0</v>
      </c>
      <c r="T31" s="195"/>
      <c r="U31" s="204">
        <f>SUM(U19:U29)</f>
        <v>0</v>
      </c>
      <c r="V31" s="195"/>
      <c r="W31" s="204">
        <f>SUM(W19:W29)</f>
        <v>0</v>
      </c>
      <c r="X31" s="195"/>
      <c r="Y31" s="204">
        <f>SUM(Y19:Y29)</f>
        <v>0</v>
      </c>
      <c r="Z31" s="195"/>
      <c r="AA31" s="195"/>
      <c r="AB31" s="195"/>
      <c r="AC31" s="195"/>
      <c r="AD31" s="195"/>
      <c r="AE31" s="195"/>
      <c r="AF31" s="195"/>
      <c r="AG31" s="195"/>
      <c r="AH31" s="195"/>
      <c r="AI31" s="195"/>
      <c r="AJ31" s="195"/>
      <c r="AK31" s="195"/>
      <c r="AL31" s="195"/>
      <c r="AM31" s="195"/>
      <c r="AN31" s="195">
        <v>10</v>
      </c>
      <c r="AO31" s="195"/>
      <c r="AP31" s="195"/>
      <c r="AQ31" s="195"/>
      <c r="AR31" s="203">
        <v>0.75</v>
      </c>
      <c r="AS31" s="195" t="s">
        <v>1148</v>
      </c>
      <c r="AT31" s="195"/>
      <c r="AU31" s="195"/>
      <c r="AV31" s="195"/>
      <c r="AW31" s="195"/>
      <c r="AX31" s="195"/>
      <c r="AY31" s="195"/>
      <c r="AZ31" s="195"/>
      <c r="BA31" s="195"/>
      <c r="BB31" s="195"/>
      <c r="BC31" s="195"/>
      <c r="BD31" s="195"/>
      <c r="BE31" s="195"/>
      <c r="BF31" s="195"/>
      <c r="BG31" s="195"/>
      <c r="BH31" s="195"/>
      <c r="BI31" s="195"/>
      <c r="BJ31" s="195"/>
      <c r="BK31" s="195"/>
      <c r="BL31" s="195"/>
      <c r="BM31" s="195"/>
    </row>
    <row r="32" spans="1:65" ht="15.75">
      <c r="A32" s="200" t="s">
        <v>255</v>
      </c>
      <c r="B32" s="227" t="e">
        <f>AF49/B46</f>
        <v>#N/A</v>
      </c>
      <c r="C32" s="198" t="s">
        <v>256</v>
      </c>
      <c r="D32" s="198"/>
      <c r="E32" s="198"/>
      <c r="F32" s="200" t="s">
        <v>255</v>
      </c>
      <c r="G32" s="227" t="e">
        <f>L38/H46</f>
        <v>#N/A</v>
      </c>
      <c r="H32" s="198" t="s">
        <v>256</v>
      </c>
      <c r="I32" s="198"/>
      <c r="J32" s="215"/>
      <c r="K32" s="219" t="s">
        <v>1149</v>
      </c>
      <c r="L32" s="196">
        <f>G34</f>
        <v>0</v>
      </c>
      <c r="M32" s="196">
        <f>G34</f>
        <v>0</v>
      </c>
      <c r="N32" s="197">
        <v>2</v>
      </c>
      <c r="O32" s="228" t="s">
        <v>1150</v>
      </c>
      <c r="P32" s="195"/>
      <c r="Q32" s="195"/>
      <c r="R32" s="196" t="s">
        <v>362</v>
      </c>
      <c r="S32" s="196" t="s">
        <v>363</v>
      </c>
      <c r="T32" s="195"/>
      <c r="U32" s="196" t="s">
        <v>1151</v>
      </c>
      <c r="V32" s="195"/>
      <c r="W32" s="196" t="s">
        <v>365</v>
      </c>
      <c r="X32" s="195"/>
      <c r="Y32" s="196" t="s">
        <v>366</v>
      </c>
      <c r="Z32" s="195"/>
      <c r="AA32" s="195"/>
      <c r="AB32" s="195"/>
      <c r="AC32" s="207"/>
      <c r="AD32" s="195"/>
      <c r="AE32" s="195"/>
      <c r="AF32" s="195"/>
      <c r="AG32" s="195"/>
      <c r="AH32" s="195"/>
      <c r="AI32" s="195"/>
      <c r="AJ32" s="195"/>
      <c r="AK32" s="195"/>
      <c r="AL32" s="195"/>
      <c r="AM32" s="195"/>
      <c r="AN32" s="195">
        <v>11</v>
      </c>
      <c r="AO32" s="195"/>
      <c r="AP32" s="195"/>
      <c r="AQ32" s="195"/>
      <c r="AR32" s="203">
        <v>0.75</v>
      </c>
      <c r="AS32" s="195" t="s">
        <v>1148</v>
      </c>
      <c r="AT32" s="195"/>
      <c r="AU32" s="195"/>
      <c r="AV32" s="195"/>
      <c r="AW32" s="195"/>
      <c r="AX32" s="195"/>
      <c r="AY32" s="222" t="s">
        <v>332</v>
      </c>
      <c r="AZ32" s="222" t="s">
        <v>332</v>
      </c>
      <c r="BA32" s="195"/>
      <c r="BB32" s="195"/>
      <c r="BC32" s="195"/>
      <c r="BD32" s="195"/>
      <c r="BE32" s="195"/>
      <c r="BF32" s="195"/>
      <c r="BG32" s="195"/>
      <c r="BH32" s="195"/>
      <c r="BI32" s="195"/>
      <c r="BJ32" s="195"/>
      <c r="BK32" s="195"/>
      <c r="BL32" s="195"/>
      <c r="BM32" s="195"/>
    </row>
    <row r="33" spans="1:65" ht="15">
      <c r="A33" s="198"/>
      <c r="B33" s="214" t="s">
        <v>962</v>
      </c>
      <c r="C33" s="214" t="s">
        <v>963</v>
      </c>
      <c r="D33" s="198"/>
      <c r="E33" s="198"/>
      <c r="F33" s="198"/>
      <c r="G33" s="198" t="s">
        <v>1152</v>
      </c>
      <c r="H33" s="198"/>
      <c r="I33" s="198"/>
      <c r="J33" s="215"/>
      <c r="K33" s="219" t="s">
        <v>1153</v>
      </c>
      <c r="L33" s="229">
        <f>L32-(L35*L36*2)</f>
        <v>0</v>
      </c>
      <c r="M33" s="229">
        <f>M32-(M35*M36*2)</f>
        <v>0</v>
      </c>
      <c r="N33" s="195"/>
      <c r="O33" s="195" t="s">
        <v>1154</v>
      </c>
      <c r="P33" s="195"/>
      <c r="Q33" s="195"/>
      <c r="R33" s="195" t="s">
        <v>332</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v>12</v>
      </c>
      <c r="AO33" s="195"/>
      <c r="AP33" s="195"/>
      <c r="AQ33" s="195"/>
      <c r="AR33" s="203">
        <v>0.65</v>
      </c>
      <c r="AS33" s="195" t="s">
        <v>276</v>
      </c>
      <c r="AT33" s="195"/>
      <c r="AU33" s="195"/>
      <c r="AV33" s="195"/>
      <c r="AW33" s="195"/>
      <c r="AX33" s="195"/>
      <c r="AY33" s="195"/>
      <c r="AZ33" s="195"/>
      <c r="BA33" s="195"/>
      <c r="BB33" s="195"/>
      <c r="BC33" s="195"/>
      <c r="BD33" s="195"/>
      <c r="BE33" s="195"/>
      <c r="BF33" s="195"/>
      <c r="BG33" s="195"/>
      <c r="BH33" s="195"/>
      <c r="BI33" s="195"/>
      <c r="BJ33" s="195"/>
      <c r="BK33" s="195"/>
      <c r="BL33" s="195"/>
      <c r="BM33" s="195"/>
    </row>
    <row r="34" spans="1:65" ht="15.75">
      <c r="A34" s="200" t="s">
        <v>1155</v>
      </c>
      <c r="B34" s="210">
        <f>'Nutrient Management Planner'!O86</f>
        <v>0</v>
      </c>
      <c r="C34" s="210">
        <f>'Nutrient Management Planner'!O85</f>
        <v>0</v>
      </c>
      <c r="D34" s="198" t="s">
        <v>263</v>
      </c>
      <c r="E34" s="198"/>
      <c r="F34" s="200" t="s">
        <v>324</v>
      </c>
      <c r="G34" s="217">
        <f>'Nutrient Management Planner'!T85</f>
        <v>0</v>
      </c>
      <c r="H34" s="198" t="s">
        <v>263</v>
      </c>
      <c r="I34" s="198"/>
      <c r="J34" s="215"/>
      <c r="K34" s="219" t="s">
        <v>1156</v>
      </c>
      <c r="L34" s="230">
        <f>G35*G35</f>
        <v>0</v>
      </c>
      <c r="M34" s="230">
        <f>G35*G35</f>
        <v>0</v>
      </c>
      <c r="N34" s="195"/>
      <c r="O34" s="195" t="s">
        <v>1157</v>
      </c>
      <c r="P34" s="195"/>
      <c r="Q34" s="195"/>
      <c r="R34" s="231" t="s">
        <v>1158</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v>13</v>
      </c>
      <c r="AO34" s="195"/>
      <c r="AP34" s="195"/>
      <c r="AQ34" s="195"/>
      <c r="AR34" s="203">
        <v>0.4</v>
      </c>
      <c r="AS34" s="195" t="s">
        <v>295</v>
      </c>
      <c r="AT34" s="195"/>
      <c r="AU34" s="195"/>
      <c r="AV34" s="195"/>
      <c r="AW34" s="195"/>
      <c r="AX34" s="195"/>
      <c r="AY34" s="222" t="s">
        <v>332</v>
      </c>
      <c r="AZ34" s="222" t="s">
        <v>332</v>
      </c>
      <c r="BA34" s="195"/>
      <c r="BB34" s="195"/>
      <c r="BC34" s="195"/>
      <c r="BD34" s="195"/>
      <c r="BE34" s="195"/>
      <c r="BF34" s="195"/>
      <c r="BG34" s="195"/>
      <c r="BH34" s="195"/>
      <c r="BI34" s="195"/>
      <c r="BJ34" s="195"/>
      <c r="BK34" s="195"/>
      <c r="BL34" s="195"/>
      <c r="BM34" s="195"/>
    </row>
    <row r="35" spans="1:65" ht="15">
      <c r="A35" s="200" t="s">
        <v>1159</v>
      </c>
      <c r="B35" s="232">
        <f>SUM(B34)-(B36*B37*2)</f>
        <v>-48</v>
      </c>
      <c r="C35" s="232">
        <f>SUM(C34)-(B36*C37*2)</f>
        <v>-48</v>
      </c>
      <c r="D35" s="198" t="s">
        <v>263</v>
      </c>
      <c r="E35" s="198"/>
      <c r="F35" s="200" t="s">
        <v>1159</v>
      </c>
      <c r="G35" s="232">
        <f>G34-(G36*G37*2)</f>
        <v>0</v>
      </c>
      <c r="H35" s="198" t="s">
        <v>263</v>
      </c>
      <c r="I35" s="198"/>
      <c r="J35" s="215"/>
      <c r="K35" s="219" t="s">
        <v>1160</v>
      </c>
      <c r="L35" s="196">
        <f>G36</f>
        <v>12</v>
      </c>
      <c r="M35" s="196">
        <f>G36-1</f>
        <v>11</v>
      </c>
      <c r="N35" s="195"/>
      <c r="O35" s="195" t="s">
        <v>1161</v>
      </c>
      <c r="P35" s="195"/>
      <c r="Q35" s="195"/>
      <c r="R35" s="233" t="s">
        <v>1162</v>
      </c>
      <c r="S35" s="195"/>
      <c r="T35" s="195"/>
      <c r="U35" s="195"/>
      <c r="V35" s="195"/>
      <c r="W35" s="195"/>
      <c r="X35" s="195"/>
      <c r="Y35" s="195"/>
      <c r="Z35" s="195" t="s">
        <v>474</v>
      </c>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row>
    <row r="36" spans="1:65" ht="15.75">
      <c r="A36" s="200" t="s">
        <v>1163</v>
      </c>
      <c r="B36" s="234">
        <v>12</v>
      </c>
      <c r="C36" s="198" t="s">
        <v>1164</v>
      </c>
      <c r="D36" s="198"/>
      <c r="E36" s="198"/>
      <c r="F36" s="200" t="s">
        <v>1165</v>
      </c>
      <c r="G36" s="234">
        <v>12</v>
      </c>
      <c r="H36" s="198" t="s">
        <v>1164</v>
      </c>
      <c r="I36" s="198"/>
      <c r="J36" s="215"/>
      <c r="K36" s="219" t="s">
        <v>1166</v>
      </c>
      <c r="L36" s="196">
        <f>G37</f>
        <v>0</v>
      </c>
      <c r="M36" s="196">
        <f>G37</f>
        <v>0</v>
      </c>
      <c r="N36" s="195"/>
      <c r="O36" s="195" t="s">
        <v>1167</v>
      </c>
      <c r="P36" s="195"/>
      <c r="Q36" s="195"/>
      <c r="R36" s="195"/>
      <c r="S36" s="195"/>
      <c r="T36" s="195"/>
      <c r="U36" s="195"/>
      <c r="V36" s="195"/>
      <c r="W36" s="195"/>
      <c r="X36" s="195"/>
      <c r="Y36" s="195"/>
      <c r="Z36" s="195" t="s">
        <v>476</v>
      </c>
      <c r="AA36" s="195"/>
      <c r="AB36" s="195"/>
      <c r="AC36" s="195"/>
      <c r="AD36" s="195" t="s">
        <v>959</v>
      </c>
      <c r="AE36" s="195" t="s">
        <v>958</v>
      </c>
      <c r="AF36" s="195"/>
      <c r="AG36" s="219" t="s">
        <v>960</v>
      </c>
      <c r="AH36" s="195" t="s">
        <v>1168</v>
      </c>
      <c r="AI36" s="195"/>
      <c r="AJ36" s="219" t="s">
        <v>960</v>
      </c>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row>
    <row r="37" spans="1:65" ht="15.75">
      <c r="A37" s="200" t="s">
        <v>331</v>
      </c>
      <c r="B37" s="210">
        <v>2</v>
      </c>
      <c r="C37" s="210">
        <v>2</v>
      </c>
      <c r="D37" s="198"/>
      <c r="E37" s="198"/>
      <c r="F37" s="200" t="s">
        <v>331</v>
      </c>
      <c r="G37" s="210">
        <v>0</v>
      </c>
      <c r="H37" s="198" t="s">
        <v>370</v>
      </c>
      <c r="I37" s="198"/>
      <c r="J37" s="215"/>
      <c r="K37" s="219" t="s">
        <v>1169</v>
      </c>
      <c r="L37" s="196">
        <f>G34*G34</f>
        <v>0</v>
      </c>
      <c r="M37" s="196">
        <f>G34*G34</f>
        <v>0</v>
      </c>
      <c r="N37" s="195"/>
      <c r="O37" s="195"/>
      <c r="P37" s="195"/>
      <c r="Q37" s="195"/>
      <c r="R37" s="195"/>
      <c r="S37" s="195"/>
      <c r="T37" s="195"/>
      <c r="U37" s="195"/>
      <c r="V37" s="195"/>
      <c r="W37" s="195"/>
      <c r="X37" s="195"/>
      <c r="Y37" s="195"/>
      <c r="Z37" s="195" t="s">
        <v>332</v>
      </c>
      <c r="AA37" s="195"/>
      <c r="AB37" s="195"/>
      <c r="AC37" s="195"/>
      <c r="AD37" s="195" t="s">
        <v>961</v>
      </c>
      <c r="AE37" s="219" t="s">
        <v>962</v>
      </c>
      <c r="AF37" s="219" t="s">
        <v>963</v>
      </c>
      <c r="AG37" s="219" t="s">
        <v>964</v>
      </c>
      <c r="AH37" s="219" t="s">
        <v>962</v>
      </c>
      <c r="AI37" s="219" t="s">
        <v>963</v>
      </c>
      <c r="AJ37" s="219" t="s">
        <v>964</v>
      </c>
      <c r="AK37" s="195"/>
      <c r="AL37" s="195"/>
      <c r="AM37" s="195"/>
      <c r="AN37" s="195"/>
      <c r="AO37" s="195"/>
      <c r="AP37" s="195"/>
      <c r="AQ37" s="195"/>
      <c r="AR37" s="195"/>
      <c r="AS37" s="195"/>
      <c r="AT37" s="195"/>
      <c r="AU37" s="195"/>
      <c r="AV37" s="195"/>
      <c r="AW37" s="195"/>
      <c r="AX37" s="195"/>
      <c r="AY37" s="222" t="s">
        <v>332</v>
      </c>
      <c r="AZ37" s="222" t="s">
        <v>332</v>
      </c>
      <c r="BA37" s="195"/>
      <c r="BB37" s="195"/>
      <c r="BC37" s="195"/>
      <c r="BD37" s="195"/>
      <c r="BE37" s="195"/>
      <c r="BF37" s="195"/>
      <c r="BG37" s="195"/>
      <c r="BH37" s="195"/>
      <c r="BI37" s="195"/>
      <c r="BJ37" s="195"/>
      <c r="BK37" s="195"/>
      <c r="BL37" s="195"/>
      <c r="BM37" s="195"/>
    </row>
    <row r="38" spans="1:65" ht="15">
      <c r="A38" s="200" t="s">
        <v>333</v>
      </c>
      <c r="B38" s="216">
        <f>AF49</f>
        <v>341.3333333333333</v>
      </c>
      <c r="C38" s="198" t="s">
        <v>1059</v>
      </c>
      <c r="D38" s="198"/>
      <c r="E38" s="198"/>
      <c r="F38" s="200" t="s">
        <v>333</v>
      </c>
      <c r="G38" s="216">
        <f>L38</f>
        <v>0</v>
      </c>
      <c r="H38" s="198" t="s">
        <v>1059</v>
      </c>
      <c r="I38" s="198"/>
      <c r="J38" s="215"/>
      <c r="K38" s="219" t="s">
        <v>1170</v>
      </c>
      <c r="L38" s="235">
        <f>(0.2618*L35*(L37+L32*L33+L34))/27</f>
        <v>0</v>
      </c>
      <c r="M38" s="235">
        <f>(0.2618*M35*(M37+M32*M33+M34))/27</f>
        <v>0</v>
      </c>
      <c r="N38" s="195"/>
      <c r="O38" s="195"/>
      <c r="P38" s="195"/>
      <c r="Q38" s="195"/>
      <c r="R38" s="195"/>
      <c r="S38" s="195"/>
      <c r="T38" s="195" t="s">
        <v>1171</v>
      </c>
      <c r="U38" s="195"/>
      <c r="V38" s="195"/>
      <c r="W38" s="195"/>
      <c r="X38" s="195"/>
      <c r="Y38" s="195"/>
      <c r="Z38" s="195" t="s">
        <v>1172</v>
      </c>
      <c r="AA38" s="195"/>
      <c r="AB38" s="195"/>
      <c r="AC38" s="195"/>
      <c r="AD38" s="218" t="s">
        <v>298</v>
      </c>
      <c r="AE38" s="218" t="s">
        <v>298</v>
      </c>
      <c r="AF38" s="218" t="s">
        <v>298</v>
      </c>
      <c r="AG38" s="218" t="s">
        <v>298</v>
      </c>
      <c r="AH38" s="218" t="s">
        <v>298</v>
      </c>
      <c r="AI38" s="218" t="s">
        <v>298</v>
      </c>
      <c r="AJ38" s="218" t="s">
        <v>298</v>
      </c>
      <c r="AK38" s="195"/>
      <c r="AL38" s="195"/>
      <c r="AM38" s="195"/>
      <c r="AN38" s="195"/>
      <c r="AO38" s="203"/>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row>
    <row r="39" spans="1:65" ht="15">
      <c r="A39" s="198"/>
      <c r="B39" s="198"/>
      <c r="C39" s="198"/>
      <c r="D39" s="198"/>
      <c r="E39" s="198"/>
      <c r="F39" s="198"/>
      <c r="G39" s="198"/>
      <c r="H39" s="198"/>
      <c r="I39" s="198"/>
      <c r="J39" s="215"/>
      <c r="K39" s="195"/>
      <c r="L39" s="195"/>
      <c r="M39" s="195" t="s">
        <v>338</v>
      </c>
      <c r="N39" s="195"/>
      <c r="O39" s="195"/>
      <c r="P39" s="195"/>
      <c r="Q39" s="195" t="s">
        <v>317</v>
      </c>
      <c r="R39" s="195"/>
      <c r="S39" s="195"/>
      <c r="T39" s="195" t="s">
        <v>332</v>
      </c>
      <c r="U39" s="195"/>
      <c r="V39" s="195"/>
      <c r="W39" s="195"/>
      <c r="X39" s="195"/>
      <c r="Y39" s="195"/>
      <c r="Z39" s="195"/>
      <c r="AA39" s="195"/>
      <c r="AB39" s="195"/>
      <c r="AC39" s="195"/>
      <c r="AD39" s="195" t="s">
        <v>965</v>
      </c>
      <c r="AE39" s="207">
        <f>B34</f>
        <v>0</v>
      </c>
      <c r="AF39" s="207">
        <f>C34</f>
        <v>0</v>
      </c>
      <c r="AG39" s="207">
        <f>AF49</f>
        <v>341.3333333333333</v>
      </c>
      <c r="AH39" s="236">
        <f>B34-((1*B37)*(2))</f>
        <v>-4</v>
      </c>
      <c r="AI39" s="236">
        <f>C34-((1*C37)*(2))</f>
        <v>-4</v>
      </c>
      <c r="AJ39" s="207">
        <f>AI49</f>
        <v>341.1358024691358</v>
      </c>
      <c r="AK39" s="195"/>
      <c r="AL39" s="195"/>
      <c r="AM39" s="195"/>
      <c r="AN39" s="195"/>
      <c r="AO39" s="203"/>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row>
    <row r="40" spans="1:65" ht="15">
      <c r="A40" s="200" t="s">
        <v>425</v>
      </c>
      <c r="B40" s="216">
        <f>$R$31/27</f>
        <v>0</v>
      </c>
      <c r="C40" s="198" t="s">
        <v>1059</v>
      </c>
      <c r="D40" s="198" t="e">
        <f>IF(G30&gt;1,S50,K40)</f>
        <v>#N/A</v>
      </c>
      <c r="E40" s="198"/>
      <c r="F40" s="198"/>
      <c r="G40" s="200" t="s">
        <v>425</v>
      </c>
      <c r="H40" s="216">
        <f>N40</f>
        <v>0</v>
      </c>
      <c r="I40" s="198" t="s">
        <v>1059</v>
      </c>
      <c r="J40" s="215"/>
      <c r="K40" s="195" t="s">
        <v>332</v>
      </c>
      <c r="L40" s="195"/>
      <c r="M40" s="219" t="s">
        <v>425</v>
      </c>
      <c r="N40" s="235">
        <f>$R$31/27</f>
        <v>0</v>
      </c>
      <c r="O40" s="195"/>
      <c r="P40" s="207" t="e">
        <f>B44+B42+B41+B40+B43</f>
        <v>#N/A</v>
      </c>
      <c r="Q40" s="195" t="s">
        <v>1173</v>
      </c>
      <c r="R40" s="195"/>
      <c r="S40" s="195"/>
      <c r="T40" s="195"/>
      <c r="U40" s="195"/>
      <c r="V40" s="195"/>
      <c r="W40" s="195"/>
      <c r="X40" s="195"/>
      <c r="Y40" s="195"/>
      <c r="Z40" s="195"/>
      <c r="AA40" s="195"/>
      <c r="AB40" s="195"/>
      <c r="AC40" s="195"/>
      <c r="AD40" s="195" t="s">
        <v>967</v>
      </c>
      <c r="AE40" s="207">
        <f>B35</f>
        <v>-48</v>
      </c>
      <c r="AF40" s="207">
        <f>C35</f>
        <v>-48</v>
      </c>
      <c r="AG40" s="207" t="s">
        <v>1174</v>
      </c>
      <c r="AH40" s="236">
        <f>AH39-(AH42*AH41*2)</f>
        <v>-48</v>
      </c>
      <c r="AI40" s="236">
        <f>AI39-(AH42*AI41*2)</f>
        <v>-48</v>
      </c>
      <c r="AJ40" s="207" t="s">
        <v>1175</v>
      </c>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row>
    <row r="41" spans="1:65" ht="15">
      <c r="A41" s="200" t="s">
        <v>1176</v>
      </c>
      <c r="B41" s="216">
        <f>P41</f>
        <v>0</v>
      </c>
      <c r="C41" s="198" t="s">
        <v>1059</v>
      </c>
      <c r="D41" s="198" t="e">
        <f>IF(G30&gt;1,S51,K40)</f>
        <v>#N/A</v>
      </c>
      <c r="E41" s="198"/>
      <c r="F41" s="198"/>
      <c r="G41" s="200" t="s">
        <v>1176</v>
      </c>
      <c r="H41" s="216">
        <f>N41</f>
        <v>0</v>
      </c>
      <c r="I41" s="198" t="s">
        <v>1059</v>
      </c>
      <c r="J41" s="215"/>
      <c r="K41" s="195"/>
      <c r="L41" s="195"/>
      <c r="M41" s="219" t="s">
        <v>1176</v>
      </c>
      <c r="N41" s="235">
        <f>P41</f>
        <v>0</v>
      </c>
      <c r="O41" s="195"/>
      <c r="P41" s="204">
        <f>SUM($C$7*$H$3*0.1337)/27</f>
        <v>0</v>
      </c>
      <c r="Q41" s="195" t="s">
        <v>1177</v>
      </c>
      <c r="R41" s="195"/>
      <c r="S41" s="195"/>
      <c r="T41" s="195"/>
      <c r="U41" s="195"/>
      <c r="V41" s="195"/>
      <c r="W41" s="195"/>
      <c r="X41" s="195"/>
      <c r="Y41" s="195"/>
      <c r="Z41" s="195"/>
      <c r="AA41" s="195"/>
      <c r="AB41" s="195"/>
      <c r="AC41" s="195"/>
      <c r="AD41" s="195" t="s">
        <v>969</v>
      </c>
      <c r="AE41" s="207">
        <f>B37</f>
        <v>2</v>
      </c>
      <c r="AF41" s="207">
        <f>C37</f>
        <v>2</v>
      </c>
      <c r="AG41" s="195"/>
      <c r="AH41" s="207">
        <f>B37</f>
        <v>2</v>
      </c>
      <c r="AI41" s="207">
        <f>C37</f>
        <v>2</v>
      </c>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row>
    <row r="42" spans="1:65" ht="15">
      <c r="A42" s="200" t="s">
        <v>1178</v>
      </c>
      <c r="B42" s="216" t="e">
        <f>IF(ISERR(SUM(C30=1,P49,0))=1,0,SUM(C30=1,P49,0))</f>
        <v>#N/A</v>
      </c>
      <c r="C42" s="198" t="s">
        <v>1059</v>
      </c>
      <c r="D42" s="198" t="e">
        <f>IF(G30&gt;1,S52,K40)</f>
        <v>#N/A</v>
      </c>
      <c r="E42" s="198"/>
      <c r="F42" s="198"/>
      <c r="G42" s="200" t="s">
        <v>1178</v>
      </c>
      <c r="H42" s="216" t="e">
        <f>N42</f>
        <v>#N/A</v>
      </c>
      <c r="I42" s="198" t="s">
        <v>1059</v>
      </c>
      <c r="J42" s="215"/>
      <c r="K42" s="195"/>
      <c r="L42" s="195"/>
      <c r="M42" s="219" t="s">
        <v>1178</v>
      </c>
      <c r="N42" s="235" t="e">
        <f>IF(G30=1,N48,0)</f>
        <v>#N/A</v>
      </c>
      <c r="O42" s="203">
        <f>SUM($H$5/12)*V77</f>
        <v>0.8775000000000001</v>
      </c>
      <c r="P42" s="203" t="e">
        <f>SUM($H$5/12)*V76</f>
        <v>#VALUE!</v>
      </c>
      <c r="Q42" s="195" t="s">
        <v>1179</v>
      </c>
      <c r="R42" s="195"/>
      <c r="S42" s="195"/>
      <c r="T42" s="195"/>
      <c r="U42" s="195"/>
      <c r="V42" s="195"/>
      <c r="W42" s="195"/>
      <c r="X42" s="195"/>
      <c r="Y42" s="195"/>
      <c r="Z42" s="195"/>
      <c r="AA42" s="195"/>
      <c r="AB42" s="195"/>
      <c r="AC42" s="195"/>
      <c r="AD42" s="195" t="s">
        <v>971</v>
      </c>
      <c r="AE42" s="236">
        <f>B36</f>
        <v>12</v>
      </c>
      <c r="AF42" s="195"/>
      <c r="AG42" s="195"/>
      <c r="AH42" s="236">
        <f>B36-1</f>
        <v>11</v>
      </c>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row>
    <row r="43" spans="1:65" ht="15">
      <c r="A43" s="200" t="s">
        <v>1180</v>
      </c>
      <c r="B43" s="216" t="e">
        <f>IF(ISERR(SUM(C30=1,((B34*C34*P47)/27)*-1,0))=1,0,SUM(C30=1,((B34*C34*P47)/27)*-1,0))</f>
        <v>#N/A</v>
      </c>
      <c r="C43" s="198" t="s">
        <v>1059</v>
      </c>
      <c r="D43" s="198"/>
      <c r="E43" s="198"/>
      <c r="F43" s="198"/>
      <c r="G43" s="200" t="s">
        <v>1180</v>
      </c>
      <c r="H43" s="216" t="e">
        <f>N43</f>
        <v>#N/A</v>
      </c>
      <c r="I43" s="198" t="s">
        <v>1059</v>
      </c>
      <c r="J43" s="215"/>
      <c r="K43" s="195"/>
      <c r="L43" s="195"/>
      <c r="M43" s="219" t="s">
        <v>1180</v>
      </c>
      <c r="N43" s="235" t="e">
        <f>IF(G30=1,((0.7854*(G34*G34)*P47)/27)*-1,0)</f>
        <v>#N/A</v>
      </c>
      <c r="O43" s="203">
        <f>($H$6/12)</f>
        <v>0.2916666666666667</v>
      </c>
      <c r="P43" s="203">
        <f>($H$6/12)</f>
        <v>0.2916666666666667</v>
      </c>
      <c r="Q43" s="195" t="s">
        <v>1181</v>
      </c>
      <c r="R43" s="195"/>
      <c r="S43" s="237" t="e">
        <f>V76</f>
        <v>#VALUE!</v>
      </c>
      <c r="T43" s="195" t="s">
        <v>1182</v>
      </c>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row>
    <row r="44" spans="1:65" ht="15">
      <c r="A44" s="200" t="s">
        <v>1183</v>
      </c>
      <c r="B44" s="216">
        <f>SUM(($H$4*$C$7)/9*0.5)/27</f>
        <v>0</v>
      </c>
      <c r="C44" s="198" t="s">
        <v>1059</v>
      </c>
      <c r="D44" s="1423" t="e">
        <f>IF(C30&gt;1,S50,K40)</f>
        <v>#N/A</v>
      </c>
      <c r="E44" s="1423"/>
      <c r="F44" s="1424"/>
      <c r="G44" s="200" t="s">
        <v>1183</v>
      </c>
      <c r="H44" s="216">
        <f>SUM(($H$4*$C$7)/9*0.5)/27</f>
        <v>0</v>
      </c>
      <c r="I44" s="198" t="s">
        <v>1059</v>
      </c>
      <c r="J44" s="215"/>
      <c r="K44" s="195"/>
      <c r="L44" s="195"/>
      <c r="M44" s="219" t="s">
        <v>1183</v>
      </c>
      <c r="N44" s="235">
        <f>SUM(($H$4*$C$7)/9*0.5)/27</f>
        <v>0</v>
      </c>
      <c r="O44" s="203">
        <f>O42+O43</f>
        <v>1.1691666666666667</v>
      </c>
      <c r="P44" s="203" t="e">
        <f>P42+P43</f>
        <v>#VALUE!</v>
      </c>
      <c r="Q44" s="195" t="s">
        <v>1184</v>
      </c>
      <c r="R44" s="195"/>
      <c r="S44" s="195"/>
      <c r="T44" s="195"/>
      <c r="U44" s="237"/>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row>
    <row r="45" spans="1:65" ht="15">
      <c r="A45" s="200" t="s">
        <v>1185</v>
      </c>
      <c r="B45" s="232" t="e">
        <f>IF(C30=1,AK46,0)</f>
        <v>#N/A</v>
      </c>
      <c r="C45" s="198" t="s">
        <v>1059</v>
      </c>
      <c r="D45" s="1423" t="e">
        <f>IF(C30&gt;1,S51,K40)</f>
        <v>#N/A</v>
      </c>
      <c r="E45" s="1423"/>
      <c r="F45" s="1424"/>
      <c r="G45" s="200" t="s">
        <v>1185</v>
      </c>
      <c r="H45" s="216" t="e">
        <f>N45</f>
        <v>#N/A</v>
      </c>
      <c r="I45" s="198" t="s">
        <v>1059</v>
      </c>
      <c r="J45" s="215"/>
      <c r="K45" s="195"/>
      <c r="L45" s="195"/>
      <c r="M45" s="219" t="s">
        <v>1185</v>
      </c>
      <c r="N45" s="229" t="e">
        <f>IF(G30=1,N47,0)</f>
        <v>#N/A</v>
      </c>
      <c r="O45" s="195"/>
      <c r="P45" s="204" t="e">
        <f>AK45</f>
        <v>#VALUE!</v>
      </c>
      <c r="Q45" s="195" t="s">
        <v>1186</v>
      </c>
      <c r="R45" s="195"/>
      <c r="S45" s="195"/>
      <c r="T45" s="195"/>
      <c r="U45" s="237"/>
      <c r="V45" s="195"/>
      <c r="W45" s="195"/>
      <c r="X45" s="195"/>
      <c r="Y45" s="195"/>
      <c r="Z45" s="195"/>
      <c r="AA45" s="195"/>
      <c r="AB45" s="195"/>
      <c r="AC45" s="195"/>
      <c r="AD45" s="195"/>
      <c r="AE45" s="195" t="s">
        <v>966</v>
      </c>
      <c r="AF45" s="207">
        <f>B34*C34</f>
        <v>0</v>
      </c>
      <c r="AG45" s="195"/>
      <c r="AH45" s="195"/>
      <c r="AI45" s="207">
        <f>SUM(AH39*$AI$39)</f>
        <v>16</v>
      </c>
      <c r="AJ45" s="196" t="s">
        <v>1187</v>
      </c>
      <c r="AK45" s="204" t="e">
        <f>(B34*C34*P48)/27</f>
        <v>#VALUE!</v>
      </c>
      <c r="AL45" s="195" t="s">
        <v>383</v>
      </c>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row>
    <row r="46" spans="1:65" ht="15">
      <c r="A46" s="200" t="s">
        <v>1188</v>
      </c>
      <c r="B46" s="216" t="e">
        <f>SUM(B40:B45)</f>
        <v>#N/A</v>
      </c>
      <c r="C46" s="198" t="s">
        <v>1059</v>
      </c>
      <c r="D46" s="1423" t="e">
        <f>IF(C30&gt;1,S52,K40)</f>
        <v>#N/A</v>
      </c>
      <c r="E46" s="1423"/>
      <c r="F46" s="1424"/>
      <c r="G46" s="200" t="s">
        <v>1189</v>
      </c>
      <c r="H46" s="216" t="e">
        <f>SUM(H40:H45)</f>
        <v>#N/A</v>
      </c>
      <c r="I46" s="198" t="s">
        <v>1059</v>
      </c>
      <c r="J46" s="215"/>
      <c r="K46" s="195"/>
      <c r="L46" s="195"/>
      <c r="M46" s="219" t="s">
        <v>1190</v>
      </c>
      <c r="N46" s="235" t="e">
        <f>SUM(N40:N44)</f>
        <v>#N/A</v>
      </c>
      <c r="O46" s="195"/>
      <c r="P46" s="204" t="e">
        <f>(P45*202)/C7</f>
        <v>#VALUE!</v>
      </c>
      <c r="Q46" s="195" t="s">
        <v>1191</v>
      </c>
      <c r="R46" s="195"/>
      <c r="S46" s="195"/>
      <c r="T46" s="195"/>
      <c r="U46" s="237"/>
      <c r="V46" s="195"/>
      <c r="W46" s="195"/>
      <c r="X46" s="195"/>
      <c r="Y46" s="195"/>
      <c r="Z46" s="195"/>
      <c r="AA46" s="195"/>
      <c r="AB46" s="195"/>
      <c r="AC46" s="195"/>
      <c r="AD46" s="195"/>
      <c r="AE46" s="195" t="s">
        <v>968</v>
      </c>
      <c r="AF46" s="207">
        <f>B35*C35</f>
        <v>2304</v>
      </c>
      <c r="AG46" s="195"/>
      <c r="AH46" s="195"/>
      <c r="AI46" s="207">
        <f>SUM(AH40*$AI$40)</f>
        <v>2304</v>
      </c>
      <c r="AJ46" s="195" t="s">
        <v>1192</v>
      </c>
      <c r="AK46" s="204">
        <f>AG39-AJ39</f>
        <v>0.19753086419751753</v>
      </c>
      <c r="AL46" s="195" t="s">
        <v>383</v>
      </c>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row>
    <row r="47" spans="1:65" ht="15">
      <c r="A47" s="198"/>
      <c r="B47" s="198"/>
      <c r="C47" s="198"/>
      <c r="D47" s="198"/>
      <c r="E47" s="198"/>
      <c r="F47" s="198"/>
      <c r="G47" s="198"/>
      <c r="H47" s="198"/>
      <c r="I47" s="198"/>
      <c r="J47" s="215"/>
      <c r="K47" s="195"/>
      <c r="L47" s="195"/>
      <c r="M47" s="195" t="s">
        <v>1193</v>
      </c>
      <c r="N47" s="235">
        <f>(0.7854*(G34*G34)*1)/27</f>
        <v>0</v>
      </c>
      <c r="O47" s="203" t="e">
        <f>IF($P$53=2,0,(H7/12)*N77)</f>
        <v>#N/A</v>
      </c>
      <c r="P47" s="203" t="e">
        <f>SUM(H7/12)*N76</f>
        <v>#VALUE!</v>
      </c>
      <c r="Q47" s="195" t="s">
        <v>1194</v>
      </c>
      <c r="R47" s="195"/>
      <c r="S47" s="195"/>
      <c r="T47" s="195"/>
      <c r="U47" s="237"/>
      <c r="V47" s="195"/>
      <c r="W47" s="195"/>
      <c r="X47" s="195"/>
      <c r="Y47" s="195"/>
      <c r="Z47" s="195"/>
      <c r="AA47" s="195"/>
      <c r="AB47" s="195"/>
      <c r="AC47" s="195"/>
      <c r="AD47" s="195"/>
      <c r="AE47" s="195" t="s">
        <v>970</v>
      </c>
      <c r="AF47" s="207">
        <f>(B34+B35)*(C34+C35)</f>
        <v>2304</v>
      </c>
      <c r="AG47" s="195"/>
      <c r="AH47" s="195"/>
      <c r="AI47" s="207">
        <f>(AH39+AH40)*(AI39+AI40)</f>
        <v>2704</v>
      </c>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row>
    <row r="48" spans="1:65" ht="15">
      <c r="A48" s="198"/>
      <c r="B48" s="198"/>
      <c r="C48" s="200" t="s">
        <v>1195</v>
      </c>
      <c r="D48" s="216">
        <f>AG17</f>
        <v>0</v>
      </c>
      <c r="E48" s="198" t="s">
        <v>417</v>
      </c>
      <c r="F48" s="198"/>
      <c r="G48" s="198"/>
      <c r="H48" s="198"/>
      <c r="I48" s="198"/>
      <c r="J48" s="215"/>
      <c r="K48" s="195"/>
      <c r="L48" s="195"/>
      <c r="M48" s="195" t="s">
        <v>1178</v>
      </c>
      <c r="N48" s="235" t="e">
        <f>(0.7854*(G34*G34)*P44)/27</f>
        <v>#VALUE!</v>
      </c>
      <c r="O48" s="203" t="e">
        <f>(O44-O47)</f>
        <v>#N/A</v>
      </c>
      <c r="P48" s="203" t="e">
        <f>(P44-P47)</f>
        <v>#VALUE!</v>
      </c>
      <c r="Q48" s="195" t="s">
        <v>1196</v>
      </c>
      <c r="R48" s="195"/>
      <c r="S48" s="237" t="e">
        <f>N76</f>
        <v>#VALUE!</v>
      </c>
      <c r="T48" s="195" t="s">
        <v>1197</v>
      </c>
      <c r="U48" s="195"/>
      <c r="V48" s="195"/>
      <c r="W48" s="195"/>
      <c r="X48" s="195"/>
      <c r="Y48" s="195"/>
      <c r="Z48" s="195"/>
      <c r="AA48" s="195"/>
      <c r="AB48" s="195"/>
      <c r="AC48" s="195"/>
      <c r="AD48" s="195"/>
      <c r="AE48" s="195" t="s">
        <v>972</v>
      </c>
      <c r="AF48" s="207">
        <f>AF45+AF46+AF47</f>
        <v>4608</v>
      </c>
      <c r="AG48" s="195"/>
      <c r="AH48" s="195"/>
      <c r="AI48" s="207">
        <f>AI45+AI46+AI47</f>
        <v>5024</v>
      </c>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row>
    <row r="49" spans="1:65" ht="15">
      <c r="A49" s="198"/>
      <c r="B49" s="198"/>
      <c r="C49" s="200" t="s">
        <v>1198</v>
      </c>
      <c r="D49" s="216">
        <f>AF17</f>
        <v>0</v>
      </c>
      <c r="E49" s="198" t="s">
        <v>417</v>
      </c>
      <c r="F49" s="198"/>
      <c r="G49" s="198"/>
      <c r="H49" s="198"/>
      <c r="I49" s="198"/>
      <c r="J49" s="195"/>
      <c r="K49" s="203">
        <f>PMT(0.122/12,60,-12000)</f>
        <v>268.1477544345935</v>
      </c>
      <c r="L49" s="195"/>
      <c r="M49" s="195"/>
      <c r="N49" s="195"/>
      <c r="O49" s="195"/>
      <c r="P49" s="204" t="e">
        <f>(B34*C34*P44)/27</f>
        <v>#VALUE!</v>
      </c>
      <c r="Q49" s="195" t="s">
        <v>1199</v>
      </c>
      <c r="R49" s="195"/>
      <c r="S49" s="195"/>
      <c r="T49" s="195"/>
      <c r="U49" s="195"/>
      <c r="V49" s="195"/>
      <c r="W49" s="195"/>
      <c r="X49" s="195"/>
      <c r="Y49" s="195"/>
      <c r="Z49" s="195"/>
      <c r="AA49" s="195"/>
      <c r="AB49" s="195"/>
      <c r="AC49" s="195"/>
      <c r="AD49" s="195"/>
      <c r="AE49" s="195"/>
      <c r="AF49" s="207">
        <f>(AF48*B36)/162</f>
        <v>341.3333333333333</v>
      </c>
      <c r="AG49" s="195"/>
      <c r="AH49" s="195"/>
      <c r="AI49" s="207">
        <f>(AI48*AH42)/162</f>
        <v>341.1358024691358</v>
      </c>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row>
    <row r="50" spans="1:65" ht="15">
      <c r="A50" s="198"/>
      <c r="B50" s="198"/>
      <c r="C50" s="200" t="s">
        <v>1200</v>
      </c>
      <c r="D50" s="206">
        <f>IF($H$3&lt;1,0,$H$3/24/60)</f>
        <v>0</v>
      </c>
      <c r="E50" s="198" t="s">
        <v>1201</v>
      </c>
      <c r="F50" s="198"/>
      <c r="G50" s="198"/>
      <c r="H50" s="198"/>
      <c r="I50" s="198"/>
      <c r="J50" s="195"/>
      <c r="K50" s="203">
        <f>PMT(0.122/12,12,-720)</f>
        <v>64.03851187121342</v>
      </c>
      <c r="L50" s="195"/>
      <c r="M50" s="195"/>
      <c r="N50" s="195"/>
      <c r="O50" s="195"/>
      <c r="P50" s="195"/>
      <c r="Q50" s="195"/>
      <c r="R50" s="195"/>
      <c r="S50" s="195" t="s">
        <v>1202</v>
      </c>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row>
    <row r="51" spans="1:65" ht="15">
      <c r="A51" s="198"/>
      <c r="B51" s="198"/>
      <c r="C51" s="198"/>
      <c r="D51" s="198"/>
      <c r="E51" s="198"/>
      <c r="F51" s="198"/>
      <c r="G51" s="198"/>
      <c r="H51" s="198"/>
      <c r="I51" s="198"/>
      <c r="J51" s="195"/>
      <c r="K51" s="195"/>
      <c r="L51" s="195"/>
      <c r="M51" s="195"/>
      <c r="N51" s="195"/>
      <c r="O51" s="195"/>
      <c r="P51" s="195"/>
      <c r="Q51" s="195"/>
      <c r="R51" s="195"/>
      <c r="S51" s="195" t="s">
        <v>1203</v>
      </c>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row>
    <row r="52" spans="1:65" ht="15">
      <c r="A52" s="198" t="s">
        <v>1204</v>
      </c>
      <c r="B52" s="198"/>
      <c r="C52" s="198"/>
      <c r="D52" s="198"/>
      <c r="E52" s="198"/>
      <c r="F52" s="198"/>
      <c r="G52" s="198"/>
      <c r="H52" s="198"/>
      <c r="I52" s="198"/>
      <c r="J52" s="195"/>
      <c r="K52" s="195"/>
      <c r="L52" s="195"/>
      <c r="M52" s="195"/>
      <c r="N52" s="195"/>
      <c r="O52" s="195"/>
      <c r="P52" s="195"/>
      <c r="Q52" s="195"/>
      <c r="R52" s="195"/>
      <c r="S52" s="195" t="s">
        <v>1205</v>
      </c>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row>
    <row r="53" spans="2:65" ht="15">
      <c r="B53" s="198"/>
      <c r="C53" s="198"/>
      <c r="D53" s="198"/>
      <c r="E53" s="198"/>
      <c r="F53" s="198"/>
      <c r="G53" s="198"/>
      <c r="H53" s="198"/>
      <c r="I53" s="198"/>
      <c r="J53" s="195"/>
      <c r="K53" s="195"/>
      <c r="L53" s="195"/>
      <c r="M53" s="195"/>
      <c r="N53" s="195"/>
      <c r="O53" s="195"/>
      <c r="P53" s="238" t="e">
        <f>D61</f>
        <v>#N/A</v>
      </c>
      <c r="Q53" s="233"/>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row>
    <row r="54" spans="9:65" ht="15">
      <c r="I54" s="239"/>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row>
    <row r="55" spans="1:65" ht="15">
      <c r="A55" s="240" t="s">
        <v>1206</v>
      </c>
      <c r="B55" s="241"/>
      <c r="C55" s="241"/>
      <c r="D55" s="241"/>
      <c r="E55" s="240" t="s">
        <v>1207</v>
      </c>
      <c r="F55" s="241"/>
      <c r="G55" s="241"/>
      <c r="H55" s="241"/>
      <c r="I55" s="241"/>
      <c r="J55" s="195"/>
      <c r="K55" s="195"/>
      <c r="L55" s="195"/>
      <c r="M55" s="195"/>
      <c r="N55" s="195"/>
      <c r="O55" s="195" t="s">
        <v>1208</v>
      </c>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row>
    <row r="56" spans="1:65" ht="15">
      <c r="A56" s="242" t="s">
        <v>1265</v>
      </c>
      <c r="B56" s="241"/>
      <c r="C56" s="241"/>
      <c r="D56" s="241"/>
      <c r="E56" s="242" t="s">
        <v>1266</v>
      </c>
      <c r="F56" s="241"/>
      <c r="G56" s="241"/>
      <c r="H56" s="241"/>
      <c r="I56" s="241"/>
      <c r="J56" s="195"/>
      <c r="K56" s="195"/>
      <c r="L56" s="195"/>
      <c r="M56" s="195"/>
      <c r="N56" s="196" t="s">
        <v>1267</v>
      </c>
      <c r="O56" s="196" t="s">
        <v>1267</v>
      </c>
      <c r="P56" s="195"/>
      <c r="Q56" s="195"/>
      <c r="R56" s="195"/>
      <c r="S56" s="195"/>
      <c r="T56" s="195"/>
      <c r="U56" s="195"/>
      <c r="V56" s="195"/>
      <c r="W56" s="195" t="s">
        <v>1208</v>
      </c>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row>
    <row r="57" spans="1:65" ht="15">
      <c r="A57" s="242" t="s">
        <v>1268</v>
      </c>
      <c r="B57" s="241"/>
      <c r="C57" s="241"/>
      <c r="D57" s="241"/>
      <c r="E57" s="242" t="s">
        <v>1269</v>
      </c>
      <c r="F57" s="241"/>
      <c r="G57" s="241"/>
      <c r="H57" s="241"/>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row>
    <row r="58" spans="1:65" ht="15">
      <c r="A58" s="198"/>
      <c r="B58" s="198"/>
      <c r="C58" s="198"/>
      <c r="D58" s="198"/>
      <c r="E58" s="198"/>
      <c r="F58" s="198"/>
      <c r="G58" s="198"/>
      <c r="H58" s="198"/>
      <c r="I58" s="198"/>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row>
    <row r="59" spans="1:65" ht="15.75">
      <c r="A59" s="243" t="s">
        <v>1270</v>
      </c>
      <c r="B59" s="198"/>
      <c r="C59" s="198"/>
      <c r="D59" s="198"/>
      <c r="E59" s="198"/>
      <c r="F59" s="198"/>
      <c r="H59" s="243" t="s">
        <v>431</v>
      </c>
      <c r="I59" s="198"/>
      <c r="J59" s="195"/>
      <c r="K59" s="195"/>
      <c r="L59" s="195"/>
      <c r="M59" s="195"/>
      <c r="N59" s="196" t="s">
        <v>1271</v>
      </c>
      <c r="O59" s="196" t="s">
        <v>1271</v>
      </c>
      <c r="P59" s="195" t="s">
        <v>1208</v>
      </c>
      <c r="Q59" s="195"/>
      <c r="R59" s="195" t="str">
        <f>C4</f>
        <v>Golden Valley</v>
      </c>
      <c r="S59" s="195" t="s">
        <v>1272</v>
      </c>
      <c r="T59" s="195"/>
      <c r="U59" s="195"/>
      <c r="V59" s="196" t="s">
        <v>1273</v>
      </c>
      <c r="W59" s="196" t="s">
        <v>1273</v>
      </c>
      <c r="X59" s="195" t="s">
        <v>1208</v>
      </c>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row>
    <row r="60" spans="2:65" ht="15">
      <c r="B60" s="198"/>
      <c r="C60" s="198"/>
      <c r="D60" s="198"/>
      <c r="E60" s="198"/>
      <c r="H60" s="244" t="s">
        <v>433</v>
      </c>
      <c r="J60" s="195"/>
      <c r="K60" s="195"/>
      <c r="L60" s="195"/>
      <c r="M60" s="195"/>
      <c r="N60" s="196" t="s">
        <v>1274</v>
      </c>
      <c r="O60" s="196" t="s">
        <v>1274</v>
      </c>
      <c r="P60" s="196" t="s">
        <v>1271</v>
      </c>
      <c r="Q60" s="195"/>
      <c r="R60" s="195"/>
      <c r="S60" s="195"/>
      <c r="T60" s="195"/>
      <c r="U60" s="195"/>
      <c r="V60" s="196" t="s">
        <v>983</v>
      </c>
      <c r="W60" s="196" t="s">
        <v>983</v>
      </c>
      <c r="X60" s="196" t="s">
        <v>1275</v>
      </c>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row>
    <row r="61" spans="1:65" ht="15.75">
      <c r="A61" s="198"/>
      <c r="B61" s="198"/>
      <c r="C61" s="194" t="s">
        <v>1276</v>
      </c>
      <c r="D61" s="217" t="e">
        <f>('Nutrient Management Planner'!G372)</f>
        <v>#N/A</v>
      </c>
      <c r="E61" s="213" t="s">
        <v>1277</v>
      </c>
      <c r="G61" s="200" t="s">
        <v>435</v>
      </c>
      <c r="H61" s="283">
        <f>'Nutrient Management Planner'!F97</f>
        <v>0.24</v>
      </c>
      <c r="I61" s="92" t="e">
        <f>A81*$H$61</f>
        <v>#N/A</v>
      </c>
      <c r="J61" s="195"/>
      <c r="K61" s="195"/>
      <c r="L61" s="196" t="s">
        <v>246</v>
      </c>
      <c r="M61" s="196" t="s">
        <v>1278</v>
      </c>
      <c r="N61" s="195" t="s">
        <v>1279</v>
      </c>
      <c r="O61" s="195"/>
      <c r="P61" s="196" t="s">
        <v>350</v>
      </c>
      <c r="Q61" s="196" t="s">
        <v>1278</v>
      </c>
      <c r="R61" s="195"/>
      <c r="S61" s="195"/>
      <c r="T61" s="196" t="s">
        <v>246</v>
      </c>
      <c r="U61" s="196" t="s">
        <v>1278</v>
      </c>
      <c r="V61" s="196" t="s">
        <v>1275</v>
      </c>
      <c r="W61" s="196" t="s">
        <v>1275</v>
      </c>
      <c r="X61" s="196" t="s">
        <v>350</v>
      </c>
      <c r="Y61" s="196" t="s">
        <v>1278</v>
      </c>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row>
    <row r="62" spans="5:65" ht="15.75">
      <c r="E62" s="213" t="s">
        <v>1280</v>
      </c>
      <c r="G62" s="200" t="s">
        <v>438</v>
      </c>
      <c r="H62" s="283">
        <f>'Nutrient Management Planner'!F98</f>
        <v>0.25</v>
      </c>
      <c r="I62" s="92">
        <f>A82*$H$62</f>
        <v>0</v>
      </c>
      <c r="J62" s="195"/>
      <c r="K62" s="195"/>
      <c r="L62" s="195">
        <v>30</v>
      </c>
      <c r="M62" s="196" t="s">
        <v>1281</v>
      </c>
      <c r="N62" s="245">
        <v>0.0853</v>
      </c>
      <c r="O62" s="237">
        <f>N62</f>
        <v>0.0853</v>
      </c>
      <c r="P62" s="236">
        <f aca="true" t="shared" si="37" ref="P62:P73">$H$7*O62</f>
        <v>3.1561</v>
      </c>
      <c r="Q62" s="196" t="s">
        <v>1281</v>
      </c>
      <c r="R62" s="195"/>
      <c r="S62" s="195"/>
      <c r="T62" s="195">
        <v>30</v>
      </c>
      <c r="U62" s="196" t="s">
        <v>1281</v>
      </c>
      <c r="V62" s="237">
        <v>0.06</v>
      </c>
      <c r="W62" s="237">
        <f>V62</f>
        <v>0.06</v>
      </c>
      <c r="X62" s="236">
        <f aca="true" t="shared" si="38" ref="X62:X73">$H$5*W62</f>
        <v>0.8099999999999999</v>
      </c>
      <c r="Y62" s="196" t="s">
        <v>1281</v>
      </c>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row>
    <row r="63" spans="2:65" ht="15.75">
      <c r="B63" s="198"/>
      <c r="E63" s="198"/>
      <c r="F63" s="198"/>
      <c r="G63" s="200" t="s">
        <v>440</v>
      </c>
      <c r="H63" s="283">
        <f>'Nutrient Management Planner'!F99</f>
        <v>0.1</v>
      </c>
      <c r="I63" s="246">
        <f>A83*$H$63</f>
        <v>0</v>
      </c>
      <c r="J63" s="195"/>
      <c r="K63" s="195"/>
      <c r="L63" s="195">
        <f aca="true" t="shared" si="39" ref="L63:L73">L62+30</f>
        <v>60</v>
      </c>
      <c r="M63" s="196" t="s">
        <v>1282</v>
      </c>
      <c r="N63" s="245">
        <v>0.03</v>
      </c>
      <c r="O63" s="237">
        <f aca="true" t="shared" si="40" ref="O63:O73">O62+N63</f>
        <v>0.1153</v>
      </c>
      <c r="P63" s="236">
        <f t="shared" si="37"/>
        <v>4.2661</v>
      </c>
      <c r="Q63" s="196" t="s">
        <v>1282</v>
      </c>
      <c r="R63" s="195"/>
      <c r="S63" s="195"/>
      <c r="T63" s="195">
        <f aca="true" t="shared" si="41" ref="T63:T73">T62+30</f>
        <v>60</v>
      </c>
      <c r="U63" s="196" t="s">
        <v>1282</v>
      </c>
      <c r="V63" s="237">
        <v>0.03</v>
      </c>
      <c r="W63" s="237">
        <f aca="true" t="shared" si="42" ref="W63:W73">W62+V63</f>
        <v>0.09</v>
      </c>
      <c r="X63" s="236">
        <f t="shared" si="38"/>
        <v>1.2149999999999999</v>
      </c>
      <c r="Y63" s="196" t="s">
        <v>1282</v>
      </c>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row>
    <row r="64" spans="3:65" ht="15">
      <c r="C64" s="198"/>
      <c r="D64" s="198"/>
      <c r="E64" s="198"/>
      <c r="H64" s="200" t="s">
        <v>450</v>
      </c>
      <c r="I64" s="92" t="e">
        <f>SUM(I61:I63)</f>
        <v>#N/A</v>
      </c>
      <c r="J64" s="195"/>
      <c r="K64" s="195"/>
      <c r="L64" s="195">
        <f t="shared" si="39"/>
        <v>90</v>
      </c>
      <c r="M64" s="196" t="s">
        <v>1283</v>
      </c>
      <c r="N64" s="245">
        <v>0.0102</v>
      </c>
      <c r="O64" s="237">
        <f t="shared" si="40"/>
        <v>0.1255</v>
      </c>
      <c r="P64" s="236">
        <f t="shared" si="37"/>
        <v>4.6435</v>
      </c>
      <c r="Q64" s="196" t="s">
        <v>1283</v>
      </c>
      <c r="R64" s="195"/>
      <c r="S64" s="195"/>
      <c r="T64" s="195">
        <f t="shared" si="41"/>
        <v>90</v>
      </c>
      <c r="U64" s="196" t="s">
        <v>1283</v>
      </c>
      <c r="V64" s="237">
        <v>0.03</v>
      </c>
      <c r="W64" s="237">
        <f t="shared" si="42"/>
        <v>0.12</v>
      </c>
      <c r="X64" s="236">
        <f t="shared" si="38"/>
        <v>1.6199999999999999</v>
      </c>
      <c r="Y64" s="196" t="s">
        <v>1283</v>
      </c>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row>
    <row r="65" spans="1:65" ht="15.75">
      <c r="A65" s="198"/>
      <c r="B65" s="198"/>
      <c r="C65" s="194" t="s">
        <v>1284</v>
      </c>
      <c r="D65" s="410">
        <f>'Nutrient Risk Assessment'!I15</f>
        <v>1</v>
      </c>
      <c r="E65" s="247" t="s">
        <v>1285</v>
      </c>
      <c r="F65" s="198"/>
      <c r="I65" s="198"/>
      <c r="J65" s="195"/>
      <c r="K65" s="195"/>
      <c r="L65" s="195">
        <f t="shared" si="39"/>
        <v>120</v>
      </c>
      <c r="M65" s="196" t="s">
        <v>1286</v>
      </c>
      <c r="N65" s="245">
        <v>0.0075</v>
      </c>
      <c r="O65" s="237">
        <f t="shared" si="40"/>
        <v>0.133</v>
      </c>
      <c r="P65" s="236">
        <f t="shared" si="37"/>
        <v>4.921</v>
      </c>
      <c r="Q65" s="196" t="s">
        <v>1286</v>
      </c>
      <c r="R65" s="195"/>
      <c r="S65" s="195"/>
      <c r="T65" s="195">
        <f t="shared" si="41"/>
        <v>120</v>
      </c>
      <c r="U65" s="196" t="s">
        <v>1286</v>
      </c>
      <c r="V65" s="237">
        <v>0.03</v>
      </c>
      <c r="W65" s="237">
        <f t="shared" si="42"/>
        <v>0.15</v>
      </c>
      <c r="X65" s="236">
        <f t="shared" si="38"/>
        <v>2.025</v>
      </c>
      <c r="Y65" s="196" t="s">
        <v>1286</v>
      </c>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row>
    <row r="66" spans="1:65" ht="15">
      <c r="A66" s="198" t="s">
        <v>1288</v>
      </c>
      <c r="B66" s="198"/>
      <c r="C66" s="198"/>
      <c r="D66" s="198" t="s">
        <v>1289</v>
      </c>
      <c r="E66" s="248"/>
      <c r="F66" s="198"/>
      <c r="G66" s="198"/>
      <c r="H66" s="198"/>
      <c r="I66" s="198"/>
      <c r="J66" s="195"/>
      <c r="K66" s="195"/>
      <c r="L66" s="195">
        <f t="shared" si="39"/>
        <v>150</v>
      </c>
      <c r="M66" s="196" t="s">
        <v>1290</v>
      </c>
      <c r="N66" s="245">
        <v>0.0095</v>
      </c>
      <c r="O66" s="237">
        <f t="shared" si="40"/>
        <v>0.14250000000000002</v>
      </c>
      <c r="P66" s="236">
        <f t="shared" si="37"/>
        <v>5.272500000000001</v>
      </c>
      <c r="Q66" s="196" t="s">
        <v>1290</v>
      </c>
      <c r="R66" s="195"/>
      <c r="S66" s="195"/>
      <c r="T66" s="195">
        <f t="shared" si="41"/>
        <v>150</v>
      </c>
      <c r="U66" s="196" t="s">
        <v>1290</v>
      </c>
      <c r="V66" s="237">
        <v>0.03</v>
      </c>
      <c r="W66" s="237">
        <f t="shared" si="42"/>
        <v>0.18</v>
      </c>
      <c r="X66" s="236">
        <f t="shared" si="38"/>
        <v>2.4299999999999997</v>
      </c>
      <c r="Y66" s="196" t="s">
        <v>1290</v>
      </c>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row>
    <row r="67" spans="1:65" ht="15">
      <c r="A67" s="198" t="s">
        <v>1291</v>
      </c>
      <c r="B67" s="198"/>
      <c r="C67" s="198"/>
      <c r="D67" s="198" t="s">
        <v>1292</v>
      </c>
      <c r="E67" s="248"/>
      <c r="F67" s="198"/>
      <c r="G67" s="198"/>
      <c r="H67" s="198"/>
      <c r="I67" s="198"/>
      <c r="J67" s="195"/>
      <c r="K67" s="195"/>
      <c r="L67" s="195">
        <f t="shared" si="39"/>
        <v>180</v>
      </c>
      <c r="M67" s="196" t="s">
        <v>1293</v>
      </c>
      <c r="N67" s="245">
        <v>0.023</v>
      </c>
      <c r="O67" s="237">
        <f t="shared" si="40"/>
        <v>0.1655</v>
      </c>
      <c r="P67" s="236">
        <f t="shared" si="37"/>
        <v>6.1235</v>
      </c>
      <c r="Q67" s="196" t="s">
        <v>1293</v>
      </c>
      <c r="R67" s="195"/>
      <c r="S67" s="195"/>
      <c r="T67" s="195">
        <f t="shared" si="41"/>
        <v>180</v>
      </c>
      <c r="U67" s="196" t="s">
        <v>1293</v>
      </c>
      <c r="V67" s="237">
        <v>0.04</v>
      </c>
      <c r="W67" s="237">
        <f t="shared" si="42"/>
        <v>0.22</v>
      </c>
      <c r="X67" s="236">
        <f t="shared" si="38"/>
        <v>2.97</v>
      </c>
      <c r="Y67" s="196" t="s">
        <v>1293</v>
      </c>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row>
    <row r="68" spans="1:65" ht="15">
      <c r="A68" s="198" t="s">
        <v>1294</v>
      </c>
      <c r="B68" s="198"/>
      <c r="C68" s="198"/>
      <c r="D68" s="198" t="s">
        <v>1295</v>
      </c>
      <c r="E68" s="248"/>
      <c r="F68" s="198"/>
      <c r="G68" s="198"/>
      <c r="H68" s="198"/>
      <c r="I68" s="198"/>
      <c r="J68" s="195"/>
      <c r="K68" s="195"/>
      <c r="L68" s="195">
        <f t="shared" si="39"/>
        <v>210</v>
      </c>
      <c r="M68" s="196" t="s">
        <v>1296</v>
      </c>
      <c r="N68" s="245">
        <v>0.0585</v>
      </c>
      <c r="O68" s="237">
        <f t="shared" si="40"/>
        <v>0.224</v>
      </c>
      <c r="P68" s="236">
        <f t="shared" si="37"/>
        <v>8.288</v>
      </c>
      <c r="Q68" s="196" t="s">
        <v>1296</v>
      </c>
      <c r="R68" s="195"/>
      <c r="S68" s="195"/>
      <c r="T68" s="195">
        <f t="shared" si="41"/>
        <v>210</v>
      </c>
      <c r="U68" s="196" t="s">
        <v>1296</v>
      </c>
      <c r="V68" s="237">
        <v>0.09</v>
      </c>
      <c r="W68" s="237">
        <f t="shared" si="42"/>
        <v>0.31</v>
      </c>
      <c r="X68" s="236">
        <f t="shared" si="38"/>
        <v>4.185</v>
      </c>
      <c r="Y68" s="196" t="s">
        <v>1296</v>
      </c>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row>
    <row r="69" spans="7:65" ht="15">
      <c r="G69" s="198"/>
      <c r="H69" s="198"/>
      <c r="I69" s="198"/>
      <c r="J69" s="195"/>
      <c r="K69" s="195"/>
      <c r="L69" s="195">
        <f t="shared" si="39"/>
        <v>240</v>
      </c>
      <c r="M69" s="196" t="s">
        <v>1297</v>
      </c>
      <c r="N69" s="245">
        <v>0.1033</v>
      </c>
      <c r="O69" s="237">
        <f t="shared" si="40"/>
        <v>0.32730000000000004</v>
      </c>
      <c r="P69" s="236">
        <f t="shared" si="37"/>
        <v>12.110100000000001</v>
      </c>
      <c r="Q69" s="196" t="s">
        <v>1297</v>
      </c>
      <c r="R69" s="195"/>
      <c r="S69" s="195"/>
      <c r="T69" s="195">
        <f t="shared" si="41"/>
        <v>240</v>
      </c>
      <c r="U69" s="196" t="s">
        <v>1297</v>
      </c>
      <c r="V69" s="237">
        <v>0.14</v>
      </c>
      <c r="W69" s="237">
        <f t="shared" si="42"/>
        <v>0.45</v>
      </c>
      <c r="X69" s="236">
        <f t="shared" si="38"/>
        <v>6.075</v>
      </c>
      <c r="Y69" s="196" t="s">
        <v>1297</v>
      </c>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row>
    <row r="70" spans="1:65" ht="15.75">
      <c r="A70" s="198"/>
      <c r="B70" s="198"/>
      <c r="C70" s="198"/>
      <c r="D70" s="198"/>
      <c r="E70" s="198"/>
      <c r="F70" s="198"/>
      <c r="H70" s="249" t="e">
        <f>IF(G71&lt;0.5,M78,K71)</f>
        <v>#N/A</v>
      </c>
      <c r="I70" s="198"/>
      <c r="J70" s="195"/>
      <c r="K70" s="195"/>
      <c r="L70" s="195">
        <f t="shared" si="39"/>
        <v>270</v>
      </c>
      <c r="M70" s="196" t="s">
        <v>1298</v>
      </c>
      <c r="N70" s="245">
        <v>0.1357</v>
      </c>
      <c r="O70" s="237">
        <f t="shared" si="40"/>
        <v>0.463</v>
      </c>
      <c r="P70" s="236">
        <f t="shared" si="37"/>
        <v>17.131</v>
      </c>
      <c r="Q70" s="196" t="s">
        <v>1298</v>
      </c>
      <c r="R70" s="195"/>
      <c r="S70" s="195"/>
      <c r="T70" s="195">
        <f t="shared" si="41"/>
        <v>270</v>
      </c>
      <c r="U70" s="196" t="s">
        <v>1298</v>
      </c>
      <c r="V70" s="237">
        <v>0.19</v>
      </c>
      <c r="W70" s="237">
        <f t="shared" si="42"/>
        <v>0.64</v>
      </c>
      <c r="X70" s="236">
        <f t="shared" si="38"/>
        <v>8.64</v>
      </c>
      <c r="Y70" s="196" t="s">
        <v>1298</v>
      </c>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row>
    <row r="71" spans="1:65" ht="15.75">
      <c r="A71" s="198"/>
      <c r="B71" s="198"/>
      <c r="C71" s="198"/>
      <c r="D71" s="198"/>
      <c r="F71" s="194" t="s">
        <v>1299</v>
      </c>
      <c r="G71" s="411" t="e">
        <f>'Nutrient Management Planner'!F410</f>
        <v>#N/A</v>
      </c>
      <c r="H71" s="249" t="e">
        <f>IF(G71&gt;1,M78,K71)</f>
        <v>#N/A</v>
      </c>
      <c r="I71" s="198" t="s">
        <v>332</v>
      </c>
      <c r="J71" s="195"/>
      <c r="K71" s="195" t="s">
        <v>332</v>
      </c>
      <c r="L71" s="195">
        <f t="shared" si="39"/>
        <v>300</v>
      </c>
      <c r="M71" s="196" t="s">
        <v>1300</v>
      </c>
      <c r="N71" s="245">
        <v>0.1859</v>
      </c>
      <c r="O71" s="237">
        <f t="shared" si="40"/>
        <v>0.6489</v>
      </c>
      <c r="P71" s="236">
        <f t="shared" si="37"/>
        <v>24.0093</v>
      </c>
      <c r="Q71" s="196" t="s">
        <v>1300</v>
      </c>
      <c r="R71" s="195"/>
      <c r="S71" s="195"/>
      <c r="T71" s="195">
        <f t="shared" si="41"/>
        <v>300</v>
      </c>
      <c r="U71" s="196" t="s">
        <v>1300</v>
      </c>
      <c r="V71" s="237">
        <v>0.14</v>
      </c>
      <c r="W71" s="237">
        <f t="shared" si="42"/>
        <v>0.78</v>
      </c>
      <c r="X71" s="236">
        <f t="shared" si="38"/>
        <v>10.530000000000001</v>
      </c>
      <c r="Y71" s="196" t="s">
        <v>1300</v>
      </c>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row>
    <row r="72" spans="1:65" ht="15">
      <c r="A72" s="198" t="s">
        <v>466</v>
      </c>
      <c r="B72" s="198"/>
      <c r="C72" s="198"/>
      <c r="D72" s="198"/>
      <c r="E72" s="198"/>
      <c r="F72" s="198"/>
      <c r="G72" s="198"/>
      <c r="H72" s="198"/>
      <c r="I72" s="198"/>
      <c r="J72" s="195"/>
      <c r="K72" s="195"/>
      <c r="L72" s="195">
        <f t="shared" si="39"/>
        <v>330</v>
      </c>
      <c r="M72" s="196" t="s">
        <v>1301</v>
      </c>
      <c r="N72" s="245">
        <v>0.2016</v>
      </c>
      <c r="O72" s="237">
        <f t="shared" si="40"/>
        <v>0.8505</v>
      </c>
      <c r="P72" s="236">
        <f t="shared" si="37"/>
        <v>31.468500000000002</v>
      </c>
      <c r="Q72" s="196" t="s">
        <v>1301</v>
      </c>
      <c r="R72" s="195"/>
      <c r="S72" s="195"/>
      <c r="T72" s="195">
        <f t="shared" si="41"/>
        <v>330</v>
      </c>
      <c r="U72" s="196" t="s">
        <v>1301</v>
      </c>
      <c r="V72" s="237">
        <v>0.12</v>
      </c>
      <c r="W72" s="237">
        <f t="shared" si="42"/>
        <v>0.9</v>
      </c>
      <c r="X72" s="236">
        <f t="shared" si="38"/>
        <v>12.15</v>
      </c>
      <c r="Y72" s="196" t="s">
        <v>1301</v>
      </c>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row>
    <row r="73" spans="1:65" ht="15">
      <c r="A73" s="198" t="s">
        <v>467</v>
      </c>
      <c r="B73" s="198"/>
      <c r="C73" s="214" t="s">
        <v>468</v>
      </c>
      <c r="D73" s="198"/>
      <c r="E73" s="214" t="s">
        <v>468</v>
      </c>
      <c r="F73" s="198"/>
      <c r="G73" s="214" t="s">
        <v>469</v>
      </c>
      <c r="H73" s="198"/>
      <c r="I73" s="198"/>
      <c r="J73" s="195"/>
      <c r="K73" s="195"/>
      <c r="L73" s="195">
        <f t="shared" si="39"/>
        <v>360</v>
      </c>
      <c r="M73" s="196" t="s">
        <v>1302</v>
      </c>
      <c r="N73" s="245">
        <v>0.1495</v>
      </c>
      <c r="O73" s="237">
        <f t="shared" si="40"/>
        <v>1</v>
      </c>
      <c r="P73" s="236">
        <f t="shared" si="37"/>
        <v>37</v>
      </c>
      <c r="Q73" s="196" t="s">
        <v>1302</v>
      </c>
      <c r="R73" s="195"/>
      <c r="S73" s="195"/>
      <c r="T73" s="195">
        <f t="shared" si="41"/>
        <v>360</v>
      </c>
      <c r="U73" s="196" t="s">
        <v>1302</v>
      </c>
      <c r="V73" s="237">
        <v>0.1</v>
      </c>
      <c r="W73" s="237">
        <f t="shared" si="42"/>
        <v>1</v>
      </c>
      <c r="X73" s="236">
        <f t="shared" si="38"/>
        <v>13.5</v>
      </c>
      <c r="Y73" s="196" t="s">
        <v>1302</v>
      </c>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row>
    <row r="74" spans="1:65" ht="15">
      <c r="A74" s="198" t="s">
        <v>470</v>
      </c>
      <c r="B74" s="198"/>
      <c r="C74" s="214" t="s">
        <v>471</v>
      </c>
      <c r="D74" s="198"/>
      <c r="E74" s="214" t="s">
        <v>472</v>
      </c>
      <c r="F74" s="198"/>
      <c r="G74" s="214" t="s">
        <v>472</v>
      </c>
      <c r="H74" s="198"/>
      <c r="I74" s="198"/>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row>
    <row r="75" spans="1:65" ht="15">
      <c r="A75" s="214" t="s">
        <v>473</v>
      </c>
      <c r="B75" s="198"/>
      <c r="C75" s="206">
        <v>0.7</v>
      </c>
      <c r="D75" s="214"/>
      <c r="E75" s="206">
        <v>0.9</v>
      </c>
      <c r="F75" s="214"/>
      <c r="G75" s="206">
        <v>1</v>
      </c>
      <c r="H75" s="198"/>
      <c r="I75" s="198"/>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row>
    <row r="76" spans="1:65" ht="15">
      <c r="A76" s="214" t="s">
        <v>475</v>
      </c>
      <c r="B76" s="198"/>
      <c r="C76" s="206">
        <v>0.6</v>
      </c>
      <c r="D76" s="214"/>
      <c r="E76" s="206">
        <v>0.8</v>
      </c>
      <c r="F76" s="214"/>
      <c r="G76" s="206">
        <v>0.95</v>
      </c>
      <c r="H76" s="198"/>
      <c r="I76" s="198"/>
      <c r="J76" s="195"/>
      <c r="K76" s="195"/>
      <c r="L76" s="195"/>
      <c r="M76" s="219" t="s">
        <v>1303</v>
      </c>
      <c r="N76" s="237" t="e">
        <f>VLOOKUP($C$7,L62:O73,4)</f>
        <v>#VALUE!</v>
      </c>
      <c r="O76" s="195" t="s">
        <v>1305</v>
      </c>
      <c r="P76" s="195"/>
      <c r="Q76" s="195"/>
      <c r="R76" s="195"/>
      <c r="S76" s="195"/>
      <c r="T76" s="195"/>
      <c r="U76" s="219" t="s">
        <v>1303</v>
      </c>
      <c r="V76" s="237" t="e">
        <f>VLOOKUP($C$7,T62:W73,4)</f>
        <v>#VALUE!</v>
      </c>
      <c r="W76" s="195" t="s">
        <v>1306</v>
      </c>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row>
    <row r="77" spans="1:65" ht="15">
      <c r="A77" s="214" t="s">
        <v>477</v>
      </c>
      <c r="B77" s="198"/>
      <c r="C77" s="206">
        <v>0.5</v>
      </c>
      <c r="D77" s="214"/>
      <c r="E77" s="206">
        <v>0.7</v>
      </c>
      <c r="F77" s="214"/>
      <c r="G77" s="206">
        <v>0.9</v>
      </c>
      <c r="H77" s="198"/>
      <c r="I77" s="198"/>
      <c r="J77" s="195"/>
      <c r="K77" s="195"/>
      <c r="L77" s="195"/>
      <c r="M77" s="195"/>
      <c r="N77" s="237">
        <f>SUM(N68:N73)</f>
        <v>0.8345</v>
      </c>
      <c r="O77" s="195"/>
      <c r="P77" s="195"/>
      <c r="Q77" s="195"/>
      <c r="R77" s="195"/>
      <c r="S77" s="195"/>
      <c r="T77" s="195"/>
      <c r="U77" s="195"/>
      <c r="V77" s="237">
        <f>SUM(V68:V73)</f>
        <v>0.78</v>
      </c>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row>
    <row r="78" spans="1:65" ht="15.75">
      <c r="A78" s="198"/>
      <c r="B78" s="198"/>
      <c r="C78" s="198"/>
      <c r="D78" s="198"/>
      <c r="E78" s="198"/>
      <c r="F78" s="198"/>
      <c r="G78" s="198"/>
      <c r="H78" s="198"/>
      <c r="I78" s="198"/>
      <c r="J78" s="195"/>
      <c r="K78" s="195"/>
      <c r="L78" s="195"/>
      <c r="M78" s="250" t="s">
        <v>1307</v>
      </c>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row>
    <row r="79" spans="1:65" ht="15.75">
      <c r="A79" s="193" t="s">
        <v>1308</v>
      </c>
      <c r="B79" s="198"/>
      <c r="C79" s="198"/>
      <c r="D79" s="198"/>
      <c r="E79" s="198"/>
      <c r="F79" s="198"/>
      <c r="G79" s="198"/>
      <c r="H79" s="198"/>
      <c r="I79" s="198"/>
      <c r="J79" s="195"/>
      <c r="K79" s="195"/>
      <c r="L79" s="195"/>
      <c r="M79" s="195"/>
      <c r="N79" s="195" t="s">
        <v>1309</v>
      </c>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row>
    <row r="80" spans="1:65" ht="15">
      <c r="A80" s="260" t="s">
        <v>479</v>
      </c>
      <c r="B80" s="261"/>
      <c r="C80" s="261"/>
      <c r="D80" s="1425" t="s">
        <v>1310</v>
      </c>
      <c r="E80" s="1425"/>
      <c r="F80" s="1425" t="s">
        <v>1311</v>
      </c>
      <c r="G80" s="1426"/>
      <c r="H80" s="1418" t="s">
        <v>1312</v>
      </c>
      <c r="I80" s="1419"/>
      <c r="J80" s="195"/>
      <c r="K80" s="195"/>
      <c r="L80" s="195"/>
      <c r="M80" s="195"/>
      <c r="N80" s="195" t="s">
        <v>1313</v>
      </c>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row>
    <row r="81" spans="1:65" ht="15">
      <c r="A81" s="262" t="e">
        <f>$AW$17</f>
        <v>#N/A</v>
      </c>
      <c r="B81" s="261" t="s">
        <v>308</v>
      </c>
      <c r="C81" s="260" t="s">
        <v>181</v>
      </c>
      <c r="D81" s="263" t="e">
        <f>(A81/L84)</f>
        <v>#N/A</v>
      </c>
      <c r="E81" s="261" t="s">
        <v>308</v>
      </c>
      <c r="F81" s="790" t="e">
        <f>IF(C107&gt;0,+C107,A81/(L87/1000))</f>
        <v>#N/A</v>
      </c>
      <c r="G81" s="261" t="s">
        <v>308</v>
      </c>
      <c r="H81" s="262" t="e">
        <f>A81/L86</f>
        <v>#N/A</v>
      </c>
      <c r="I81" s="261" t="s">
        <v>308</v>
      </c>
      <c r="J81" s="195"/>
      <c r="K81" s="195"/>
      <c r="L81" s="195"/>
      <c r="M81" s="195"/>
      <c r="N81" s="195" t="s">
        <v>1314</v>
      </c>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row>
    <row r="82" spans="1:65" ht="15">
      <c r="A82" s="262">
        <f>W31*0.6</f>
        <v>0</v>
      </c>
      <c r="B82" s="261" t="s">
        <v>308</v>
      </c>
      <c r="C82" s="260" t="s">
        <v>189</v>
      </c>
      <c r="D82" s="263" t="e">
        <f>(A82/L84)</f>
        <v>#N/A</v>
      </c>
      <c r="E82" s="261" t="s">
        <v>308</v>
      </c>
      <c r="F82" s="264" t="e">
        <f>IF(D107&gt;0,+D107,A82/(L87/1000))</f>
        <v>#N/A</v>
      </c>
      <c r="G82" s="261" t="s">
        <v>308</v>
      </c>
      <c r="H82" s="262" t="e">
        <f>A82/L86</f>
        <v>#N/A</v>
      </c>
      <c r="I82" s="261" t="s">
        <v>308</v>
      </c>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row>
    <row r="83" spans="1:65" ht="15">
      <c r="A83" s="262">
        <f>Y31*0.7</f>
        <v>0</v>
      </c>
      <c r="B83" s="261" t="s">
        <v>308</v>
      </c>
      <c r="C83" s="260" t="s">
        <v>188</v>
      </c>
      <c r="D83" s="263" t="e">
        <f>(A83/L84)</f>
        <v>#N/A</v>
      </c>
      <c r="E83" s="261" t="s">
        <v>308</v>
      </c>
      <c r="F83" s="264" t="e">
        <f>IF(E107&gt;0,+E107,A83/(L87/1000))</f>
        <v>#N/A</v>
      </c>
      <c r="G83" s="261" t="s">
        <v>308</v>
      </c>
      <c r="H83" s="262" t="e">
        <f>A83/L86</f>
        <v>#N/A</v>
      </c>
      <c r="I83" s="261" t="s">
        <v>308</v>
      </c>
      <c r="J83" s="195"/>
      <c r="K83" s="195"/>
      <c r="L83" s="204" t="e">
        <f>IF(D61=1,SUM(B40:B44),SUM(H40:H44))</f>
        <v>#N/A</v>
      </c>
      <c r="M83" s="195" t="s">
        <v>336</v>
      </c>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row>
    <row r="84" spans="1:65" ht="15">
      <c r="A84" s="198"/>
      <c r="B84" s="198"/>
      <c r="C84" s="198"/>
      <c r="D84" s="198"/>
      <c r="E84" s="198"/>
      <c r="F84" s="791"/>
      <c r="G84" s="198"/>
      <c r="H84" s="198"/>
      <c r="I84" s="198"/>
      <c r="J84" s="195"/>
      <c r="K84" s="195"/>
      <c r="L84" s="204" t="e">
        <f>L83*27</f>
        <v>#N/A</v>
      </c>
      <c r="M84" s="195" t="s">
        <v>1315</v>
      </c>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row>
    <row r="85" spans="1:65" ht="15">
      <c r="A85" s="198" t="s">
        <v>503</v>
      </c>
      <c r="B85" s="198"/>
      <c r="C85" s="198"/>
      <c r="D85" s="198"/>
      <c r="E85" s="198"/>
      <c r="F85" s="198"/>
      <c r="G85" s="198"/>
      <c r="H85" s="198"/>
      <c r="I85" s="198"/>
      <c r="J85" s="195"/>
      <c r="K85" s="195"/>
      <c r="L85" s="236" t="e">
        <f>L84/43560</f>
        <v>#N/A</v>
      </c>
      <c r="M85" s="195" t="s">
        <v>266</v>
      </c>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row>
    <row r="86" spans="1:65" ht="15">
      <c r="A86" s="198" t="s">
        <v>504</v>
      </c>
      <c r="B86" s="198"/>
      <c r="C86" s="198"/>
      <c r="D86" s="198"/>
      <c r="E86" s="198"/>
      <c r="F86" s="198"/>
      <c r="G86" s="198"/>
      <c r="H86" s="198"/>
      <c r="I86" s="198"/>
      <c r="J86" s="195"/>
      <c r="K86" s="195"/>
      <c r="L86" s="236" t="e">
        <f>L85*12</f>
        <v>#N/A</v>
      </c>
      <c r="M86" s="195" t="s">
        <v>1316</v>
      </c>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row>
    <row r="87" spans="1:65" ht="15">
      <c r="A87" s="198" t="s">
        <v>505</v>
      </c>
      <c r="B87" s="198"/>
      <c r="C87" s="198"/>
      <c r="D87" s="198"/>
      <c r="E87" s="198"/>
      <c r="F87" s="198"/>
      <c r="G87" s="198"/>
      <c r="H87" s="198"/>
      <c r="I87" s="198"/>
      <c r="J87" s="195"/>
      <c r="K87" s="195"/>
      <c r="L87" s="204" t="e">
        <f>L83*202</f>
        <v>#N/A</v>
      </c>
      <c r="M87" s="195" t="s">
        <v>1317</v>
      </c>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row>
    <row r="88" spans="1:65" ht="15">
      <c r="A88" s="198" t="s">
        <v>506</v>
      </c>
      <c r="B88" s="198"/>
      <c r="C88" s="198"/>
      <c r="D88" s="198"/>
      <c r="E88" s="198"/>
      <c r="F88" s="198"/>
      <c r="G88" s="198"/>
      <c r="H88" s="198"/>
      <c r="I88" s="198"/>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row>
    <row r="89" spans="1:65" ht="15">
      <c r="A89" s="198" t="s">
        <v>507</v>
      </c>
      <c r="B89" s="198"/>
      <c r="C89" s="198"/>
      <c r="D89" s="198"/>
      <c r="E89" s="198"/>
      <c r="F89" s="198"/>
      <c r="G89" s="198"/>
      <c r="H89" s="198"/>
      <c r="I89" s="198"/>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row>
    <row r="90" spans="1:65" ht="15">
      <c r="A90" s="198" t="s">
        <v>508</v>
      </c>
      <c r="B90" s="198"/>
      <c r="C90" s="198"/>
      <c r="D90" s="198"/>
      <c r="E90" s="198"/>
      <c r="F90" s="198"/>
      <c r="G90" s="198"/>
      <c r="H90" s="198"/>
      <c r="I90" s="198"/>
      <c r="J90" s="195"/>
      <c r="K90" s="195"/>
      <c r="L90" s="195" t="s">
        <v>332</v>
      </c>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row>
    <row r="91" spans="1:65" ht="15">
      <c r="A91" s="198" t="s">
        <v>509</v>
      </c>
      <c r="B91" s="198"/>
      <c r="C91" s="198"/>
      <c r="D91" s="198"/>
      <c r="E91" s="198"/>
      <c r="F91" s="198"/>
      <c r="G91" s="198"/>
      <c r="H91" s="198"/>
      <c r="I91" s="198"/>
      <c r="J91" s="195"/>
      <c r="K91" s="195"/>
      <c r="L91" s="195" t="s">
        <v>332</v>
      </c>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row>
    <row r="92" spans="1:65" ht="15">
      <c r="A92" s="198" t="s">
        <v>510</v>
      </c>
      <c r="B92" s="198"/>
      <c r="C92" s="198"/>
      <c r="D92" s="198"/>
      <c r="E92" s="198"/>
      <c r="F92" s="198"/>
      <c r="G92" s="198"/>
      <c r="H92" s="198"/>
      <c r="I92" s="198"/>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row>
    <row r="93" spans="1:65" ht="15">
      <c r="A93" s="198"/>
      <c r="B93" s="198"/>
      <c r="C93" s="198"/>
      <c r="D93" s="198"/>
      <c r="E93" s="198"/>
      <c r="F93" s="198"/>
      <c r="G93" s="198"/>
      <c r="H93" s="198"/>
      <c r="I93" s="198"/>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row>
    <row r="94" spans="1:65" ht="15.75">
      <c r="A94" s="282" t="s">
        <v>511</v>
      </c>
      <c r="B94" s="198" t="s">
        <v>512</v>
      </c>
      <c r="C94" s="198"/>
      <c r="D94" s="198"/>
      <c r="E94" s="198"/>
      <c r="F94" s="198"/>
      <c r="G94" s="198"/>
      <c r="H94" s="198"/>
      <c r="I94" s="198"/>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row>
    <row r="95" spans="1:65" ht="15">
      <c r="A95" s="195"/>
      <c r="B95" s="198" t="s">
        <v>1318</v>
      </c>
      <c r="C95" s="198"/>
      <c r="D95" s="198" t="s">
        <v>1319</v>
      </c>
      <c r="E95" s="198"/>
      <c r="F95" s="198"/>
      <c r="G95" s="198"/>
      <c r="H95" s="198"/>
      <c r="I95" s="198"/>
      <c r="J95" s="195"/>
      <c r="K95" s="195"/>
      <c r="L95" s="422" t="e">
        <f>L84*D81</f>
        <v>#N/A</v>
      </c>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row>
    <row r="96" spans="1:65" ht="15">
      <c r="A96" s="195"/>
      <c r="B96" s="198" t="s">
        <v>514</v>
      </c>
      <c r="C96" s="198"/>
      <c r="D96" s="198"/>
      <c r="E96" s="198"/>
      <c r="F96" s="198"/>
      <c r="G96" s="198"/>
      <c r="H96" s="198"/>
      <c r="I96" s="198"/>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row>
    <row r="97" spans="1:65" ht="1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row>
    <row r="98" spans="1:65" ht="15">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row>
    <row r="99" spans="1:65" ht="15">
      <c r="A99" s="195"/>
      <c r="B99" s="195"/>
      <c r="C99" s="198"/>
      <c r="D99" s="198"/>
      <c r="E99" s="198"/>
      <c r="F99" s="198"/>
      <c r="G99" s="198"/>
      <c r="H99" s="198"/>
      <c r="I99" s="198"/>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row>
    <row r="100" spans="1:65" ht="15">
      <c r="A100" s="251" t="s">
        <v>1320</v>
      </c>
      <c r="B100" s="198"/>
      <c r="C100" s="198"/>
      <c r="D100" s="198"/>
      <c r="E100" s="198"/>
      <c r="F100" s="198"/>
      <c r="G100" s="198"/>
      <c r="H100" s="198"/>
      <c r="I100" s="198"/>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row>
    <row r="101" spans="1:65" ht="15">
      <c r="A101" s="251" t="s">
        <v>1321</v>
      </c>
      <c r="B101" s="198"/>
      <c r="C101" s="198"/>
      <c r="D101" s="198"/>
      <c r="E101" s="198"/>
      <c r="F101" s="198"/>
      <c r="G101" s="198"/>
      <c r="H101" s="198"/>
      <c r="I101" s="198"/>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row>
    <row r="102" spans="1:65" ht="15">
      <c r="A102" s="198" t="s">
        <v>1322</v>
      </c>
      <c r="B102" s="198"/>
      <c r="C102" s="198"/>
      <c r="D102" s="198"/>
      <c r="E102" s="198"/>
      <c r="F102" s="198"/>
      <c r="G102" s="198"/>
      <c r="H102" s="198"/>
      <c r="I102" s="198"/>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row>
    <row r="103" spans="1:65" ht="15.75">
      <c r="A103" s="198"/>
      <c r="B103" s="198"/>
      <c r="C103" s="243" t="s">
        <v>520</v>
      </c>
      <c r="D103" s="198"/>
      <c r="E103" s="198"/>
      <c r="F103" s="198"/>
      <c r="G103" s="198"/>
      <c r="H103" s="198"/>
      <c r="I103" s="198"/>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row>
    <row r="104" spans="1:65" ht="15">
      <c r="A104" s="198"/>
      <c r="B104" s="198"/>
      <c r="C104" s="198"/>
      <c r="D104" s="198"/>
      <c r="E104" s="198"/>
      <c r="F104" s="198"/>
      <c r="G104" s="198"/>
      <c r="H104" s="198"/>
      <c r="I104" s="198"/>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row>
    <row r="105" spans="1:65" ht="15">
      <c r="A105" s="198"/>
      <c r="B105" s="198"/>
      <c r="C105" s="214" t="s">
        <v>181</v>
      </c>
      <c r="D105" s="214" t="s">
        <v>927</v>
      </c>
      <c r="E105" s="214" t="s">
        <v>188</v>
      </c>
      <c r="F105" s="198"/>
      <c r="G105" s="198"/>
      <c r="H105" s="198"/>
      <c r="I105" s="198"/>
      <c r="J105" s="195"/>
      <c r="K105" s="195"/>
      <c r="L105" s="195" t="b">
        <f>ISERR(Q127)</f>
        <v>0</v>
      </c>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row>
    <row r="106" spans="1:65" ht="16.5" thickBot="1">
      <c r="A106" s="634"/>
      <c r="B106" s="635" t="s">
        <v>1323</v>
      </c>
      <c r="C106" s="636">
        <f>'Nutrient Management Planner'!C20</f>
        <v>0</v>
      </c>
      <c r="D106" s="636">
        <f>'Nutrient Management Planner'!D20</f>
        <v>0</v>
      </c>
      <c r="E106" s="636">
        <f>'Nutrient Management Planner'!E20</f>
        <v>0</v>
      </c>
      <c r="F106" s="634" t="s">
        <v>522</v>
      </c>
      <c r="G106" s="634"/>
      <c r="H106" s="198"/>
      <c r="I106" s="198"/>
      <c r="J106" s="195"/>
      <c r="K106" s="195" t="s">
        <v>332</v>
      </c>
      <c r="L106" s="195" t="s">
        <v>523</v>
      </c>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row>
    <row r="107" spans="1:65" ht="15.75">
      <c r="A107" s="639"/>
      <c r="B107" s="640" t="s">
        <v>1324</v>
      </c>
      <c r="C107" s="641">
        <f>'Nutrient Management Planner'!R90</f>
        <v>0</v>
      </c>
      <c r="D107" s="641">
        <f>'Nutrient Management Planner'!S90</f>
        <v>0</v>
      </c>
      <c r="E107" s="641">
        <f>'Nutrient Management Planner'!T90</f>
        <v>0</v>
      </c>
      <c r="F107" s="639" t="s">
        <v>926</v>
      </c>
      <c r="G107" s="642"/>
      <c r="H107" s="198"/>
      <c r="I107" s="198"/>
      <c r="J107" s="195"/>
      <c r="K107" s="195"/>
      <c r="L107" s="195" t="s">
        <v>332</v>
      </c>
      <c r="M107" s="212" t="str">
        <f>C4</f>
        <v>Golden Valley</v>
      </c>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row>
    <row r="108" spans="1:65" ht="15">
      <c r="A108" s="638"/>
      <c r="B108" s="638"/>
      <c r="C108" s="637"/>
      <c r="D108" s="260" t="s">
        <v>182</v>
      </c>
      <c r="E108" s="261"/>
      <c r="F108" s="261"/>
      <c r="G108" s="261"/>
      <c r="H108" s="198"/>
      <c r="I108" s="198"/>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row>
    <row r="109" spans="1:65" ht="15">
      <c r="A109" s="198"/>
      <c r="B109" s="198"/>
      <c r="C109" s="251" t="s">
        <v>525</v>
      </c>
      <c r="D109" s="198"/>
      <c r="E109" s="198"/>
      <c r="F109" s="198"/>
      <c r="G109" s="198"/>
      <c r="H109" s="198"/>
      <c r="I109" s="198"/>
      <c r="J109" s="195"/>
      <c r="K109" s="195"/>
      <c r="L109" s="195"/>
      <c r="M109" s="195"/>
      <c r="N109" s="195" t="e">
        <f>G42/B40</f>
        <v>#DIV/0!</v>
      </c>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row>
    <row r="110" spans="1:65" ht="15">
      <c r="A110" s="198"/>
      <c r="B110" s="198"/>
      <c r="C110" s="198"/>
      <c r="D110" s="198"/>
      <c r="E110" s="198"/>
      <c r="F110" s="198"/>
      <c r="G110" s="198"/>
      <c r="H110" s="198"/>
      <c r="I110" s="198"/>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row>
    <row r="111" spans="1:65" ht="15.75">
      <c r="A111" s="198"/>
      <c r="B111" s="200"/>
      <c r="C111" s="227"/>
      <c r="D111" s="247"/>
      <c r="E111" s="198"/>
      <c r="F111" s="198"/>
      <c r="G111" s="198"/>
      <c r="H111" s="198" t="s">
        <v>1325</v>
      </c>
      <c r="I111" s="198"/>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row>
    <row r="112" spans="1:65" ht="15">
      <c r="A112" s="198"/>
      <c r="B112" s="198"/>
      <c r="C112" s="198"/>
      <c r="D112" s="198"/>
      <c r="E112" s="198" t="s">
        <v>1326</v>
      </c>
      <c r="F112" s="198"/>
      <c r="G112" s="198"/>
      <c r="H112" s="198" t="s">
        <v>1327</v>
      </c>
      <c r="I112" s="198"/>
      <c r="J112" s="195"/>
      <c r="K112" s="195"/>
      <c r="L112" s="195"/>
      <c r="M112" s="195"/>
      <c r="N112" s="195"/>
      <c r="O112" s="195"/>
      <c r="P112" s="195"/>
      <c r="Q112" s="195"/>
      <c r="R112" s="195"/>
      <c r="S112" s="195"/>
      <c r="T112" s="195"/>
      <c r="U112" s="195"/>
      <c r="V112" s="195"/>
      <c r="W112" s="195"/>
      <c r="X112" s="195"/>
      <c r="Y112" s="195"/>
      <c r="Z112" s="195"/>
      <c r="AA112" s="195"/>
      <c r="AB112" s="195"/>
      <c r="AC112" s="195" t="s">
        <v>528</v>
      </c>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row>
    <row r="113" spans="1:65" ht="15">
      <c r="A113" s="198"/>
      <c r="B113" s="198"/>
      <c r="C113" s="198"/>
      <c r="D113" s="198"/>
      <c r="E113" s="198"/>
      <c r="F113" s="198" t="s">
        <v>1328</v>
      </c>
      <c r="G113" s="198"/>
      <c r="H113" s="198" t="s">
        <v>1329</v>
      </c>
      <c r="I113" s="198"/>
      <c r="J113" s="195"/>
      <c r="K113" s="195"/>
      <c r="L113" s="195" t="s">
        <v>531</v>
      </c>
      <c r="M113" s="195"/>
      <c r="N113" s="195"/>
      <c r="O113" s="195"/>
      <c r="P113" s="195"/>
      <c r="Q113" s="195"/>
      <c r="R113" s="195" t="s">
        <v>532</v>
      </c>
      <c r="S113" s="195"/>
      <c r="T113" s="195"/>
      <c r="U113" s="195"/>
      <c r="V113" s="195"/>
      <c r="W113" s="195"/>
      <c r="X113" s="195" t="s">
        <v>533</v>
      </c>
      <c r="Y113" s="195"/>
      <c r="Z113" s="195"/>
      <c r="AA113" s="195"/>
      <c r="AB113" s="195"/>
      <c r="AC113" s="195" t="s">
        <v>534</v>
      </c>
      <c r="AD113" s="195"/>
      <c r="AE113" s="195"/>
      <c r="AF113" s="195"/>
      <c r="AG113" s="195" t="s">
        <v>535</v>
      </c>
      <c r="AH113" s="195"/>
      <c r="AI113" s="195"/>
      <c r="AJ113" s="195" t="s">
        <v>536</v>
      </c>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row>
    <row r="114" spans="1:65" ht="15">
      <c r="A114" s="214" t="s">
        <v>537</v>
      </c>
      <c r="B114" s="198"/>
      <c r="C114" s="214" t="s">
        <v>538</v>
      </c>
      <c r="D114" s="214" t="s">
        <v>239</v>
      </c>
      <c r="E114" s="214" t="s">
        <v>306</v>
      </c>
      <c r="F114" s="214" t="s">
        <v>1317</v>
      </c>
      <c r="G114" s="214" t="s">
        <v>1330</v>
      </c>
      <c r="H114" s="214" t="s">
        <v>181</v>
      </c>
      <c r="I114" s="214" t="s">
        <v>188</v>
      </c>
      <c r="J114" s="195"/>
      <c r="K114" s="196" t="s">
        <v>181</v>
      </c>
      <c r="L114" s="196" t="s">
        <v>189</v>
      </c>
      <c r="M114" s="196" t="s">
        <v>188</v>
      </c>
      <c r="N114" s="195"/>
      <c r="O114" s="195"/>
      <c r="P114" s="196" t="s">
        <v>538</v>
      </c>
      <c r="Q114" s="196" t="s">
        <v>181</v>
      </c>
      <c r="R114" s="196" t="s">
        <v>189</v>
      </c>
      <c r="S114" s="196" t="s">
        <v>188</v>
      </c>
      <c r="T114" s="195"/>
      <c r="U114" s="195"/>
      <c r="V114" s="195"/>
      <c r="W114" s="195"/>
      <c r="X114" s="195" t="s">
        <v>541</v>
      </c>
      <c r="Y114" s="195"/>
      <c r="Z114" s="195"/>
      <c r="AA114" s="195"/>
      <c r="AB114" s="195"/>
      <c r="AC114" s="196" t="s">
        <v>181</v>
      </c>
      <c r="AD114" s="196" t="s">
        <v>189</v>
      </c>
      <c r="AE114" s="196" t="s">
        <v>188</v>
      </c>
      <c r="AF114" s="196" t="s">
        <v>181</v>
      </c>
      <c r="AG114" s="196" t="s">
        <v>189</v>
      </c>
      <c r="AH114" s="196" t="s">
        <v>188</v>
      </c>
      <c r="AI114" s="196" t="s">
        <v>181</v>
      </c>
      <c r="AJ114" s="196" t="s">
        <v>189</v>
      </c>
      <c r="AK114" s="196" t="s">
        <v>188</v>
      </c>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row>
    <row r="115" spans="1:65" ht="15.75">
      <c r="A115" s="129" t="s">
        <v>1065</v>
      </c>
      <c r="B115" s="198"/>
      <c r="C115" s="168">
        <f>IF(A115='Nutrient Management Planner'!B7,'Nutrient Management Planner'!D7,IF(A115='Nutrient Management Planner'!B8,'Nutrient Management Planner'!D8,IF(A115='Nutrient Management Planner'!B9,'Nutrient Management Planner'!D9,IF(A115='Nutrient Management Planner'!B10,'Nutrient Management Planner'!D10,IF(A115='Nutrient Management Planner'!B11,'Nutrient Management Planner'!D11,IF(A115='Nutrient Management Planner'!B12,'Nutrient Management Planner'!D12,0))))))</f>
        <v>0</v>
      </c>
      <c r="D115" s="216" t="e">
        <f aca="true" t="shared" si="43" ref="D115:D142">IF(ISERR($L$84/E115),0,$L$84/E115)</f>
        <v>#N/A</v>
      </c>
      <c r="E115" s="216" t="e">
        <f>IF(ISERR(AE115/$D$83),0,(AE115/$D$83))</f>
        <v>#N/A</v>
      </c>
      <c r="F115" s="216" t="e">
        <f aca="true" t="shared" si="44" ref="F115:F142">E115*7.48053</f>
        <v>#N/A</v>
      </c>
      <c r="G115" s="206" t="e">
        <f aca="true" t="shared" si="45" ref="G115:G142">(E115/43560)*12</f>
        <v>#N/A</v>
      </c>
      <c r="H115" s="232" t="e">
        <f aca="true" t="shared" si="46" ref="H115:H126">IF(AF115&lt;1,0,AF115)</f>
        <v>#N/A</v>
      </c>
      <c r="I115" s="232" t="e">
        <f aca="true" t="shared" si="47" ref="I115:I126">IF(AH115&lt;1,0,AH115)</f>
        <v>#N/A</v>
      </c>
      <c r="J115" s="195"/>
      <c r="K115" s="207">
        <v>0</v>
      </c>
      <c r="L115" s="207">
        <f>(R115-(0.7*D106))*P115</f>
        <v>0</v>
      </c>
      <c r="M115" s="207">
        <f>(S115-(0.175*E106))*P115</f>
        <v>0</v>
      </c>
      <c r="N115" s="195" t="s">
        <v>542</v>
      </c>
      <c r="O115" s="195"/>
      <c r="P115" s="195">
        <f aca="true" t="shared" si="48" ref="P115:P142">IF(ISERR(+C115),0,+C115)</f>
        <v>0</v>
      </c>
      <c r="Q115" s="195">
        <v>0</v>
      </c>
      <c r="R115" s="195">
        <v>21</v>
      </c>
      <c r="S115" s="195">
        <v>52.5</v>
      </c>
      <c r="T115" s="195" t="s">
        <v>542</v>
      </c>
      <c r="U115" s="195"/>
      <c r="V115" s="195"/>
      <c r="W115" s="195"/>
      <c r="X115" s="204" t="e">
        <f aca="true" t="shared" si="49" ref="X115:X142">D115*H115</f>
        <v>#N/A</v>
      </c>
      <c r="Y115" s="204" t="e">
        <v>#VALUE!</v>
      </c>
      <c r="Z115" s="204" t="e">
        <f aca="true" t="shared" si="50" ref="Z115:Z142">D115*I115</f>
        <v>#N/A</v>
      </c>
      <c r="AA115" s="195"/>
      <c r="AB115" s="195" t="s">
        <v>542</v>
      </c>
      <c r="AC115" s="204">
        <f aca="true" t="shared" si="51" ref="AC115:AC126">IF(K115&lt;1,0,K115)</f>
        <v>0</v>
      </c>
      <c r="AD115" s="204">
        <f aca="true" t="shared" si="52" ref="AD115:AD126">IF(L115&lt;1,0,L115)</f>
        <v>0</v>
      </c>
      <c r="AE115" s="204">
        <f aca="true" t="shared" si="53" ref="AE115:AE126">IF(M115&lt;1,0,M115)</f>
        <v>0</v>
      </c>
      <c r="AF115" s="207" t="e">
        <f aca="true" t="shared" si="54" ref="AF115:AF142">IF(+AC115-AI115&lt;1,0,(+AC115-AI115))</f>
        <v>#N/A</v>
      </c>
      <c r="AG115" s="207" t="e">
        <f aca="true" t="shared" si="55" ref="AG115:AG142">IF(+AD115-AJ115&lt;1,0,(+AD115-AJ115))</f>
        <v>#N/A</v>
      </c>
      <c r="AH115" s="207" t="e">
        <f aca="true" t="shared" si="56" ref="AH115:AH142">IF(+AE115-AK115&lt;1,0,(+AE115-AK115))</f>
        <v>#N/A</v>
      </c>
      <c r="AI115" s="207" t="e">
        <f aca="true" t="shared" si="57" ref="AI115:AI142">E115*$D$81</f>
        <v>#N/A</v>
      </c>
      <c r="AJ115" s="207" t="e">
        <f aca="true" t="shared" si="58" ref="AJ115:AJ142">E115*$D$82</f>
        <v>#N/A</v>
      </c>
      <c r="AK115" s="207" t="e">
        <f aca="true" t="shared" si="59" ref="AK115:AK142">E115*$D$83</f>
        <v>#N/A</v>
      </c>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row>
    <row r="116" spans="1:65" ht="15.75">
      <c r="A116" s="129" t="s">
        <v>1044</v>
      </c>
      <c r="B116" s="198"/>
      <c r="C116" s="168">
        <f>IF(A116='Nutrient Management Planner'!B7,'Nutrient Management Planner'!D7,IF(A116='Nutrient Management Planner'!B8,'Nutrient Management Planner'!D8,IF(A116='Nutrient Management Planner'!B9,'Nutrient Management Planner'!D9,IF(A116='Nutrient Management Planner'!B10,'Nutrient Management Planner'!D10,IF(A116='Nutrient Management Planner'!B11,'Nutrient Management Planner'!D11,IF(A116='Nutrient Management Planner'!B12,'Nutrient Management Planner'!D12,0))))))</f>
        <v>0</v>
      </c>
      <c r="D116" s="216" t="e">
        <f t="shared" si="43"/>
        <v>#N/A</v>
      </c>
      <c r="E116" s="216" t="e">
        <f aca="true" t="shared" si="60" ref="E116:E140">IF(ISERR(AD116/$D$82),0,(AD116/$D$82))</f>
        <v>#N/A</v>
      </c>
      <c r="F116" s="216" t="e">
        <f t="shared" si="44"/>
        <v>#N/A</v>
      </c>
      <c r="G116" s="206" t="e">
        <f t="shared" si="45"/>
        <v>#N/A</v>
      </c>
      <c r="H116" s="232" t="e">
        <f t="shared" si="46"/>
        <v>#N/A</v>
      </c>
      <c r="I116" s="232" t="e">
        <f t="shared" si="47"/>
        <v>#N/A</v>
      </c>
      <c r="J116" s="195"/>
      <c r="K116" s="207">
        <f>(P116*Q116)-$C$106</f>
        <v>0</v>
      </c>
      <c r="L116" s="204">
        <f>(R116-(0.023*$D$106))*P116</f>
        <v>0</v>
      </c>
      <c r="M116" s="207">
        <f>(S116-(0.0046*$E$106))*P116</f>
        <v>0</v>
      </c>
      <c r="N116" s="195" t="s">
        <v>543</v>
      </c>
      <c r="O116" s="195"/>
      <c r="P116" s="195">
        <f t="shared" si="48"/>
        <v>0</v>
      </c>
      <c r="Q116" s="195">
        <v>1.75</v>
      </c>
      <c r="R116" s="195">
        <v>0.69</v>
      </c>
      <c r="S116" s="195">
        <v>1.4</v>
      </c>
      <c r="T116" s="195" t="s">
        <v>543</v>
      </c>
      <c r="U116" s="195"/>
      <c r="V116" s="195"/>
      <c r="W116" s="195"/>
      <c r="X116" s="204" t="e">
        <f t="shared" si="49"/>
        <v>#N/A</v>
      </c>
      <c r="Y116" s="204" t="e">
        <v>#VALUE!</v>
      </c>
      <c r="Z116" s="204" t="e">
        <f t="shared" si="50"/>
        <v>#N/A</v>
      </c>
      <c r="AA116" s="195"/>
      <c r="AB116" s="195" t="s">
        <v>543</v>
      </c>
      <c r="AC116" s="204">
        <f t="shared" si="51"/>
        <v>0</v>
      </c>
      <c r="AD116" s="204">
        <f t="shared" si="52"/>
        <v>0</v>
      </c>
      <c r="AE116" s="204">
        <f t="shared" si="53"/>
        <v>0</v>
      </c>
      <c r="AF116" s="207" t="e">
        <f t="shared" si="54"/>
        <v>#N/A</v>
      </c>
      <c r="AG116" s="207" t="e">
        <f t="shared" si="55"/>
        <v>#N/A</v>
      </c>
      <c r="AH116" s="207" t="e">
        <f t="shared" si="56"/>
        <v>#N/A</v>
      </c>
      <c r="AI116" s="207" t="e">
        <f t="shared" si="57"/>
        <v>#N/A</v>
      </c>
      <c r="AJ116" s="207" t="e">
        <f t="shared" si="58"/>
        <v>#N/A</v>
      </c>
      <c r="AK116" s="207" t="e">
        <f t="shared" si="59"/>
        <v>#N/A</v>
      </c>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row>
    <row r="117" spans="1:65" ht="15.75">
      <c r="A117" s="129" t="s">
        <v>1064</v>
      </c>
      <c r="B117" s="198"/>
      <c r="C117" s="168">
        <f>IF(A117='Nutrient Management Planner'!B7,'Nutrient Management Planner'!D7,IF(A117='Nutrient Management Planner'!B8,'Nutrient Management Planner'!D8,IF(A117='Nutrient Management Planner'!B9,'Nutrient Management Planner'!D9,IF(A117='Nutrient Management Planner'!B10,'Nutrient Management Planner'!D10,IF(A117='Nutrient Management Planner'!B11,'Nutrient Management Planner'!D11,IF(A117='Nutrient Management Planner'!B12,'Nutrient Management Planner'!D12,0))))))</f>
        <v>0</v>
      </c>
      <c r="D117" s="216" t="e">
        <f t="shared" si="43"/>
        <v>#N/A</v>
      </c>
      <c r="E117" s="216" t="e">
        <f t="shared" si="60"/>
        <v>#N/A</v>
      </c>
      <c r="F117" s="216" t="e">
        <f t="shared" si="44"/>
        <v>#N/A</v>
      </c>
      <c r="G117" s="206" t="e">
        <f t="shared" si="45"/>
        <v>#N/A</v>
      </c>
      <c r="H117" s="232" t="e">
        <f t="shared" si="46"/>
        <v>#N/A</v>
      </c>
      <c r="I117" s="232" t="e">
        <f t="shared" si="47"/>
        <v>#N/A</v>
      </c>
      <c r="J117" s="195"/>
      <c r="K117" s="207">
        <f>(P117*Q117)-$C$106</f>
        <v>0</v>
      </c>
      <c r="L117" s="204">
        <f>(R117-(0.023*$D$106))*P117</f>
        <v>0</v>
      </c>
      <c r="M117" s="207">
        <f>(S117-(0.0046*$E$106))*P117</f>
        <v>0</v>
      </c>
      <c r="N117" s="195" t="s">
        <v>544</v>
      </c>
      <c r="O117" s="195"/>
      <c r="P117" s="195">
        <f t="shared" si="48"/>
        <v>0</v>
      </c>
      <c r="Q117" s="195">
        <v>1.5</v>
      </c>
      <c r="R117" s="195">
        <v>0.69</v>
      </c>
      <c r="S117" s="195">
        <v>1.4</v>
      </c>
      <c r="T117" s="195" t="s">
        <v>544</v>
      </c>
      <c r="U117" s="195"/>
      <c r="V117" s="195"/>
      <c r="W117" s="195"/>
      <c r="X117" s="204" t="e">
        <f t="shared" si="49"/>
        <v>#N/A</v>
      </c>
      <c r="Y117" s="204" t="e">
        <v>#VALUE!</v>
      </c>
      <c r="Z117" s="204" t="e">
        <f t="shared" si="50"/>
        <v>#N/A</v>
      </c>
      <c r="AA117" s="195"/>
      <c r="AB117" s="195" t="s">
        <v>544</v>
      </c>
      <c r="AC117" s="204">
        <f t="shared" si="51"/>
        <v>0</v>
      </c>
      <c r="AD117" s="204">
        <f t="shared" si="52"/>
        <v>0</v>
      </c>
      <c r="AE117" s="204">
        <f t="shared" si="53"/>
        <v>0</v>
      </c>
      <c r="AF117" s="207" t="e">
        <f t="shared" si="54"/>
        <v>#N/A</v>
      </c>
      <c r="AG117" s="207" t="e">
        <f t="shared" si="55"/>
        <v>#N/A</v>
      </c>
      <c r="AH117" s="207" t="e">
        <f t="shared" si="56"/>
        <v>#N/A</v>
      </c>
      <c r="AI117" s="207" t="e">
        <f t="shared" si="57"/>
        <v>#N/A</v>
      </c>
      <c r="AJ117" s="207" t="e">
        <f t="shared" si="58"/>
        <v>#N/A</v>
      </c>
      <c r="AK117" s="207" t="e">
        <f t="shared" si="59"/>
        <v>#N/A</v>
      </c>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row>
    <row r="118" spans="1:65" ht="15.75">
      <c r="A118" s="129" t="s">
        <v>1046</v>
      </c>
      <c r="B118" s="198"/>
      <c r="C118" s="168">
        <f>IF(A118='Nutrient Management Planner'!B7,'Nutrient Management Planner'!D7,IF(A118='Nutrient Management Planner'!B8,'Nutrient Management Planner'!D8,IF(A118='Nutrient Management Planner'!B9,'Nutrient Management Planner'!D9,IF(A118='Nutrient Management Planner'!B10,'Nutrient Management Planner'!D10,IF(A118='Nutrient Management Planner'!B11,'Nutrient Management Planner'!D11,IF(A118='Nutrient Management Planner'!B12,'Nutrient Management Planner'!D12,0))))))</f>
        <v>0</v>
      </c>
      <c r="D118" s="216" t="e">
        <f t="shared" si="43"/>
        <v>#N/A</v>
      </c>
      <c r="E118" s="216" t="e">
        <f t="shared" si="60"/>
        <v>#N/A</v>
      </c>
      <c r="F118" s="216" t="e">
        <f t="shared" si="44"/>
        <v>#N/A</v>
      </c>
      <c r="G118" s="206" t="e">
        <f t="shared" si="45"/>
        <v>#N/A</v>
      </c>
      <c r="H118" s="232" t="e">
        <f t="shared" si="46"/>
        <v>#N/A</v>
      </c>
      <c r="I118" s="232" t="e">
        <f t="shared" si="47"/>
        <v>#N/A</v>
      </c>
      <c r="J118" s="195"/>
      <c r="K118" s="207">
        <f>(P118*Q118)-$C$106</f>
        <v>0</v>
      </c>
      <c r="L118" s="207">
        <f>(R118-(0.044*$D$106))*P118</f>
        <v>0</v>
      </c>
      <c r="M118" s="207">
        <f>(S118-(0.0062*$E$106))*P118</f>
        <v>0</v>
      </c>
      <c r="N118" s="195" t="s">
        <v>545</v>
      </c>
      <c r="O118" s="195"/>
      <c r="P118" s="195">
        <f t="shared" si="48"/>
        <v>0</v>
      </c>
      <c r="Q118" s="195">
        <v>2.2</v>
      </c>
      <c r="R118" s="195">
        <v>1.32</v>
      </c>
      <c r="S118" s="195">
        <v>1.86</v>
      </c>
      <c r="T118" s="195" t="s">
        <v>545</v>
      </c>
      <c r="U118" s="195"/>
      <c r="V118" s="195"/>
      <c r="W118" s="195"/>
      <c r="X118" s="204" t="e">
        <f t="shared" si="49"/>
        <v>#N/A</v>
      </c>
      <c r="Y118" s="204" t="e">
        <v>#VALUE!</v>
      </c>
      <c r="Z118" s="204" t="e">
        <f t="shared" si="50"/>
        <v>#N/A</v>
      </c>
      <c r="AA118" s="195"/>
      <c r="AB118" s="195" t="s">
        <v>545</v>
      </c>
      <c r="AC118" s="204">
        <f t="shared" si="51"/>
        <v>0</v>
      </c>
      <c r="AD118" s="204">
        <f t="shared" si="52"/>
        <v>0</v>
      </c>
      <c r="AE118" s="204">
        <f t="shared" si="53"/>
        <v>0</v>
      </c>
      <c r="AF118" s="207" t="e">
        <f t="shared" si="54"/>
        <v>#N/A</v>
      </c>
      <c r="AG118" s="207" t="e">
        <f t="shared" si="55"/>
        <v>#N/A</v>
      </c>
      <c r="AH118" s="207" t="e">
        <f t="shared" si="56"/>
        <v>#N/A</v>
      </c>
      <c r="AI118" s="207" t="e">
        <f t="shared" si="57"/>
        <v>#N/A</v>
      </c>
      <c r="AJ118" s="207" t="e">
        <f t="shared" si="58"/>
        <v>#N/A</v>
      </c>
      <c r="AK118" s="207" t="e">
        <f t="shared" si="59"/>
        <v>#N/A</v>
      </c>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row>
    <row r="119" spans="1:65" ht="15.75">
      <c r="A119" s="129" t="s">
        <v>1066</v>
      </c>
      <c r="B119" s="198"/>
      <c r="C119" s="168">
        <f>IF(A119='Nutrient Management Planner'!B7,'Nutrient Management Planner'!D7,IF(A119='Nutrient Management Planner'!B8,'Nutrient Management Planner'!D8,IF(A119='Nutrient Management Planner'!B9,'Nutrient Management Planner'!D9,IF(A119='Nutrient Management Planner'!B10,'Nutrient Management Planner'!D10,IF(A119='Nutrient Management Planner'!B11,'Nutrient Management Planner'!D11,IF(A119='Nutrient Management Planner'!B12,'Nutrient Management Planner'!D12,0))))))</f>
        <v>0</v>
      </c>
      <c r="D119" s="216" t="e">
        <f t="shared" si="43"/>
        <v>#N/A</v>
      </c>
      <c r="E119" s="216" t="e">
        <f t="shared" si="60"/>
        <v>#N/A</v>
      </c>
      <c r="F119" s="216" t="e">
        <f t="shared" si="44"/>
        <v>#N/A</v>
      </c>
      <c r="G119" s="206" t="e">
        <f t="shared" si="45"/>
        <v>#N/A</v>
      </c>
      <c r="H119" s="232" t="e">
        <f t="shared" si="46"/>
        <v>#N/A</v>
      </c>
      <c r="I119" s="232" t="e">
        <f t="shared" si="47"/>
        <v>#N/A</v>
      </c>
      <c r="J119" s="195"/>
      <c r="K119" s="207">
        <f>(P119*Q119)-$C$106</f>
        <v>0</v>
      </c>
      <c r="L119" s="207">
        <f>(R119-(0.00057*$D$106))*P119</f>
        <v>0</v>
      </c>
      <c r="M119" s="207">
        <f>(S119-(0.0001*$E$106))*P119</f>
        <v>0</v>
      </c>
      <c r="N119" s="195" t="s">
        <v>546</v>
      </c>
      <c r="O119" s="195"/>
      <c r="P119" s="195">
        <f t="shared" si="48"/>
        <v>0</v>
      </c>
      <c r="Q119" s="195">
        <v>0.03</v>
      </c>
      <c r="R119" s="195">
        <v>0.017</v>
      </c>
      <c r="S119" s="195">
        <v>0.03</v>
      </c>
      <c r="T119" s="195" t="s">
        <v>546</v>
      </c>
      <c r="U119" s="195"/>
      <c r="V119" s="195"/>
      <c r="W119" s="195"/>
      <c r="X119" s="204" t="e">
        <f t="shared" si="49"/>
        <v>#N/A</v>
      </c>
      <c r="Y119" s="204" t="e">
        <v>#VALUE!</v>
      </c>
      <c r="Z119" s="204" t="e">
        <f t="shared" si="50"/>
        <v>#N/A</v>
      </c>
      <c r="AA119" s="195"/>
      <c r="AB119" s="195" t="s">
        <v>546</v>
      </c>
      <c r="AC119" s="204">
        <f t="shared" si="51"/>
        <v>0</v>
      </c>
      <c r="AD119" s="204">
        <f t="shared" si="52"/>
        <v>0</v>
      </c>
      <c r="AE119" s="204">
        <f t="shared" si="53"/>
        <v>0</v>
      </c>
      <c r="AF119" s="207" t="e">
        <f t="shared" si="54"/>
        <v>#N/A</v>
      </c>
      <c r="AG119" s="207" t="e">
        <f t="shared" si="55"/>
        <v>#N/A</v>
      </c>
      <c r="AH119" s="207" t="e">
        <f t="shared" si="56"/>
        <v>#N/A</v>
      </c>
      <c r="AI119" s="207" t="e">
        <f t="shared" si="57"/>
        <v>#N/A</v>
      </c>
      <c r="AJ119" s="207" t="e">
        <f t="shared" si="58"/>
        <v>#N/A</v>
      </c>
      <c r="AK119" s="207" t="e">
        <f t="shared" si="59"/>
        <v>#N/A</v>
      </c>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row>
    <row r="120" spans="1:65" ht="15.75">
      <c r="A120" s="129" t="s">
        <v>1050</v>
      </c>
      <c r="B120" s="198"/>
      <c r="C120" s="168">
        <f>IF(A120='Nutrient Management Planner'!B7,'Nutrient Management Planner'!D7,IF(A120='Nutrient Management Planner'!B8,'Nutrient Management Planner'!D8,IF(A120='Nutrient Management Planner'!B9,'Nutrient Management Planner'!D9,IF(A120='Nutrient Management Planner'!B10,'Nutrient Management Planner'!D10,IF(A120='Nutrient Management Planner'!B11,'Nutrient Management Planner'!D11,IF(A120='Nutrient Management Planner'!B12,'Nutrient Management Planner'!D12,0))))))</f>
        <v>0</v>
      </c>
      <c r="D120" s="216" t="e">
        <f t="shared" si="43"/>
        <v>#N/A</v>
      </c>
      <c r="E120" s="216" t="e">
        <f t="shared" si="60"/>
        <v>#N/A</v>
      </c>
      <c r="F120" s="216" t="e">
        <f t="shared" si="44"/>
        <v>#N/A</v>
      </c>
      <c r="G120" s="206" t="e">
        <f t="shared" si="45"/>
        <v>#N/A</v>
      </c>
      <c r="H120" s="232" t="e">
        <f t="shared" si="46"/>
        <v>#N/A</v>
      </c>
      <c r="I120" s="232" t="e">
        <f t="shared" si="47"/>
        <v>#N/A</v>
      </c>
      <c r="J120" s="195"/>
      <c r="K120" s="207">
        <f>(P120*0.065)-$C$106</f>
        <v>0</v>
      </c>
      <c r="L120" s="207">
        <f>(R120-(0.0012*$D$106))*P120</f>
        <v>0</v>
      </c>
      <c r="M120" s="207">
        <f>(S120-(0.00018*$E$106))*P120</f>
        <v>0</v>
      </c>
      <c r="N120" s="195" t="s">
        <v>547</v>
      </c>
      <c r="O120" s="195"/>
      <c r="P120" s="195">
        <f t="shared" si="48"/>
        <v>0</v>
      </c>
      <c r="Q120" s="195">
        <v>0.065</v>
      </c>
      <c r="R120" s="195">
        <v>0.036000000000000004</v>
      </c>
      <c r="S120" s="195">
        <v>0.054</v>
      </c>
      <c r="T120" s="195" t="s">
        <v>547</v>
      </c>
      <c r="U120" s="195"/>
      <c r="V120" s="195"/>
      <c r="W120" s="195"/>
      <c r="X120" s="204" t="e">
        <f t="shared" si="49"/>
        <v>#N/A</v>
      </c>
      <c r="Y120" s="204" t="e">
        <v>#VALUE!</v>
      </c>
      <c r="Z120" s="204" t="e">
        <f t="shared" si="50"/>
        <v>#N/A</v>
      </c>
      <c r="AA120" s="195"/>
      <c r="AB120" s="195" t="s">
        <v>547</v>
      </c>
      <c r="AC120" s="204">
        <f t="shared" si="51"/>
        <v>0</v>
      </c>
      <c r="AD120" s="204">
        <f t="shared" si="52"/>
        <v>0</v>
      </c>
      <c r="AE120" s="204">
        <f t="shared" si="53"/>
        <v>0</v>
      </c>
      <c r="AF120" s="207" t="e">
        <f t="shared" si="54"/>
        <v>#N/A</v>
      </c>
      <c r="AG120" s="207" t="e">
        <f t="shared" si="55"/>
        <v>#N/A</v>
      </c>
      <c r="AH120" s="207" t="e">
        <f t="shared" si="56"/>
        <v>#N/A</v>
      </c>
      <c r="AI120" s="207" t="e">
        <f t="shared" si="57"/>
        <v>#N/A</v>
      </c>
      <c r="AJ120" s="207" t="e">
        <f t="shared" si="58"/>
        <v>#N/A</v>
      </c>
      <c r="AK120" s="207" t="e">
        <f t="shared" si="59"/>
        <v>#N/A</v>
      </c>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row>
    <row r="121" spans="1:65" ht="15.75">
      <c r="A121" s="129" t="s">
        <v>1067</v>
      </c>
      <c r="B121" s="198"/>
      <c r="C121" s="168">
        <f>IF(A121='Nutrient Management Planner'!B7,'Nutrient Management Planner'!D7,IF(A121='Nutrient Management Planner'!B8,'Nutrient Management Planner'!D8,IF(A121='Nutrient Management Planner'!B9,'Nutrient Management Planner'!D9,IF(A121='Nutrient Management Planner'!B10,'Nutrient Management Planner'!D10,IF(A121='Nutrient Management Planner'!B11,'Nutrient Management Planner'!D11,IF(A121='Nutrient Management Planner'!B12,'Nutrient Management Planner'!D12,0))))))</f>
        <v>0</v>
      </c>
      <c r="D121" s="216" t="e">
        <f t="shared" si="43"/>
        <v>#N/A</v>
      </c>
      <c r="E121" s="216" t="e">
        <f t="shared" si="60"/>
        <v>#N/A</v>
      </c>
      <c r="F121" s="216" t="e">
        <f t="shared" si="44"/>
        <v>#N/A</v>
      </c>
      <c r="G121" s="206" t="e">
        <f t="shared" si="45"/>
        <v>#N/A</v>
      </c>
      <c r="H121" s="232" t="e">
        <f t="shared" si="46"/>
        <v>#N/A</v>
      </c>
      <c r="I121" s="232" t="e">
        <f t="shared" si="47"/>
        <v>#N/A</v>
      </c>
      <c r="J121" s="195"/>
      <c r="K121" s="207">
        <f>(P121*Q121)-$C$106</f>
        <v>0</v>
      </c>
      <c r="L121" s="207">
        <f>(R121-(0.0193*$D$106))*P121</f>
        <v>0</v>
      </c>
      <c r="M121" s="207">
        <f>(S121-(0.0046*$E$106))*P121</f>
        <v>0</v>
      </c>
      <c r="N121" s="195" t="s">
        <v>548</v>
      </c>
      <c r="O121" s="195"/>
      <c r="P121" s="195">
        <f t="shared" si="48"/>
        <v>0</v>
      </c>
      <c r="Q121" s="195">
        <v>1.25</v>
      </c>
      <c r="R121" s="195">
        <v>0.579</v>
      </c>
      <c r="S121" s="195">
        <v>1.375</v>
      </c>
      <c r="T121" s="195" t="s">
        <v>548</v>
      </c>
      <c r="U121" s="195"/>
      <c r="V121" s="195"/>
      <c r="W121" s="195"/>
      <c r="X121" s="204" t="e">
        <f t="shared" si="49"/>
        <v>#N/A</v>
      </c>
      <c r="Y121" s="204" t="e">
        <v>#VALUE!</v>
      </c>
      <c r="Z121" s="204" t="e">
        <f t="shared" si="50"/>
        <v>#N/A</v>
      </c>
      <c r="AA121" s="195"/>
      <c r="AB121" s="195" t="s">
        <v>548</v>
      </c>
      <c r="AC121" s="204">
        <f t="shared" si="51"/>
        <v>0</v>
      </c>
      <c r="AD121" s="204">
        <f t="shared" si="52"/>
        <v>0</v>
      </c>
      <c r="AE121" s="204">
        <f t="shared" si="53"/>
        <v>0</v>
      </c>
      <c r="AF121" s="207" t="e">
        <f t="shared" si="54"/>
        <v>#N/A</v>
      </c>
      <c r="AG121" s="207" t="e">
        <f t="shared" si="55"/>
        <v>#N/A</v>
      </c>
      <c r="AH121" s="207" t="e">
        <f t="shared" si="56"/>
        <v>#N/A</v>
      </c>
      <c r="AI121" s="207" t="e">
        <f t="shared" si="57"/>
        <v>#N/A</v>
      </c>
      <c r="AJ121" s="207" t="e">
        <f t="shared" si="58"/>
        <v>#N/A</v>
      </c>
      <c r="AK121" s="207" t="e">
        <f t="shared" si="59"/>
        <v>#N/A</v>
      </c>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row>
    <row r="122" spans="1:65" ht="15.75">
      <c r="A122" s="129" t="s">
        <v>1068</v>
      </c>
      <c r="B122" s="198"/>
      <c r="C122" s="168">
        <f>IF(A122='Nutrient Management Planner'!B7,'Nutrient Management Planner'!D7,IF(A122='Nutrient Management Planner'!B8,'Nutrient Management Planner'!D8,IF(A122='Nutrient Management Planner'!B9,'Nutrient Management Planner'!D9,IF(A122='Nutrient Management Planner'!B10,'Nutrient Management Planner'!D10,IF(A122='Nutrient Management Planner'!B11,'Nutrient Management Planner'!D11,IF(A122='Nutrient Management Planner'!B12,'Nutrient Management Planner'!D12,0))))))</f>
        <v>0</v>
      </c>
      <c r="D122" s="216" t="e">
        <f t="shared" si="43"/>
        <v>#N/A</v>
      </c>
      <c r="E122" s="216" t="e">
        <f t="shared" si="60"/>
        <v>#N/A</v>
      </c>
      <c r="F122" s="216" t="e">
        <f t="shared" si="44"/>
        <v>#N/A</v>
      </c>
      <c r="G122" s="206" t="e">
        <f t="shared" si="45"/>
        <v>#N/A</v>
      </c>
      <c r="H122" s="232" t="e">
        <f t="shared" si="46"/>
        <v>#N/A</v>
      </c>
      <c r="I122" s="232" t="e">
        <f t="shared" si="47"/>
        <v>#N/A</v>
      </c>
      <c r="J122" s="195"/>
      <c r="K122" s="207">
        <f>(P122*Q122)-$C$106</f>
        <v>0</v>
      </c>
      <c r="L122" s="207">
        <f>(R122-(0.154*$D$106))*P122</f>
        <v>0</v>
      </c>
      <c r="M122" s="207">
        <f>(S122-(0.035*$E$106))*P122</f>
        <v>0</v>
      </c>
      <c r="N122" s="195" t="s">
        <v>549</v>
      </c>
      <c r="O122" s="195"/>
      <c r="P122" s="195">
        <f t="shared" si="48"/>
        <v>0</v>
      </c>
      <c r="Q122" s="195">
        <v>6.75</v>
      </c>
      <c r="R122" s="195">
        <v>4.62</v>
      </c>
      <c r="S122" s="195">
        <v>10.5</v>
      </c>
      <c r="T122" s="195" t="s">
        <v>549</v>
      </c>
      <c r="U122" s="195"/>
      <c r="V122" s="195"/>
      <c r="W122" s="195"/>
      <c r="X122" s="204" t="e">
        <f t="shared" si="49"/>
        <v>#N/A</v>
      </c>
      <c r="Y122" s="204" t="e">
        <v>#VALUE!</v>
      </c>
      <c r="Z122" s="204" t="e">
        <f t="shared" si="50"/>
        <v>#N/A</v>
      </c>
      <c r="AA122" s="195"/>
      <c r="AB122" s="195" t="s">
        <v>549</v>
      </c>
      <c r="AC122" s="204">
        <f t="shared" si="51"/>
        <v>0</v>
      </c>
      <c r="AD122" s="204">
        <f t="shared" si="52"/>
        <v>0</v>
      </c>
      <c r="AE122" s="204">
        <f t="shared" si="53"/>
        <v>0</v>
      </c>
      <c r="AF122" s="207" t="e">
        <f t="shared" si="54"/>
        <v>#N/A</v>
      </c>
      <c r="AG122" s="207" t="e">
        <f t="shared" si="55"/>
        <v>#N/A</v>
      </c>
      <c r="AH122" s="207" t="e">
        <f t="shared" si="56"/>
        <v>#N/A</v>
      </c>
      <c r="AI122" s="207" t="e">
        <f t="shared" si="57"/>
        <v>#N/A</v>
      </c>
      <c r="AJ122" s="207" t="e">
        <f t="shared" si="58"/>
        <v>#N/A</v>
      </c>
      <c r="AK122" s="207" t="e">
        <f t="shared" si="59"/>
        <v>#N/A</v>
      </c>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row>
    <row r="123" spans="1:65" ht="15.75">
      <c r="A123" s="129" t="s">
        <v>1072</v>
      </c>
      <c r="B123" s="198"/>
      <c r="C123" s="168">
        <f>IF(A123='Nutrient Management Planner'!B7,'Nutrient Management Planner'!D7,IF(A123='Nutrient Management Planner'!B8,'Nutrient Management Planner'!D8,IF(A123='Nutrient Management Planner'!B9,'Nutrient Management Planner'!D9,IF(A123='Nutrient Management Planner'!B10,'Nutrient Management Planner'!D10,IF(A123='Nutrient Management Planner'!B11,'Nutrient Management Planner'!D11,IF(A123='Nutrient Management Planner'!B12,'Nutrient Management Planner'!D12,0))))))</f>
        <v>0</v>
      </c>
      <c r="D123" s="216" t="e">
        <f t="shared" si="43"/>
        <v>#N/A</v>
      </c>
      <c r="E123" s="216" t="e">
        <f t="shared" si="60"/>
        <v>#N/A</v>
      </c>
      <c r="F123" s="216" t="e">
        <f t="shared" si="44"/>
        <v>#N/A</v>
      </c>
      <c r="G123" s="206" t="e">
        <f t="shared" si="45"/>
        <v>#N/A</v>
      </c>
      <c r="H123" s="232" t="e">
        <f t="shared" si="46"/>
        <v>#N/A</v>
      </c>
      <c r="I123" s="232" t="e">
        <f t="shared" si="47"/>
        <v>#N/A</v>
      </c>
      <c r="J123" s="195"/>
      <c r="K123" s="207">
        <f>(P123*Q123)-$C$106</f>
        <v>0</v>
      </c>
      <c r="L123" s="207">
        <f>(R123-(0.029*$D$106))*P123</f>
        <v>0</v>
      </c>
      <c r="M123" s="207">
        <f>(S123-(0.009*$E$106))*P123</f>
        <v>0</v>
      </c>
      <c r="N123" s="195" t="s">
        <v>550</v>
      </c>
      <c r="O123" s="195"/>
      <c r="P123" s="195">
        <f t="shared" si="48"/>
        <v>0</v>
      </c>
      <c r="Q123" s="195">
        <v>2.5</v>
      </c>
      <c r="R123" s="195">
        <v>1.033</v>
      </c>
      <c r="S123" s="195">
        <v>2.67</v>
      </c>
      <c r="T123" s="195" t="s">
        <v>550</v>
      </c>
      <c r="U123" s="195"/>
      <c r="V123" s="195"/>
      <c r="W123" s="195"/>
      <c r="X123" s="204" t="e">
        <f t="shared" si="49"/>
        <v>#N/A</v>
      </c>
      <c r="Y123" s="204" t="e">
        <v>#VALUE!</v>
      </c>
      <c r="Z123" s="204" t="e">
        <f t="shared" si="50"/>
        <v>#N/A</v>
      </c>
      <c r="AA123" s="195"/>
      <c r="AB123" s="195" t="s">
        <v>550</v>
      </c>
      <c r="AC123" s="204">
        <f t="shared" si="51"/>
        <v>0</v>
      </c>
      <c r="AD123" s="204">
        <f t="shared" si="52"/>
        <v>0</v>
      </c>
      <c r="AE123" s="204">
        <f t="shared" si="53"/>
        <v>0</v>
      </c>
      <c r="AF123" s="207" t="e">
        <f t="shared" si="54"/>
        <v>#N/A</v>
      </c>
      <c r="AG123" s="207" t="e">
        <f t="shared" si="55"/>
        <v>#N/A</v>
      </c>
      <c r="AH123" s="207" t="e">
        <f t="shared" si="56"/>
        <v>#N/A</v>
      </c>
      <c r="AI123" s="207" t="e">
        <f t="shared" si="57"/>
        <v>#N/A</v>
      </c>
      <c r="AJ123" s="207" t="e">
        <f t="shared" si="58"/>
        <v>#N/A</v>
      </c>
      <c r="AK123" s="207" t="e">
        <f t="shared" si="59"/>
        <v>#N/A</v>
      </c>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row>
    <row r="124" spans="1:65" ht="15.75">
      <c r="A124" s="129" t="s">
        <v>1051</v>
      </c>
      <c r="B124" s="198"/>
      <c r="C124" s="168">
        <f>IF(A124='Nutrient Management Planner'!B7,'Nutrient Management Planner'!D7,IF(A124='Nutrient Management Planner'!B8,'Nutrient Management Planner'!D8,IF(A124='Nutrient Management Planner'!B9,'Nutrient Management Planner'!D9,IF(A124='Nutrient Management Planner'!B10,'Nutrient Management Planner'!D10,IF(A124='Nutrient Management Planner'!B11,'Nutrient Management Planner'!D11,IF(A124='Nutrient Management Planner'!B12,'Nutrient Management Planner'!D12,0))))))</f>
        <v>0</v>
      </c>
      <c r="D124" s="216" t="e">
        <f t="shared" si="43"/>
        <v>#N/A</v>
      </c>
      <c r="E124" s="216" t="e">
        <f t="shared" si="60"/>
        <v>#N/A</v>
      </c>
      <c r="F124" s="216" t="e">
        <f t="shared" si="44"/>
        <v>#N/A</v>
      </c>
      <c r="G124" s="206" t="e">
        <f t="shared" si="45"/>
        <v>#N/A</v>
      </c>
      <c r="H124" s="232" t="e">
        <f t="shared" si="46"/>
        <v>#N/A</v>
      </c>
      <c r="I124" s="232" t="e">
        <f t="shared" si="47"/>
        <v>#N/A</v>
      </c>
      <c r="J124" s="195"/>
      <c r="K124" s="207">
        <f>(P124-1400)*(0.0875)-($C$106)</f>
        <v>-122.50000000000001</v>
      </c>
      <c r="L124" s="207">
        <f>(R124-(0.0009*$D$106))*P124</f>
        <v>0</v>
      </c>
      <c r="M124" s="207">
        <f>(S124-(0.00014*$E$106))*P124</f>
        <v>0</v>
      </c>
      <c r="N124" s="195" t="s">
        <v>551</v>
      </c>
      <c r="O124" s="195"/>
      <c r="P124" s="195">
        <f t="shared" si="48"/>
        <v>0</v>
      </c>
      <c r="Q124" s="195">
        <v>0</v>
      </c>
      <c r="R124" s="195">
        <v>0.027</v>
      </c>
      <c r="S124" s="195">
        <v>0.043000000000000003</v>
      </c>
      <c r="T124" s="195" t="s">
        <v>551</v>
      </c>
      <c r="U124" s="195"/>
      <c r="V124" s="195"/>
      <c r="W124" s="195"/>
      <c r="X124" s="204" t="e">
        <f t="shared" si="49"/>
        <v>#N/A</v>
      </c>
      <c r="Y124" s="204" t="e">
        <v>#VALUE!</v>
      </c>
      <c r="Z124" s="204" t="e">
        <f t="shared" si="50"/>
        <v>#N/A</v>
      </c>
      <c r="AA124" s="195"/>
      <c r="AB124" s="195" t="s">
        <v>551</v>
      </c>
      <c r="AC124" s="204">
        <f t="shared" si="51"/>
        <v>0</v>
      </c>
      <c r="AD124" s="204">
        <f t="shared" si="52"/>
        <v>0</v>
      </c>
      <c r="AE124" s="204">
        <f t="shared" si="53"/>
        <v>0</v>
      </c>
      <c r="AF124" s="207" t="e">
        <f t="shared" si="54"/>
        <v>#N/A</v>
      </c>
      <c r="AG124" s="207" t="e">
        <f t="shared" si="55"/>
        <v>#N/A</v>
      </c>
      <c r="AH124" s="207" t="e">
        <f t="shared" si="56"/>
        <v>#N/A</v>
      </c>
      <c r="AI124" s="207" t="e">
        <f t="shared" si="57"/>
        <v>#N/A</v>
      </c>
      <c r="AJ124" s="207" t="e">
        <f t="shared" si="58"/>
        <v>#N/A</v>
      </c>
      <c r="AK124" s="207" t="e">
        <f t="shared" si="59"/>
        <v>#N/A</v>
      </c>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row>
    <row r="125" spans="1:65" ht="15.75">
      <c r="A125" s="129" t="s">
        <v>1069</v>
      </c>
      <c r="B125" s="198"/>
      <c r="C125" s="168">
        <f>IF(A125='Nutrient Management Planner'!B7,'Nutrient Management Planner'!D7,IF(A125='Nutrient Management Planner'!B8,'Nutrient Management Planner'!D8,IF(A125='Nutrient Management Planner'!B9,'Nutrient Management Planner'!D9,IF(A125='Nutrient Management Planner'!B10,'Nutrient Management Planner'!D10,IF(A125='Nutrient Management Planner'!B11,'Nutrient Management Planner'!D11,IF(A125='Nutrient Management Planner'!B12,'Nutrient Management Planner'!D12,0))))))</f>
        <v>0</v>
      </c>
      <c r="D125" s="216" t="e">
        <f t="shared" si="43"/>
        <v>#N/A</v>
      </c>
      <c r="E125" s="216" t="e">
        <f t="shared" si="60"/>
        <v>#N/A</v>
      </c>
      <c r="F125" s="216" t="e">
        <f t="shared" si="44"/>
        <v>#N/A</v>
      </c>
      <c r="G125" s="206" t="e">
        <f t="shared" si="45"/>
        <v>#N/A</v>
      </c>
      <c r="H125" s="232" t="e">
        <f t="shared" si="46"/>
        <v>#N/A</v>
      </c>
      <c r="I125" s="232" t="e">
        <f t="shared" si="47"/>
        <v>#N/A</v>
      </c>
      <c r="J125" s="195"/>
      <c r="K125" s="207">
        <v>0</v>
      </c>
      <c r="L125" s="207">
        <f>(R125-(0.00057*$D$106))*P125</f>
        <v>0</v>
      </c>
      <c r="M125" s="207">
        <f>(S125-(0.0001*$E$106))*P125</f>
        <v>0</v>
      </c>
      <c r="N125" s="195" t="s">
        <v>552</v>
      </c>
      <c r="O125" s="195"/>
      <c r="P125" s="195">
        <f t="shared" si="48"/>
        <v>0</v>
      </c>
      <c r="Q125" s="195">
        <v>0</v>
      </c>
      <c r="R125" s="195">
        <v>0.017</v>
      </c>
      <c r="S125" s="195">
        <v>0.03</v>
      </c>
      <c r="T125" s="195" t="s">
        <v>552</v>
      </c>
      <c r="U125" s="195"/>
      <c r="V125" s="195"/>
      <c r="W125" s="195"/>
      <c r="X125" s="204" t="e">
        <f t="shared" si="49"/>
        <v>#N/A</v>
      </c>
      <c r="Y125" s="204" t="e">
        <v>#VALUE!</v>
      </c>
      <c r="Z125" s="204" t="e">
        <f t="shared" si="50"/>
        <v>#N/A</v>
      </c>
      <c r="AA125" s="195"/>
      <c r="AB125" s="195" t="s">
        <v>552</v>
      </c>
      <c r="AC125" s="204">
        <f t="shared" si="51"/>
        <v>0</v>
      </c>
      <c r="AD125" s="204">
        <f t="shared" si="52"/>
        <v>0</v>
      </c>
      <c r="AE125" s="204">
        <f t="shared" si="53"/>
        <v>0</v>
      </c>
      <c r="AF125" s="207" t="e">
        <f t="shared" si="54"/>
        <v>#N/A</v>
      </c>
      <c r="AG125" s="207" t="e">
        <f t="shared" si="55"/>
        <v>#N/A</v>
      </c>
      <c r="AH125" s="207" t="e">
        <f t="shared" si="56"/>
        <v>#N/A</v>
      </c>
      <c r="AI125" s="207" t="e">
        <f t="shared" si="57"/>
        <v>#N/A</v>
      </c>
      <c r="AJ125" s="207" t="e">
        <f t="shared" si="58"/>
        <v>#N/A</v>
      </c>
      <c r="AK125" s="207" t="e">
        <f t="shared" si="59"/>
        <v>#N/A</v>
      </c>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row>
    <row r="126" spans="1:65" ht="15.75">
      <c r="A126" s="129" t="s">
        <v>1073</v>
      </c>
      <c r="B126" s="198"/>
      <c r="C126" s="168">
        <f>IF(A126='Nutrient Management Planner'!B7,'Nutrient Management Planner'!D7,IF(A126='Nutrient Management Planner'!B8,'Nutrient Management Planner'!D8,IF(A126='Nutrient Management Planner'!B9,'Nutrient Management Planner'!D9,IF(A126='Nutrient Management Planner'!B10,'Nutrient Management Planner'!D10,IF(A126='Nutrient Management Planner'!B11,'Nutrient Management Planner'!D11,IF(A126='Nutrient Management Planner'!B12,'Nutrient Management Planner'!D12,0))))))</f>
        <v>0</v>
      </c>
      <c r="D126" s="216" t="e">
        <f t="shared" si="43"/>
        <v>#N/A</v>
      </c>
      <c r="E126" s="216" t="e">
        <f t="shared" si="60"/>
        <v>#N/A</v>
      </c>
      <c r="F126" s="216" t="e">
        <f t="shared" si="44"/>
        <v>#N/A</v>
      </c>
      <c r="G126" s="206" t="e">
        <f t="shared" si="45"/>
        <v>#N/A</v>
      </c>
      <c r="H126" s="232" t="e">
        <f t="shared" si="46"/>
        <v>#N/A</v>
      </c>
      <c r="I126" s="232" t="e">
        <f t="shared" si="47"/>
        <v>#N/A</v>
      </c>
      <c r="J126" s="195"/>
      <c r="K126" s="207">
        <f>(P126*Q126)-$C$106</f>
        <v>0</v>
      </c>
      <c r="L126" s="207">
        <f>(R126-(0.039*$D$106))*P126</f>
        <v>0</v>
      </c>
      <c r="M126" s="207">
        <f>(S126-(0.013*$E$106))*P126</f>
        <v>0</v>
      </c>
      <c r="N126" s="195" t="s">
        <v>553</v>
      </c>
      <c r="O126" s="195"/>
      <c r="P126" s="195">
        <f t="shared" si="48"/>
        <v>0</v>
      </c>
      <c r="Q126" s="195">
        <v>3</v>
      </c>
      <c r="R126" s="195">
        <v>1.17</v>
      </c>
      <c r="S126" s="195">
        <v>3.9</v>
      </c>
      <c r="T126" s="195" t="s">
        <v>553</v>
      </c>
      <c r="U126" s="195"/>
      <c r="V126" s="195"/>
      <c r="W126" s="195"/>
      <c r="X126" s="204" t="e">
        <f t="shared" si="49"/>
        <v>#N/A</v>
      </c>
      <c r="Y126" s="204" t="e">
        <v>#VALUE!</v>
      </c>
      <c r="Z126" s="204" t="e">
        <f t="shared" si="50"/>
        <v>#N/A</v>
      </c>
      <c r="AA126" s="195"/>
      <c r="AB126" s="195" t="s">
        <v>553</v>
      </c>
      <c r="AC126" s="204">
        <f t="shared" si="51"/>
        <v>0</v>
      </c>
      <c r="AD126" s="204">
        <f t="shared" si="52"/>
        <v>0</v>
      </c>
      <c r="AE126" s="204">
        <f t="shared" si="53"/>
        <v>0</v>
      </c>
      <c r="AF126" s="207" t="e">
        <f t="shared" si="54"/>
        <v>#N/A</v>
      </c>
      <c r="AG126" s="207" t="e">
        <f t="shared" si="55"/>
        <v>#N/A</v>
      </c>
      <c r="AH126" s="207" t="e">
        <f t="shared" si="56"/>
        <v>#N/A</v>
      </c>
      <c r="AI126" s="207" t="e">
        <f t="shared" si="57"/>
        <v>#N/A</v>
      </c>
      <c r="AJ126" s="207" t="e">
        <f t="shared" si="58"/>
        <v>#N/A</v>
      </c>
      <c r="AK126" s="207" t="e">
        <f t="shared" si="59"/>
        <v>#N/A</v>
      </c>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row>
    <row r="127" spans="1:80" ht="15.75">
      <c r="A127" s="129" t="s">
        <v>559</v>
      </c>
      <c r="B127" s="198"/>
      <c r="C127" s="168">
        <f>IF(A127='Nutrient Management Planner'!B7,'Nutrient Management Planner'!D7,IF(A127='Nutrient Management Planner'!B8,'Nutrient Management Planner'!D8,IF(A127='Nutrient Management Planner'!B9,'Nutrient Management Planner'!D9,IF(A127='Nutrient Management Planner'!B10,'Nutrient Management Planner'!D10,IF(A127='Nutrient Management Planner'!B11,'Nutrient Management Planner'!D11,IF(A127='Nutrient Management Planner'!B12,'Nutrient Management Planner'!D12,0))))))</f>
        <v>0</v>
      </c>
      <c r="D127" s="216" t="e">
        <f t="shared" si="43"/>
        <v>#N/A</v>
      </c>
      <c r="E127" s="216" t="e">
        <f t="shared" si="60"/>
        <v>#N/A</v>
      </c>
      <c r="F127" s="216" t="e">
        <f t="shared" si="44"/>
        <v>#N/A</v>
      </c>
      <c r="G127" s="206" t="e">
        <f t="shared" si="45"/>
        <v>#N/A</v>
      </c>
      <c r="H127" s="232">
        <f>IF(C127&lt;1,0,AF127)</f>
        <v>0</v>
      </c>
      <c r="I127" s="232">
        <f>IF(C127&lt;1,0,AH127)</f>
        <v>0</v>
      </c>
      <c r="J127" s="195"/>
      <c r="K127" s="195">
        <f>VLOOKUP($M$107,$AA$211:$AH$376,6)</f>
        <v>50</v>
      </c>
      <c r="L127" s="195">
        <f>VLOOKUP($D$106,$AJ$208:$AK$212,2)</f>
        <v>20</v>
      </c>
      <c r="M127" s="195">
        <f>VLOOKUP($E$106,$AJ$215:$AK$220,2)</f>
        <v>80</v>
      </c>
      <c r="N127" s="195" t="s">
        <v>555</v>
      </c>
      <c r="O127" s="195"/>
      <c r="P127" s="195">
        <f t="shared" si="48"/>
        <v>0</v>
      </c>
      <c r="Q127" s="195">
        <f>VLOOKUP($M$107,$AA$211:$AH$376,6)</f>
        <v>50</v>
      </c>
      <c r="R127" s="195">
        <f>VLOOKUP($M$107,$AA$211:$AH$376,7)</f>
        <v>10</v>
      </c>
      <c r="S127" s="195">
        <f>VLOOKUP($M$107,$AA$211:$AH$376,8)</f>
        <v>20</v>
      </c>
      <c r="T127" s="195" t="s">
        <v>555</v>
      </c>
      <c r="U127" s="195"/>
      <c r="V127" s="195"/>
      <c r="W127" s="195"/>
      <c r="X127" s="204" t="e">
        <f t="shared" si="49"/>
        <v>#N/A</v>
      </c>
      <c r="Y127" s="204" t="e">
        <v>#VALUE!</v>
      </c>
      <c r="Z127" s="204" t="e">
        <f t="shared" si="50"/>
        <v>#N/A</v>
      </c>
      <c r="AA127" s="195"/>
      <c r="AB127" s="195" t="s">
        <v>555</v>
      </c>
      <c r="AC127" s="204">
        <f>IF(K127&lt;1,0,K127)</f>
        <v>50</v>
      </c>
      <c r="AD127" s="195">
        <f>IF(C127&gt;0,+L127,0)</f>
        <v>0</v>
      </c>
      <c r="AE127" s="195">
        <f>M127</f>
        <v>80</v>
      </c>
      <c r="AF127" s="207" t="e">
        <f t="shared" si="54"/>
        <v>#N/A</v>
      </c>
      <c r="AG127" s="207" t="e">
        <f t="shared" si="55"/>
        <v>#N/A</v>
      </c>
      <c r="AH127" s="207" t="e">
        <f t="shared" si="56"/>
        <v>#N/A</v>
      </c>
      <c r="AI127" s="207" t="e">
        <f t="shared" si="57"/>
        <v>#N/A</v>
      </c>
      <c r="AJ127" s="207" t="e">
        <f t="shared" si="58"/>
        <v>#N/A</v>
      </c>
      <c r="AK127" s="207" t="e">
        <f t="shared" si="59"/>
        <v>#N/A</v>
      </c>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CB127" s="197" t="e">
        <v>#VALUE!</v>
      </c>
    </row>
    <row r="128" spans="1:65" ht="15.75">
      <c r="A128" s="129" t="s">
        <v>555</v>
      </c>
      <c r="B128" s="198"/>
      <c r="C128" s="168">
        <f>IF(A128='Nutrient Management Planner'!B7,'Nutrient Management Planner'!D7,IF(A128='Nutrient Management Planner'!B8,'Nutrient Management Planner'!D8,IF(A128='Nutrient Management Planner'!B9,'Nutrient Management Planner'!D9,IF(A128='Nutrient Management Planner'!B10,'Nutrient Management Planner'!D10,IF(A128='Nutrient Management Planner'!B11,'Nutrient Management Planner'!D11,IF(A128='Nutrient Management Planner'!B12,'Nutrient Management Planner'!D12,0))))))</f>
        <v>0</v>
      </c>
      <c r="D128" s="216" t="e">
        <f t="shared" si="43"/>
        <v>#N/A</v>
      </c>
      <c r="E128" s="216" t="e">
        <f t="shared" si="60"/>
        <v>#N/A</v>
      </c>
      <c r="F128" s="216" t="e">
        <f t="shared" si="44"/>
        <v>#N/A</v>
      </c>
      <c r="G128" s="206" t="e">
        <f t="shared" si="45"/>
        <v>#N/A</v>
      </c>
      <c r="H128" s="232">
        <f>IF(C128&lt;1,0,AF128)</f>
        <v>0</v>
      </c>
      <c r="I128" s="232">
        <f>IF(C128&lt;1,0,AH128)</f>
        <v>0</v>
      </c>
      <c r="J128" s="195"/>
      <c r="K128" s="195">
        <f>VLOOKUP($M$107,$AA$211:$AH$376,3)</f>
        <v>50</v>
      </c>
      <c r="L128" s="195">
        <f>VLOOKUP($D$106,$AJ$208:$AK$212,2)</f>
        <v>20</v>
      </c>
      <c r="M128" s="195">
        <f>VLOOKUP($E$106,$AJ$215:$AK$220,2)</f>
        <v>80</v>
      </c>
      <c r="N128" s="195" t="s">
        <v>557</v>
      </c>
      <c r="O128" s="195"/>
      <c r="P128" s="195">
        <f t="shared" si="48"/>
        <v>0</v>
      </c>
      <c r="Q128" s="195">
        <f>VLOOKUP($M$107,$AA$211:$AH$376,3)</f>
        <v>50</v>
      </c>
      <c r="R128" s="195">
        <f>VLOOKUP($M$107,$AA$211:$AH$376,4)</f>
        <v>10</v>
      </c>
      <c r="S128" s="195">
        <f>VLOOKUP($M$107,$AA$211:$AH$376,5)</f>
        <v>20</v>
      </c>
      <c r="T128" s="195" t="s">
        <v>557</v>
      </c>
      <c r="U128" s="195"/>
      <c r="V128" s="195"/>
      <c r="W128" s="195"/>
      <c r="X128" s="204" t="e">
        <f t="shared" si="49"/>
        <v>#N/A</v>
      </c>
      <c r="Y128" s="204" t="e">
        <v>#VALUE!</v>
      </c>
      <c r="Z128" s="204" t="e">
        <f t="shared" si="50"/>
        <v>#N/A</v>
      </c>
      <c r="AA128" s="195"/>
      <c r="AB128" s="195" t="s">
        <v>557</v>
      </c>
      <c r="AC128" s="204">
        <f>IF(K128&lt;1,0,K128)</f>
        <v>50</v>
      </c>
      <c r="AD128" s="195">
        <f>IF(C128&gt;0,+L128,0)</f>
        <v>0</v>
      </c>
      <c r="AE128" s="195">
        <f>M128</f>
        <v>80</v>
      </c>
      <c r="AF128" s="207" t="e">
        <f t="shared" si="54"/>
        <v>#N/A</v>
      </c>
      <c r="AG128" s="207" t="e">
        <f t="shared" si="55"/>
        <v>#N/A</v>
      </c>
      <c r="AH128" s="207" t="e">
        <f t="shared" si="56"/>
        <v>#N/A</v>
      </c>
      <c r="AI128" s="207" t="e">
        <f t="shared" si="57"/>
        <v>#N/A</v>
      </c>
      <c r="AJ128" s="207" t="e">
        <f t="shared" si="58"/>
        <v>#N/A</v>
      </c>
      <c r="AK128" s="207" t="e">
        <f t="shared" si="59"/>
        <v>#N/A</v>
      </c>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row>
    <row r="129" spans="1:80" ht="15.75">
      <c r="A129" s="129" t="s">
        <v>557</v>
      </c>
      <c r="B129" s="198"/>
      <c r="C129" s="168">
        <f>IF(A129='Nutrient Management Planner'!B7,'Nutrient Management Planner'!D7,IF(A129='Nutrient Management Planner'!B8,'Nutrient Management Planner'!D8,IF(A129='Nutrient Management Planner'!B9,'Nutrient Management Planner'!D9,IF(A129='Nutrient Management Planner'!B10,'Nutrient Management Planner'!D10,IF(A129='Nutrient Management Planner'!B11,'Nutrient Management Planner'!D11,IF(A129='Nutrient Management Planner'!B12,'Nutrient Management Planner'!D12,0))))))</f>
        <v>0</v>
      </c>
      <c r="D129" s="216" t="e">
        <f t="shared" si="43"/>
        <v>#N/A</v>
      </c>
      <c r="E129" s="216" t="e">
        <f t="shared" si="60"/>
        <v>#N/A</v>
      </c>
      <c r="F129" s="216" t="e">
        <f t="shared" si="44"/>
        <v>#N/A</v>
      </c>
      <c r="G129" s="206" t="e">
        <f t="shared" si="45"/>
        <v>#N/A</v>
      </c>
      <c r="H129" s="232">
        <f>IF(C129&lt;1,0,AF129)</f>
        <v>0</v>
      </c>
      <c r="I129" s="232">
        <f>IF(C129&lt;1,0,AH129)</f>
        <v>0</v>
      </c>
      <c r="J129" s="195"/>
      <c r="K129" s="195">
        <v>150</v>
      </c>
      <c r="L129" s="195">
        <f>VLOOKUP($D$106,$AM$208:$AN$212,2)</f>
        <v>30</v>
      </c>
      <c r="M129" s="195">
        <f>VLOOKUP($E$106,$AM$215:$AN$220,2)</f>
        <v>100</v>
      </c>
      <c r="N129" s="195" t="s">
        <v>559</v>
      </c>
      <c r="O129" s="195"/>
      <c r="P129" s="195">
        <f t="shared" si="48"/>
        <v>0</v>
      </c>
      <c r="Q129" s="195">
        <v>150</v>
      </c>
      <c r="R129" s="195">
        <v>10</v>
      </c>
      <c r="S129" s="195">
        <v>50</v>
      </c>
      <c r="T129" s="195" t="s">
        <v>559</v>
      </c>
      <c r="U129" s="195"/>
      <c r="V129" s="195"/>
      <c r="W129" s="195"/>
      <c r="X129" s="204" t="e">
        <f t="shared" si="49"/>
        <v>#N/A</v>
      </c>
      <c r="Y129" s="204" t="e">
        <v>#VALUE!</v>
      </c>
      <c r="Z129" s="204" t="e">
        <f t="shared" si="50"/>
        <v>#N/A</v>
      </c>
      <c r="AA129" s="195"/>
      <c r="AB129" s="195" t="s">
        <v>559</v>
      </c>
      <c r="AC129" s="204">
        <v>150</v>
      </c>
      <c r="AD129" s="195">
        <f>IF(C129&gt;0,+L129,0)</f>
        <v>0</v>
      </c>
      <c r="AE129" s="195">
        <f>M129</f>
        <v>100</v>
      </c>
      <c r="AF129" s="207" t="e">
        <f t="shared" si="54"/>
        <v>#N/A</v>
      </c>
      <c r="AG129" s="207" t="e">
        <f t="shared" si="55"/>
        <v>#N/A</v>
      </c>
      <c r="AH129" s="207" t="e">
        <f t="shared" si="56"/>
        <v>#N/A</v>
      </c>
      <c r="AI129" s="207" t="e">
        <f t="shared" si="57"/>
        <v>#N/A</v>
      </c>
      <c r="AJ129" s="207" t="e">
        <f t="shared" si="58"/>
        <v>#N/A</v>
      </c>
      <c r="AK129" s="207" t="e">
        <f t="shared" si="59"/>
        <v>#N/A</v>
      </c>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CB129" s="197" t="e">
        <v>#VALUE!</v>
      </c>
    </row>
    <row r="130" spans="1:81" ht="15.75">
      <c r="A130" s="129" t="s">
        <v>1052</v>
      </c>
      <c r="B130" s="198"/>
      <c r="C130" s="168">
        <f>IF(A130='Nutrient Management Planner'!B7,'Nutrient Management Planner'!D7,IF(A130='Nutrient Management Planner'!B8,'Nutrient Management Planner'!D8,IF(A130='Nutrient Management Planner'!B9,'Nutrient Management Planner'!D9,IF(A130='Nutrient Management Planner'!B10,'Nutrient Management Planner'!D10,IF(A130='Nutrient Management Planner'!B11,'Nutrient Management Planner'!D11,IF(A130='Nutrient Management Planner'!B12,'Nutrient Management Planner'!D12,0))))))</f>
        <v>0</v>
      </c>
      <c r="D130" s="216" t="e">
        <f t="shared" si="43"/>
        <v>#N/A</v>
      </c>
      <c r="E130" s="216" t="e">
        <f t="shared" si="60"/>
        <v>#N/A</v>
      </c>
      <c r="F130" s="216" t="e">
        <f t="shared" si="44"/>
        <v>#N/A</v>
      </c>
      <c r="G130" s="206" t="e">
        <f t="shared" si="45"/>
        <v>#N/A</v>
      </c>
      <c r="H130" s="232" t="e">
        <f aca="true" t="shared" si="61" ref="H130:H142">IF(AF130&lt;1,0,AF130)</f>
        <v>#N/A</v>
      </c>
      <c r="I130" s="232" t="e">
        <f aca="true" t="shared" si="62" ref="I130:I142">IF(AH130&lt;1,0,AH130)</f>
        <v>#N/A</v>
      </c>
      <c r="J130" s="195"/>
      <c r="K130" s="207">
        <v>0</v>
      </c>
      <c r="L130" s="207">
        <f>(R130-(0.00057*$D$106))*P130</f>
        <v>0</v>
      </c>
      <c r="M130" s="207">
        <f>(S130-(0.0001*$E$106))*P130</f>
        <v>0</v>
      </c>
      <c r="N130" s="195" t="s">
        <v>560</v>
      </c>
      <c r="O130" s="195"/>
      <c r="P130" s="195">
        <f t="shared" si="48"/>
        <v>0</v>
      </c>
      <c r="Q130" s="195">
        <v>0</v>
      </c>
      <c r="R130" s="195">
        <v>0.017</v>
      </c>
      <c r="S130" s="195">
        <v>0.03</v>
      </c>
      <c r="T130" s="195" t="s">
        <v>560</v>
      </c>
      <c r="U130" s="195"/>
      <c r="V130" s="195"/>
      <c r="W130" s="195"/>
      <c r="X130" s="204" t="e">
        <f t="shared" si="49"/>
        <v>#N/A</v>
      </c>
      <c r="Y130" s="204" t="e">
        <v>#VALUE!</v>
      </c>
      <c r="Z130" s="204" t="e">
        <f t="shared" si="50"/>
        <v>#N/A</v>
      </c>
      <c r="AA130" s="195"/>
      <c r="AB130" s="195" t="s">
        <v>560</v>
      </c>
      <c r="AC130" s="204">
        <f aca="true" t="shared" si="63" ref="AC130:AC142">IF(K130&lt;1,0,K130)</f>
        <v>0</v>
      </c>
      <c r="AD130" s="204">
        <f aca="true" t="shared" si="64" ref="AD130:AD142">IF(L130&lt;1,0,L130)</f>
        <v>0</v>
      </c>
      <c r="AE130" s="204">
        <f aca="true" t="shared" si="65" ref="AE130:AE142">IF(M130&lt;1,0,M130)</f>
        <v>0</v>
      </c>
      <c r="AF130" s="207" t="e">
        <f t="shared" si="54"/>
        <v>#N/A</v>
      </c>
      <c r="AG130" s="207" t="e">
        <f t="shared" si="55"/>
        <v>#N/A</v>
      </c>
      <c r="AH130" s="207" t="e">
        <f t="shared" si="56"/>
        <v>#N/A</v>
      </c>
      <c r="AI130" s="207" t="e">
        <f t="shared" si="57"/>
        <v>#N/A</v>
      </c>
      <c r="AJ130" s="207" t="e">
        <f t="shared" si="58"/>
        <v>#N/A</v>
      </c>
      <c r="AK130" s="207" t="e">
        <f t="shared" si="59"/>
        <v>#N/A</v>
      </c>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203" t="s">
        <v>957</v>
      </c>
    </row>
    <row r="131" spans="1:65" ht="15.75">
      <c r="A131" s="129" t="s">
        <v>1074</v>
      </c>
      <c r="B131" s="198"/>
      <c r="C131" s="168">
        <f>IF(A131='Nutrient Management Planner'!B7,'Nutrient Management Planner'!D7,IF(A131='Nutrient Management Planner'!B8,'Nutrient Management Planner'!D8,IF(A131='Nutrient Management Planner'!B9,'Nutrient Management Planner'!D9,IF(A131='Nutrient Management Planner'!B10,'Nutrient Management Planner'!D10,IF(A131='Nutrient Management Planner'!B11,'Nutrient Management Planner'!D11,IF(A131='Nutrient Management Planner'!B12,'Nutrient Management Planner'!D12,0))))))</f>
        <v>0</v>
      </c>
      <c r="D131" s="216" t="e">
        <f t="shared" si="43"/>
        <v>#N/A</v>
      </c>
      <c r="E131" s="216" t="e">
        <f t="shared" si="60"/>
        <v>#N/A</v>
      </c>
      <c r="F131" s="216" t="e">
        <f t="shared" si="44"/>
        <v>#N/A</v>
      </c>
      <c r="G131" s="206" t="e">
        <f t="shared" si="45"/>
        <v>#N/A</v>
      </c>
      <c r="H131" s="232" t="e">
        <f t="shared" si="61"/>
        <v>#N/A</v>
      </c>
      <c r="I131" s="232" t="e">
        <f t="shared" si="62"/>
        <v>#N/A</v>
      </c>
      <c r="J131" s="195"/>
      <c r="K131" s="207">
        <f>(P131*Q131)-$C$106</f>
        <v>0</v>
      </c>
      <c r="L131" s="207">
        <f>(R131-(0.00057*$D$106))*P131</f>
        <v>0</v>
      </c>
      <c r="M131" s="207">
        <f>(S131-(0.0001*$E$106))*P131</f>
        <v>0</v>
      </c>
      <c r="N131" s="195" t="s">
        <v>561</v>
      </c>
      <c r="O131" s="195"/>
      <c r="P131" s="195">
        <f t="shared" si="48"/>
        <v>0</v>
      </c>
      <c r="Q131" s="195">
        <v>0.04</v>
      </c>
      <c r="R131" s="195">
        <v>0.017</v>
      </c>
      <c r="S131" s="195">
        <v>0.03</v>
      </c>
      <c r="T131" s="195" t="s">
        <v>561</v>
      </c>
      <c r="U131" s="195"/>
      <c r="V131" s="195"/>
      <c r="W131" s="195"/>
      <c r="X131" s="204" t="e">
        <f t="shared" si="49"/>
        <v>#N/A</v>
      </c>
      <c r="Y131" s="204" t="e">
        <v>#VALUE!</v>
      </c>
      <c r="Z131" s="204" t="e">
        <f t="shared" si="50"/>
        <v>#N/A</v>
      </c>
      <c r="AA131" s="195"/>
      <c r="AB131" s="195" t="s">
        <v>561</v>
      </c>
      <c r="AC131" s="204">
        <f t="shared" si="63"/>
        <v>0</v>
      </c>
      <c r="AD131" s="204">
        <f t="shared" si="64"/>
        <v>0</v>
      </c>
      <c r="AE131" s="204">
        <f t="shared" si="65"/>
        <v>0</v>
      </c>
      <c r="AF131" s="207" t="e">
        <f t="shared" si="54"/>
        <v>#N/A</v>
      </c>
      <c r="AG131" s="207" t="e">
        <f t="shared" si="55"/>
        <v>#N/A</v>
      </c>
      <c r="AH131" s="207" t="e">
        <f t="shared" si="56"/>
        <v>#N/A</v>
      </c>
      <c r="AI131" s="207" t="e">
        <f t="shared" si="57"/>
        <v>#N/A</v>
      </c>
      <c r="AJ131" s="207" t="e">
        <f t="shared" si="58"/>
        <v>#N/A</v>
      </c>
      <c r="AK131" s="207" t="e">
        <f t="shared" si="59"/>
        <v>#N/A</v>
      </c>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row>
    <row r="132" spans="1:65" ht="15.75">
      <c r="A132" s="129" t="s">
        <v>1075</v>
      </c>
      <c r="B132" s="198"/>
      <c r="C132" s="168">
        <f>IF(A132='Nutrient Management Planner'!B7,'Nutrient Management Planner'!D7,IF(A132='Nutrient Management Planner'!B8,'Nutrient Management Planner'!D8,IF(A132='Nutrient Management Planner'!B9,'Nutrient Management Planner'!D9,IF(A132='Nutrient Management Planner'!B10,'Nutrient Management Planner'!D10,IF(A132='Nutrient Management Planner'!B11,'Nutrient Management Planner'!D11,IF(A132='Nutrient Management Planner'!B12,'Nutrient Management Planner'!D12,0))))))</f>
        <v>0</v>
      </c>
      <c r="D132" s="216" t="e">
        <f t="shared" si="43"/>
        <v>#N/A</v>
      </c>
      <c r="E132" s="216" t="e">
        <f t="shared" si="60"/>
        <v>#N/A</v>
      </c>
      <c r="F132" s="216" t="e">
        <f t="shared" si="44"/>
        <v>#N/A</v>
      </c>
      <c r="G132" s="206" t="e">
        <f t="shared" si="45"/>
        <v>#N/A</v>
      </c>
      <c r="H132" s="232" t="e">
        <f t="shared" si="61"/>
        <v>#N/A</v>
      </c>
      <c r="I132" s="232" t="e">
        <f t="shared" si="62"/>
        <v>#N/A</v>
      </c>
      <c r="J132" s="195"/>
      <c r="K132" s="207">
        <f>(P132*0.065)-$C$106</f>
        <v>0</v>
      </c>
      <c r="L132" s="207">
        <f>(R132-(0.0012*$D$106))*P132</f>
        <v>0</v>
      </c>
      <c r="M132" s="207">
        <f>(S132-(0.00018*$E$106))*P132</f>
        <v>0</v>
      </c>
      <c r="N132" s="195" t="s">
        <v>562</v>
      </c>
      <c r="O132" s="195"/>
      <c r="P132" s="195">
        <f t="shared" si="48"/>
        <v>0</v>
      </c>
      <c r="Q132" s="195">
        <v>0.065</v>
      </c>
      <c r="R132" s="195">
        <v>0.036000000000000004</v>
      </c>
      <c r="S132" s="195">
        <v>0.054</v>
      </c>
      <c r="T132" s="195" t="s">
        <v>562</v>
      </c>
      <c r="U132" s="195"/>
      <c r="V132" s="195"/>
      <c r="W132" s="195"/>
      <c r="X132" s="204" t="e">
        <f t="shared" si="49"/>
        <v>#N/A</v>
      </c>
      <c r="Y132" s="204" t="e">
        <v>#VALUE!</v>
      </c>
      <c r="Z132" s="204" t="e">
        <f t="shared" si="50"/>
        <v>#N/A</v>
      </c>
      <c r="AA132" s="195"/>
      <c r="AB132" s="195" t="s">
        <v>562</v>
      </c>
      <c r="AC132" s="204">
        <f t="shared" si="63"/>
        <v>0</v>
      </c>
      <c r="AD132" s="204">
        <f t="shared" si="64"/>
        <v>0</v>
      </c>
      <c r="AE132" s="204">
        <f t="shared" si="65"/>
        <v>0</v>
      </c>
      <c r="AF132" s="207" t="e">
        <f t="shared" si="54"/>
        <v>#N/A</v>
      </c>
      <c r="AG132" s="207" t="e">
        <f t="shared" si="55"/>
        <v>#N/A</v>
      </c>
      <c r="AH132" s="207" t="e">
        <f t="shared" si="56"/>
        <v>#N/A</v>
      </c>
      <c r="AI132" s="207" t="e">
        <f t="shared" si="57"/>
        <v>#N/A</v>
      </c>
      <c r="AJ132" s="207" t="e">
        <f t="shared" si="58"/>
        <v>#N/A</v>
      </c>
      <c r="AK132" s="207" t="e">
        <f t="shared" si="59"/>
        <v>#N/A</v>
      </c>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row>
    <row r="133" spans="1:80" ht="15.75">
      <c r="A133" s="129" t="s">
        <v>1071</v>
      </c>
      <c r="B133" s="198"/>
      <c r="C133" s="168">
        <f>IF(A133='Nutrient Management Planner'!B7,'Nutrient Management Planner'!D7,IF(A133='Nutrient Management Planner'!B8,'Nutrient Management Planner'!D8,IF(A133='Nutrient Management Planner'!B9,'Nutrient Management Planner'!D9,IF(A133='Nutrient Management Planner'!B10,'Nutrient Management Planner'!D10,IF(A133='Nutrient Management Planner'!B11,'Nutrient Management Planner'!D11,IF(A133='Nutrient Management Planner'!B12,'Nutrient Management Planner'!D12,0))))))</f>
        <v>0</v>
      </c>
      <c r="D133" s="216" t="e">
        <f t="shared" si="43"/>
        <v>#N/A</v>
      </c>
      <c r="E133" s="216" t="e">
        <f t="shared" si="60"/>
        <v>#N/A</v>
      </c>
      <c r="F133" s="216" t="e">
        <f t="shared" si="44"/>
        <v>#N/A</v>
      </c>
      <c r="G133" s="206" t="e">
        <f t="shared" si="45"/>
        <v>#N/A</v>
      </c>
      <c r="H133" s="232" t="e">
        <f t="shared" si="61"/>
        <v>#N/A</v>
      </c>
      <c r="I133" s="232" t="e">
        <f t="shared" si="62"/>
        <v>#N/A</v>
      </c>
      <c r="J133" s="195"/>
      <c r="K133" s="207">
        <f>(P133*Q133)-$C$106</f>
        <v>0</v>
      </c>
      <c r="L133" s="207">
        <f>(R133-(0.0147*$D$106))*P133</f>
        <v>0</v>
      </c>
      <c r="M133" s="207">
        <f>(S133-(0.0043*$E$106))*P133</f>
        <v>0</v>
      </c>
      <c r="N133" s="195" t="s">
        <v>563</v>
      </c>
      <c r="O133" s="195"/>
      <c r="P133" s="195">
        <f t="shared" si="48"/>
        <v>0</v>
      </c>
      <c r="Q133" s="195">
        <v>1.35</v>
      </c>
      <c r="R133" s="195">
        <v>0.44</v>
      </c>
      <c r="S133" s="195">
        <v>1.29</v>
      </c>
      <c r="T133" s="195" t="s">
        <v>563</v>
      </c>
      <c r="U133" s="195"/>
      <c r="V133" s="195"/>
      <c r="W133" s="195"/>
      <c r="X133" s="204" t="e">
        <f t="shared" si="49"/>
        <v>#N/A</v>
      </c>
      <c r="Y133" s="204" t="e">
        <v>#VALUE!</v>
      </c>
      <c r="Z133" s="204" t="e">
        <f t="shared" si="50"/>
        <v>#N/A</v>
      </c>
      <c r="AA133" s="195"/>
      <c r="AB133" s="195" t="s">
        <v>563</v>
      </c>
      <c r="AC133" s="204">
        <f t="shared" si="63"/>
        <v>0</v>
      </c>
      <c r="AD133" s="204">
        <f t="shared" si="64"/>
        <v>0</v>
      </c>
      <c r="AE133" s="204">
        <f t="shared" si="65"/>
        <v>0</v>
      </c>
      <c r="AF133" s="207" t="e">
        <f t="shared" si="54"/>
        <v>#N/A</v>
      </c>
      <c r="AG133" s="207" t="e">
        <f t="shared" si="55"/>
        <v>#N/A</v>
      </c>
      <c r="AH133" s="207" t="e">
        <f t="shared" si="56"/>
        <v>#N/A</v>
      </c>
      <c r="AI133" s="207" t="e">
        <f t="shared" si="57"/>
        <v>#N/A</v>
      </c>
      <c r="AJ133" s="207" t="e">
        <f t="shared" si="58"/>
        <v>#N/A</v>
      </c>
      <c r="AK133" s="207" t="e">
        <f t="shared" si="59"/>
        <v>#N/A</v>
      </c>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CB133" s="197" t="e">
        <v>#VALUE!</v>
      </c>
    </row>
    <row r="134" spans="1:65" ht="15.75">
      <c r="A134" s="129" t="s">
        <v>1076</v>
      </c>
      <c r="B134" s="198"/>
      <c r="C134" s="168">
        <f>IF(A134='Nutrient Management Planner'!B7,'Nutrient Management Planner'!D7,IF(A134='Nutrient Management Planner'!B8,'Nutrient Management Planner'!D8,IF(A134='Nutrient Management Planner'!B9,'Nutrient Management Planner'!D9,IF(A134='Nutrient Management Planner'!B10,'Nutrient Management Planner'!D10,IF(A134='Nutrient Management Planner'!B11,'Nutrient Management Planner'!D11,IF(A134='Nutrient Management Planner'!B12,'Nutrient Management Planner'!D12,0))))))</f>
        <v>0</v>
      </c>
      <c r="D134" s="216" t="e">
        <f t="shared" si="43"/>
        <v>#N/A</v>
      </c>
      <c r="E134" s="216" t="e">
        <f t="shared" si="60"/>
        <v>#N/A</v>
      </c>
      <c r="F134" s="216" t="e">
        <f t="shared" si="44"/>
        <v>#N/A</v>
      </c>
      <c r="G134" s="206" t="e">
        <f t="shared" si="45"/>
        <v>#N/A</v>
      </c>
      <c r="H134" s="232" t="e">
        <f t="shared" si="61"/>
        <v>#N/A</v>
      </c>
      <c r="I134" s="232" t="e">
        <f t="shared" si="62"/>
        <v>#N/A</v>
      </c>
      <c r="J134" s="195"/>
      <c r="K134" s="207">
        <f>(P134*0.4)-$C$106</f>
        <v>0</v>
      </c>
      <c r="L134" s="207">
        <f>(R134-(0.017*$D$106))*P134</f>
        <v>0</v>
      </c>
      <c r="M134" s="207">
        <f>(S134-(0.0029*$E$106))*P134</f>
        <v>0</v>
      </c>
      <c r="N134" s="195" t="s">
        <v>565</v>
      </c>
      <c r="O134" s="195"/>
      <c r="P134" s="195">
        <f t="shared" si="48"/>
        <v>0</v>
      </c>
      <c r="Q134" s="195">
        <v>0.4</v>
      </c>
      <c r="R134" s="195">
        <v>0.51</v>
      </c>
      <c r="S134" s="195">
        <v>0.87</v>
      </c>
      <c r="T134" s="195" t="s">
        <v>565</v>
      </c>
      <c r="U134" s="195"/>
      <c r="V134" s="195"/>
      <c r="W134" s="195"/>
      <c r="X134" s="204" t="e">
        <f t="shared" si="49"/>
        <v>#N/A</v>
      </c>
      <c r="Y134" s="204" t="e">
        <v>#VALUE!</v>
      </c>
      <c r="Z134" s="204" t="e">
        <f t="shared" si="50"/>
        <v>#N/A</v>
      </c>
      <c r="AA134" s="195"/>
      <c r="AB134" s="195" t="s">
        <v>565</v>
      </c>
      <c r="AC134" s="204">
        <f t="shared" si="63"/>
        <v>0</v>
      </c>
      <c r="AD134" s="204">
        <f t="shared" si="64"/>
        <v>0</v>
      </c>
      <c r="AE134" s="204">
        <f t="shared" si="65"/>
        <v>0</v>
      </c>
      <c r="AF134" s="207" t="e">
        <f t="shared" si="54"/>
        <v>#N/A</v>
      </c>
      <c r="AG134" s="207" t="e">
        <f t="shared" si="55"/>
        <v>#N/A</v>
      </c>
      <c r="AH134" s="207" t="e">
        <f t="shared" si="56"/>
        <v>#N/A</v>
      </c>
      <c r="AI134" s="207" t="e">
        <f t="shared" si="57"/>
        <v>#N/A</v>
      </c>
      <c r="AJ134" s="207" t="e">
        <f t="shared" si="58"/>
        <v>#N/A</v>
      </c>
      <c r="AK134" s="207" t="e">
        <f t="shared" si="59"/>
        <v>#N/A</v>
      </c>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row>
    <row r="135" spans="1:65" ht="15.75">
      <c r="A135" s="129" t="s">
        <v>1077</v>
      </c>
      <c r="B135" s="198"/>
      <c r="C135" s="168">
        <f>IF(A135='Nutrient Management Planner'!B7,'Nutrient Management Planner'!D7,IF(A135='Nutrient Management Planner'!B8,'Nutrient Management Planner'!D8,IF(A135='Nutrient Management Planner'!B9,'Nutrient Management Planner'!D9,IF(A135='Nutrient Management Planner'!B10,'Nutrient Management Planner'!D10,IF(A135='Nutrient Management Planner'!B11,'Nutrient Management Planner'!D11,IF(A135='Nutrient Management Planner'!B12,'Nutrient Management Planner'!D12,0))))))</f>
        <v>0</v>
      </c>
      <c r="D135" s="216" t="e">
        <f t="shared" si="43"/>
        <v>#N/A</v>
      </c>
      <c r="E135" s="216" t="e">
        <f t="shared" si="60"/>
        <v>#N/A</v>
      </c>
      <c r="F135" s="216" t="e">
        <f t="shared" si="44"/>
        <v>#N/A</v>
      </c>
      <c r="G135" s="206" t="e">
        <f t="shared" si="45"/>
        <v>#N/A</v>
      </c>
      <c r="H135" s="232" t="e">
        <f t="shared" si="61"/>
        <v>#N/A</v>
      </c>
      <c r="I135" s="232" t="e">
        <f t="shared" si="62"/>
        <v>#N/A</v>
      </c>
      <c r="J135" s="195"/>
      <c r="K135" s="207">
        <f>(P135*0.065)-$C$106</f>
        <v>0</v>
      </c>
      <c r="L135" s="207">
        <f>(R135-(0.0012*$D$106))*P135</f>
        <v>0</v>
      </c>
      <c r="M135" s="207">
        <f>(S135-(0.00018*$E$106))*P135</f>
        <v>0</v>
      </c>
      <c r="N135" s="195" t="s">
        <v>566</v>
      </c>
      <c r="O135" s="195"/>
      <c r="P135" s="195">
        <f t="shared" si="48"/>
        <v>0</v>
      </c>
      <c r="Q135" s="195">
        <v>0.065</v>
      </c>
      <c r="R135" s="195">
        <v>0.036000000000000004</v>
      </c>
      <c r="S135" s="195">
        <v>0.054</v>
      </c>
      <c r="T135" s="195" t="s">
        <v>566</v>
      </c>
      <c r="U135" s="195"/>
      <c r="V135" s="195"/>
      <c r="W135" s="195"/>
      <c r="X135" s="204" t="e">
        <f t="shared" si="49"/>
        <v>#N/A</v>
      </c>
      <c r="Y135" s="204" t="e">
        <v>#VALUE!</v>
      </c>
      <c r="Z135" s="204" t="e">
        <f t="shared" si="50"/>
        <v>#N/A</v>
      </c>
      <c r="AA135" s="195"/>
      <c r="AB135" s="195" t="s">
        <v>566</v>
      </c>
      <c r="AC135" s="204">
        <f t="shared" si="63"/>
        <v>0</v>
      </c>
      <c r="AD135" s="204">
        <f t="shared" si="64"/>
        <v>0</v>
      </c>
      <c r="AE135" s="204">
        <f t="shared" si="65"/>
        <v>0</v>
      </c>
      <c r="AF135" s="207" t="e">
        <f t="shared" si="54"/>
        <v>#N/A</v>
      </c>
      <c r="AG135" s="207" t="e">
        <f t="shared" si="55"/>
        <v>#N/A</v>
      </c>
      <c r="AH135" s="207" t="e">
        <f t="shared" si="56"/>
        <v>#N/A</v>
      </c>
      <c r="AI135" s="207" t="e">
        <f t="shared" si="57"/>
        <v>#N/A</v>
      </c>
      <c r="AJ135" s="207" t="e">
        <f t="shared" si="58"/>
        <v>#N/A</v>
      </c>
      <c r="AK135" s="207" t="e">
        <f t="shared" si="59"/>
        <v>#N/A</v>
      </c>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row>
    <row r="136" spans="1:65" ht="15.75">
      <c r="A136" s="129" t="s">
        <v>1053</v>
      </c>
      <c r="B136" s="198"/>
      <c r="C136" s="168">
        <f>IF(A136='Nutrient Management Planner'!B7,'Nutrient Management Planner'!D7,IF(A136='Nutrient Management Planner'!B8,'Nutrient Management Planner'!D8,IF(A136='Nutrient Management Planner'!B9,'Nutrient Management Planner'!D9,IF(A136='Nutrient Management Planner'!B10,'Nutrient Management Planner'!D10,IF(A136='Nutrient Management Planner'!B11,'Nutrient Management Planner'!D11,IF(A136='Nutrient Management Planner'!B12,'Nutrient Management Planner'!D12,0))))))</f>
        <v>0</v>
      </c>
      <c r="D136" s="216" t="e">
        <f t="shared" si="43"/>
        <v>#N/A</v>
      </c>
      <c r="E136" s="216" t="e">
        <f t="shared" si="60"/>
        <v>#N/A</v>
      </c>
      <c r="F136" s="216" t="e">
        <f t="shared" si="44"/>
        <v>#N/A</v>
      </c>
      <c r="G136" s="206" t="e">
        <f t="shared" si="45"/>
        <v>#N/A</v>
      </c>
      <c r="H136" s="232" t="e">
        <f t="shared" si="61"/>
        <v>#N/A</v>
      </c>
      <c r="I136" s="232" t="e">
        <f t="shared" si="62"/>
        <v>#N/A</v>
      </c>
      <c r="J136" s="195"/>
      <c r="K136" s="207">
        <f>(P136*Q136)-$C$106</f>
        <v>0</v>
      </c>
      <c r="L136" s="207">
        <f>(R136-(0.029*$D$106))*P136</f>
        <v>0</v>
      </c>
      <c r="M136" s="207">
        <f>(S136-(0.009*$E$106))*P136</f>
        <v>0</v>
      </c>
      <c r="N136" s="195" t="s">
        <v>567</v>
      </c>
      <c r="O136" s="195"/>
      <c r="P136" s="195">
        <f t="shared" si="48"/>
        <v>0</v>
      </c>
      <c r="Q136" s="195">
        <v>2.5</v>
      </c>
      <c r="R136" s="195">
        <v>1.033</v>
      </c>
      <c r="S136" s="195">
        <v>2.67</v>
      </c>
      <c r="T136" s="195" t="s">
        <v>567</v>
      </c>
      <c r="U136" s="195"/>
      <c r="V136" s="195"/>
      <c r="W136" s="195"/>
      <c r="X136" s="204" t="e">
        <f t="shared" si="49"/>
        <v>#N/A</v>
      </c>
      <c r="Y136" s="204" t="e">
        <v>#VALUE!</v>
      </c>
      <c r="Z136" s="204" t="e">
        <f t="shared" si="50"/>
        <v>#N/A</v>
      </c>
      <c r="AA136" s="195"/>
      <c r="AB136" s="195" t="s">
        <v>567</v>
      </c>
      <c r="AC136" s="204">
        <f t="shared" si="63"/>
        <v>0</v>
      </c>
      <c r="AD136" s="204">
        <f t="shared" si="64"/>
        <v>0</v>
      </c>
      <c r="AE136" s="204">
        <f t="shared" si="65"/>
        <v>0</v>
      </c>
      <c r="AF136" s="207" t="e">
        <f t="shared" si="54"/>
        <v>#N/A</v>
      </c>
      <c r="AG136" s="207" t="e">
        <f t="shared" si="55"/>
        <v>#N/A</v>
      </c>
      <c r="AH136" s="207" t="e">
        <f t="shared" si="56"/>
        <v>#N/A</v>
      </c>
      <c r="AI136" s="207" t="e">
        <f t="shared" si="57"/>
        <v>#N/A</v>
      </c>
      <c r="AJ136" s="207" t="e">
        <f t="shared" si="58"/>
        <v>#N/A</v>
      </c>
      <c r="AK136" s="207" t="e">
        <f t="shared" si="59"/>
        <v>#N/A</v>
      </c>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row>
    <row r="137" spans="1:65" ht="15.75">
      <c r="A137" s="129" t="s">
        <v>1078</v>
      </c>
      <c r="B137" s="198"/>
      <c r="C137" s="168">
        <f>IF(A137='Nutrient Management Planner'!B7,'Nutrient Management Planner'!D7,IF(A137='Nutrient Management Planner'!B8,'Nutrient Management Planner'!D8,IF(A137='Nutrient Management Planner'!B9,'Nutrient Management Planner'!D9,IF(A137='Nutrient Management Planner'!B10,'Nutrient Management Planner'!D10,IF(A137='Nutrient Management Planner'!B11,'Nutrient Management Planner'!D11,IF(A137='Nutrient Management Planner'!B12,'Nutrient Management Planner'!D12,0))))))</f>
        <v>0</v>
      </c>
      <c r="D137" s="216" t="e">
        <f t="shared" si="43"/>
        <v>#N/A</v>
      </c>
      <c r="E137" s="216" t="e">
        <f t="shared" si="60"/>
        <v>#N/A</v>
      </c>
      <c r="F137" s="216" t="e">
        <f t="shared" si="44"/>
        <v>#N/A</v>
      </c>
      <c r="G137" s="206" t="e">
        <f t="shared" si="45"/>
        <v>#N/A</v>
      </c>
      <c r="H137" s="232" t="e">
        <f t="shared" si="61"/>
        <v>#N/A</v>
      </c>
      <c r="I137" s="232" t="e">
        <f t="shared" si="62"/>
        <v>#N/A</v>
      </c>
      <c r="J137" s="195"/>
      <c r="K137" s="207">
        <f>(P137*Q137)-$C$106</f>
        <v>0</v>
      </c>
      <c r="L137" s="207">
        <f>(R137-0.0009*$D$106)*P137</f>
        <v>0</v>
      </c>
      <c r="M137" s="207">
        <f>(S137-(0.00015*$E$106))*P137</f>
        <v>0</v>
      </c>
      <c r="N137" s="195" t="s">
        <v>568</v>
      </c>
      <c r="O137" s="195"/>
      <c r="P137" s="195">
        <f t="shared" si="48"/>
        <v>0</v>
      </c>
      <c r="Q137" s="195">
        <v>0.05</v>
      </c>
      <c r="R137" s="195">
        <v>0.027</v>
      </c>
      <c r="S137" s="195">
        <v>0.045</v>
      </c>
      <c r="T137" s="195" t="s">
        <v>568</v>
      </c>
      <c r="U137" s="195"/>
      <c r="V137" s="195"/>
      <c r="W137" s="195"/>
      <c r="X137" s="204" t="e">
        <f t="shared" si="49"/>
        <v>#N/A</v>
      </c>
      <c r="Y137" s="204" t="e">
        <v>#VALUE!</v>
      </c>
      <c r="Z137" s="204" t="e">
        <f t="shared" si="50"/>
        <v>#N/A</v>
      </c>
      <c r="AA137" s="195"/>
      <c r="AB137" s="195" t="s">
        <v>568</v>
      </c>
      <c r="AC137" s="204">
        <f t="shared" si="63"/>
        <v>0</v>
      </c>
      <c r="AD137" s="204">
        <f t="shared" si="64"/>
        <v>0</v>
      </c>
      <c r="AE137" s="204">
        <f t="shared" si="65"/>
        <v>0</v>
      </c>
      <c r="AF137" s="207" t="e">
        <f t="shared" si="54"/>
        <v>#N/A</v>
      </c>
      <c r="AG137" s="207" t="e">
        <f t="shared" si="55"/>
        <v>#N/A</v>
      </c>
      <c r="AH137" s="207" t="e">
        <f t="shared" si="56"/>
        <v>#N/A</v>
      </c>
      <c r="AI137" s="207" t="e">
        <f t="shared" si="57"/>
        <v>#N/A</v>
      </c>
      <c r="AJ137" s="207" t="e">
        <f t="shared" si="58"/>
        <v>#N/A</v>
      </c>
      <c r="AK137" s="207" t="e">
        <f t="shared" si="59"/>
        <v>#N/A</v>
      </c>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row>
    <row r="138" spans="1:65" ht="15.75">
      <c r="A138" s="129" t="s">
        <v>1079</v>
      </c>
      <c r="B138" s="198"/>
      <c r="C138" s="168">
        <f>IF(A138='Nutrient Management Planner'!B7,'Nutrient Management Planner'!D7,IF(A138='Nutrient Management Planner'!B8,'Nutrient Management Planner'!D8,IF(A138='Nutrient Management Planner'!B9,'Nutrient Management Planner'!D9,IF(A138='Nutrient Management Planner'!B10,'Nutrient Management Planner'!D10,IF(A138='Nutrient Management Planner'!B11,'Nutrient Management Planner'!D11,IF(A138='Nutrient Management Planner'!B12,'Nutrient Management Planner'!D12,0))))))</f>
        <v>0</v>
      </c>
      <c r="D138" s="216" t="e">
        <f t="shared" si="43"/>
        <v>#N/A</v>
      </c>
      <c r="E138" s="216" t="e">
        <f t="shared" si="60"/>
        <v>#N/A</v>
      </c>
      <c r="F138" s="216" t="e">
        <f t="shared" si="44"/>
        <v>#N/A</v>
      </c>
      <c r="G138" s="206" t="e">
        <f t="shared" si="45"/>
        <v>#N/A</v>
      </c>
      <c r="H138" s="232" t="e">
        <f t="shared" si="61"/>
        <v>#N/A</v>
      </c>
      <c r="I138" s="232" t="e">
        <f t="shared" si="62"/>
        <v>#N/A</v>
      </c>
      <c r="J138" s="195"/>
      <c r="K138" s="207">
        <v>0</v>
      </c>
      <c r="L138" s="207">
        <f>(R138-(0.047*$D$106))*P138</f>
        <v>0</v>
      </c>
      <c r="M138" s="207">
        <f>(S138-(0.0062*$E$106))*P138</f>
        <v>0</v>
      </c>
      <c r="N138" s="195" t="s">
        <v>569</v>
      </c>
      <c r="O138" s="195"/>
      <c r="P138" s="195">
        <f t="shared" si="48"/>
        <v>0</v>
      </c>
      <c r="Q138" s="195">
        <v>0</v>
      </c>
      <c r="R138" s="195">
        <v>1.41</v>
      </c>
      <c r="S138" s="195">
        <v>1.86</v>
      </c>
      <c r="T138" s="195" t="s">
        <v>569</v>
      </c>
      <c r="U138" s="195"/>
      <c r="V138" s="195"/>
      <c r="W138" s="195"/>
      <c r="X138" s="204" t="e">
        <f t="shared" si="49"/>
        <v>#N/A</v>
      </c>
      <c r="Y138" s="204" t="e">
        <v>#VALUE!</v>
      </c>
      <c r="Z138" s="204" t="e">
        <f t="shared" si="50"/>
        <v>#N/A</v>
      </c>
      <c r="AA138" s="195"/>
      <c r="AB138" s="195" t="s">
        <v>569</v>
      </c>
      <c r="AC138" s="204">
        <f t="shared" si="63"/>
        <v>0</v>
      </c>
      <c r="AD138" s="204">
        <f t="shared" si="64"/>
        <v>0</v>
      </c>
      <c r="AE138" s="204">
        <f t="shared" si="65"/>
        <v>0</v>
      </c>
      <c r="AF138" s="207" t="e">
        <f t="shared" si="54"/>
        <v>#N/A</v>
      </c>
      <c r="AG138" s="207" t="e">
        <f t="shared" si="55"/>
        <v>#N/A</v>
      </c>
      <c r="AH138" s="207" t="e">
        <f t="shared" si="56"/>
        <v>#N/A</v>
      </c>
      <c r="AI138" s="207" t="e">
        <f t="shared" si="57"/>
        <v>#N/A</v>
      </c>
      <c r="AJ138" s="207" t="e">
        <f t="shared" si="58"/>
        <v>#N/A</v>
      </c>
      <c r="AK138" s="207" t="e">
        <f t="shared" si="59"/>
        <v>#N/A</v>
      </c>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row>
    <row r="139" spans="1:65" ht="15.75">
      <c r="A139" s="129" t="s">
        <v>1080</v>
      </c>
      <c r="B139" s="198"/>
      <c r="C139" s="168">
        <f>IF(A139='Nutrient Management Planner'!B7,'Nutrient Management Planner'!D7,IF(A139='Nutrient Management Planner'!B8,'Nutrient Management Planner'!D8,IF(A139='Nutrient Management Planner'!B9,'Nutrient Management Planner'!D9,IF(A139='Nutrient Management Planner'!B10,'Nutrient Management Planner'!D10,IF(A139='Nutrient Management Planner'!B11,'Nutrient Management Planner'!D11,IF(A139='Nutrient Management Planner'!B12,'Nutrient Management Planner'!D12,0))))))</f>
        <v>0</v>
      </c>
      <c r="D139" s="216" t="e">
        <f t="shared" si="43"/>
        <v>#N/A</v>
      </c>
      <c r="E139" s="216" t="e">
        <f t="shared" si="60"/>
        <v>#N/A</v>
      </c>
      <c r="F139" s="216" t="e">
        <f t="shared" si="44"/>
        <v>#N/A</v>
      </c>
      <c r="G139" s="206" t="e">
        <f t="shared" si="45"/>
        <v>#N/A</v>
      </c>
      <c r="H139" s="232" t="e">
        <f t="shared" si="61"/>
        <v>#N/A</v>
      </c>
      <c r="I139" s="232" t="e">
        <f t="shared" si="62"/>
        <v>#N/A</v>
      </c>
      <c r="J139" s="195"/>
      <c r="K139" s="207">
        <f>(P139*Q139)-$C$106</f>
        <v>0</v>
      </c>
      <c r="L139" s="207">
        <f>(R139-(0.017*$D$106))*P139</f>
        <v>0</v>
      </c>
      <c r="M139" s="207">
        <f>(S139-(0.0029*$E$106))*P139</f>
        <v>0</v>
      </c>
      <c r="N139" s="195" t="s">
        <v>570</v>
      </c>
      <c r="O139" s="195"/>
      <c r="P139" s="195">
        <f t="shared" si="48"/>
        <v>0</v>
      </c>
      <c r="Q139" s="195">
        <v>7.5</v>
      </c>
      <c r="R139" s="195">
        <v>2.5</v>
      </c>
      <c r="S139" s="195">
        <v>4</v>
      </c>
      <c r="T139" s="195" t="s">
        <v>570</v>
      </c>
      <c r="U139" s="195"/>
      <c r="V139" s="195"/>
      <c r="W139" s="195"/>
      <c r="X139" s="204" t="e">
        <f t="shared" si="49"/>
        <v>#N/A</v>
      </c>
      <c r="Y139" s="204" t="e">
        <v>#VALUE!</v>
      </c>
      <c r="Z139" s="204" t="e">
        <f t="shared" si="50"/>
        <v>#N/A</v>
      </c>
      <c r="AA139" s="195"/>
      <c r="AB139" s="195" t="s">
        <v>570</v>
      </c>
      <c r="AC139" s="204">
        <f t="shared" si="63"/>
        <v>0</v>
      </c>
      <c r="AD139" s="204">
        <f t="shared" si="64"/>
        <v>0</v>
      </c>
      <c r="AE139" s="204">
        <f t="shared" si="65"/>
        <v>0</v>
      </c>
      <c r="AF139" s="207" t="e">
        <f t="shared" si="54"/>
        <v>#N/A</v>
      </c>
      <c r="AG139" s="207" t="e">
        <f t="shared" si="55"/>
        <v>#N/A</v>
      </c>
      <c r="AH139" s="207" t="e">
        <f t="shared" si="56"/>
        <v>#N/A</v>
      </c>
      <c r="AI139" s="207" t="e">
        <f t="shared" si="57"/>
        <v>#N/A</v>
      </c>
      <c r="AJ139" s="207" t="e">
        <f t="shared" si="58"/>
        <v>#N/A</v>
      </c>
      <c r="AK139" s="207" t="e">
        <f t="shared" si="59"/>
        <v>#N/A</v>
      </c>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row>
    <row r="140" spans="1:65" ht="15.75">
      <c r="A140" s="129" t="s">
        <v>1054</v>
      </c>
      <c r="B140" s="198"/>
      <c r="C140" s="168">
        <f>IF(A140='Nutrient Management Planner'!B7,'Nutrient Management Planner'!D7,IF(A140='Nutrient Management Planner'!B8,'Nutrient Management Planner'!D8,IF(A140='Nutrient Management Planner'!B9,'Nutrient Management Planner'!D9,IF(A140='Nutrient Management Planner'!B10,'Nutrient Management Planner'!D10,IF(A140='Nutrient Management Planner'!B11,'Nutrient Management Planner'!D11,IF(A140='Nutrient Management Planner'!B12,'Nutrient Management Planner'!D12,0))))))</f>
        <v>0</v>
      </c>
      <c r="D140" s="216" t="e">
        <f t="shared" si="43"/>
        <v>#N/A</v>
      </c>
      <c r="E140" s="216" t="e">
        <f t="shared" si="60"/>
        <v>#N/A</v>
      </c>
      <c r="F140" s="216" t="e">
        <f t="shared" si="44"/>
        <v>#N/A</v>
      </c>
      <c r="G140" s="206" t="e">
        <f t="shared" si="45"/>
        <v>#N/A</v>
      </c>
      <c r="H140" s="232" t="e">
        <f t="shared" si="61"/>
        <v>#N/A</v>
      </c>
      <c r="I140" s="232" t="e">
        <f t="shared" si="62"/>
        <v>#N/A</v>
      </c>
      <c r="J140" s="195"/>
      <c r="K140" s="207">
        <f>(P140*Q140)-$C$106</f>
        <v>0</v>
      </c>
      <c r="L140" s="207">
        <f>(R140-(0.0007*$D$106))*P140</f>
        <v>0</v>
      </c>
      <c r="M140" s="207">
        <f>(S140-(0.00015*$E$106))*P140</f>
        <v>0</v>
      </c>
      <c r="N140" s="195" t="s">
        <v>571</v>
      </c>
      <c r="O140" s="195"/>
      <c r="P140" s="195">
        <f t="shared" si="48"/>
        <v>0</v>
      </c>
      <c r="Q140" s="195">
        <v>0.05</v>
      </c>
      <c r="R140" s="195">
        <v>0.021</v>
      </c>
      <c r="S140" s="195">
        <v>0.045</v>
      </c>
      <c r="T140" s="195" t="s">
        <v>571</v>
      </c>
      <c r="U140" s="195"/>
      <c r="V140" s="195"/>
      <c r="W140" s="195"/>
      <c r="X140" s="204" t="e">
        <f t="shared" si="49"/>
        <v>#N/A</v>
      </c>
      <c r="Y140" s="204" t="e">
        <v>#VALUE!</v>
      </c>
      <c r="Z140" s="204" t="e">
        <f t="shared" si="50"/>
        <v>#N/A</v>
      </c>
      <c r="AA140" s="195"/>
      <c r="AB140" s="195" t="s">
        <v>571</v>
      </c>
      <c r="AC140" s="204">
        <f t="shared" si="63"/>
        <v>0</v>
      </c>
      <c r="AD140" s="204">
        <f t="shared" si="64"/>
        <v>0</v>
      </c>
      <c r="AE140" s="204">
        <f t="shared" si="65"/>
        <v>0</v>
      </c>
      <c r="AF140" s="207" t="e">
        <f t="shared" si="54"/>
        <v>#N/A</v>
      </c>
      <c r="AG140" s="207" t="e">
        <f t="shared" si="55"/>
        <v>#N/A</v>
      </c>
      <c r="AH140" s="207" t="e">
        <f t="shared" si="56"/>
        <v>#N/A</v>
      </c>
      <c r="AI140" s="207" t="e">
        <f t="shared" si="57"/>
        <v>#N/A</v>
      </c>
      <c r="AJ140" s="207" t="e">
        <f t="shared" si="58"/>
        <v>#N/A</v>
      </c>
      <c r="AK140" s="207" t="e">
        <f t="shared" si="59"/>
        <v>#N/A</v>
      </c>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row>
    <row r="141" spans="1:65" ht="15.75">
      <c r="A141" s="129" t="s">
        <v>1055</v>
      </c>
      <c r="B141" s="198"/>
      <c r="C141" s="168">
        <f>IF(A141='Nutrient Management Planner'!B7,'Nutrient Management Planner'!D7,IF(A141='Nutrient Management Planner'!B8,'Nutrient Management Planner'!D8,IF(A141='Nutrient Management Planner'!B9,'Nutrient Management Planner'!D9,IF(A141='Nutrient Management Planner'!B10,'Nutrient Management Planner'!D10,IF(A141='Nutrient Management Planner'!B11,'Nutrient Management Planner'!D11,IF(A141='Nutrient Management Planner'!B12,'Nutrient Management Planner'!D12,0))))))</f>
        <v>0</v>
      </c>
      <c r="D141" s="216" t="e">
        <f t="shared" si="43"/>
        <v>#N/A</v>
      </c>
      <c r="E141" s="216" t="e">
        <f>IF(ISERR(AE141/$D$83),0,(AE141/$D$83))</f>
        <v>#N/A</v>
      </c>
      <c r="F141" s="216" t="e">
        <f t="shared" si="44"/>
        <v>#N/A</v>
      </c>
      <c r="G141" s="206" t="e">
        <f t="shared" si="45"/>
        <v>#N/A</v>
      </c>
      <c r="H141" s="232" t="e">
        <f t="shared" si="61"/>
        <v>#N/A</v>
      </c>
      <c r="I141" s="232" t="e">
        <f t="shared" si="62"/>
        <v>#N/A</v>
      </c>
      <c r="J141" s="195"/>
      <c r="K141" s="207">
        <v>0</v>
      </c>
      <c r="L141" s="207">
        <f>(R141-(0.7*$D$106))*P141</f>
        <v>0</v>
      </c>
      <c r="M141" s="207">
        <f>(S141-(0.175*$E$106))*P141</f>
        <v>0</v>
      </c>
      <c r="N141" s="195" t="s">
        <v>572</v>
      </c>
      <c r="O141" s="195"/>
      <c r="P141" s="195">
        <f t="shared" si="48"/>
        <v>0</v>
      </c>
      <c r="Q141" s="195">
        <v>0</v>
      </c>
      <c r="R141" s="195">
        <v>21</v>
      </c>
      <c r="S141" s="195">
        <v>52.5</v>
      </c>
      <c r="T141" s="195" t="s">
        <v>572</v>
      </c>
      <c r="U141" s="195"/>
      <c r="V141" s="195"/>
      <c r="W141" s="195"/>
      <c r="X141" s="204" t="e">
        <f t="shared" si="49"/>
        <v>#N/A</v>
      </c>
      <c r="Y141" s="204" t="e">
        <v>#VALUE!</v>
      </c>
      <c r="Z141" s="204" t="e">
        <f t="shared" si="50"/>
        <v>#N/A</v>
      </c>
      <c r="AA141" s="195"/>
      <c r="AB141" s="195" t="s">
        <v>572</v>
      </c>
      <c r="AC141" s="204">
        <f t="shared" si="63"/>
        <v>0</v>
      </c>
      <c r="AD141" s="204">
        <f t="shared" si="64"/>
        <v>0</v>
      </c>
      <c r="AE141" s="204">
        <f t="shared" si="65"/>
        <v>0</v>
      </c>
      <c r="AF141" s="207" t="e">
        <f t="shared" si="54"/>
        <v>#N/A</v>
      </c>
      <c r="AG141" s="207" t="e">
        <f t="shared" si="55"/>
        <v>#N/A</v>
      </c>
      <c r="AH141" s="207" t="e">
        <f t="shared" si="56"/>
        <v>#N/A</v>
      </c>
      <c r="AI141" s="207" t="e">
        <f t="shared" si="57"/>
        <v>#N/A</v>
      </c>
      <c r="AJ141" s="207" t="e">
        <f t="shared" si="58"/>
        <v>#N/A</v>
      </c>
      <c r="AK141" s="207" t="e">
        <f t="shared" si="59"/>
        <v>#N/A</v>
      </c>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row>
    <row r="142" spans="1:65" ht="15.75">
      <c r="A142" s="129" t="s">
        <v>1081</v>
      </c>
      <c r="B142" s="198"/>
      <c r="C142" s="168">
        <f>IF(A142='Nutrient Management Planner'!B7,'Nutrient Management Planner'!D7,IF(A142='Nutrient Management Planner'!B8,'Nutrient Management Planner'!D8,IF(A142='Nutrient Management Planner'!B9,'Nutrient Management Planner'!D9,IF(A142='Nutrient Management Planner'!B10,'Nutrient Management Planner'!D10,IF(A142='Nutrient Management Planner'!B11,'Nutrient Management Planner'!D11,IF(A142='Nutrient Management Planner'!B12,'Nutrient Management Planner'!D12,0))))))</f>
        <v>0</v>
      </c>
      <c r="D142" s="216" t="e">
        <f t="shared" si="43"/>
        <v>#N/A</v>
      </c>
      <c r="E142" s="216" t="e">
        <f>IF(ISERR(AD142/$D$82),0,(AD142/$D$82))</f>
        <v>#N/A</v>
      </c>
      <c r="F142" s="216" t="e">
        <f t="shared" si="44"/>
        <v>#N/A</v>
      </c>
      <c r="G142" s="206" t="e">
        <f t="shared" si="45"/>
        <v>#N/A</v>
      </c>
      <c r="H142" s="232" t="e">
        <f t="shared" si="61"/>
        <v>#N/A</v>
      </c>
      <c r="I142" s="232" t="e">
        <f t="shared" si="62"/>
        <v>#N/A</v>
      </c>
      <c r="J142" s="195"/>
      <c r="K142" s="207">
        <f>(P142*Q142)-$C$106</f>
        <v>0</v>
      </c>
      <c r="L142" s="207">
        <f>(R142-(0.029*$D$106))*P142</f>
        <v>0</v>
      </c>
      <c r="M142" s="207">
        <f>(S142-(0.009*$E$106))*P142</f>
        <v>0</v>
      </c>
      <c r="N142" s="195" t="s">
        <v>573</v>
      </c>
      <c r="O142" s="195"/>
      <c r="P142" s="195">
        <f t="shared" si="48"/>
        <v>0</v>
      </c>
      <c r="Q142" s="195">
        <v>2.5</v>
      </c>
      <c r="R142" s="195">
        <v>1.033</v>
      </c>
      <c r="S142" s="195">
        <v>2.67</v>
      </c>
      <c r="T142" s="195" t="s">
        <v>573</v>
      </c>
      <c r="U142" s="195"/>
      <c r="V142" s="195"/>
      <c r="W142" s="195"/>
      <c r="X142" s="204" t="e">
        <f t="shared" si="49"/>
        <v>#N/A</v>
      </c>
      <c r="Y142" s="204" t="e">
        <v>#VALUE!</v>
      </c>
      <c r="Z142" s="204" t="e">
        <f t="shared" si="50"/>
        <v>#N/A</v>
      </c>
      <c r="AA142" s="195"/>
      <c r="AB142" s="195" t="s">
        <v>573</v>
      </c>
      <c r="AC142" s="204">
        <f t="shared" si="63"/>
        <v>0</v>
      </c>
      <c r="AD142" s="204">
        <f t="shared" si="64"/>
        <v>0</v>
      </c>
      <c r="AE142" s="204">
        <f t="shared" si="65"/>
        <v>0</v>
      </c>
      <c r="AF142" s="207" t="e">
        <f t="shared" si="54"/>
        <v>#N/A</v>
      </c>
      <c r="AG142" s="207" t="e">
        <f t="shared" si="55"/>
        <v>#N/A</v>
      </c>
      <c r="AH142" s="207" t="e">
        <f t="shared" si="56"/>
        <v>#N/A</v>
      </c>
      <c r="AI142" s="207" t="e">
        <f t="shared" si="57"/>
        <v>#N/A</v>
      </c>
      <c r="AJ142" s="207" t="e">
        <f t="shared" si="58"/>
        <v>#N/A</v>
      </c>
      <c r="AK142" s="207" t="e">
        <f t="shared" si="59"/>
        <v>#N/A</v>
      </c>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row>
    <row r="143" spans="1:65" ht="15">
      <c r="A143" s="198"/>
      <c r="B143" s="198"/>
      <c r="C143" s="198"/>
      <c r="D143" s="198"/>
      <c r="E143" s="198"/>
      <c r="F143" s="198"/>
      <c r="G143" s="198"/>
      <c r="H143" s="198"/>
      <c r="I143" s="198"/>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row>
    <row r="144" spans="1:65" ht="15">
      <c r="A144" s="198"/>
      <c r="B144" s="225" t="str">
        <f>IF($C$7&lt;365,N147,N150)</f>
        <v>CAUTION !!  This Holding Pond is designed to contain less</v>
      </c>
      <c r="C144" s="198"/>
      <c r="D144" s="198"/>
      <c r="E144" s="198"/>
      <c r="F144" s="198"/>
      <c r="G144" s="198"/>
      <c r="H144" s="198"/>
      <c r="I144" s="198"/>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row>
    <row r="145" spans="1:65" ht="15">
      <c r="A145" s="198"/>
      <c r="B145" s="225" t="str">
        <f>IF($C$7&lt;365,O148,N150)</f>
        <v>than one years storage.  Additional acreage will be needed</v>
      </c>
      <c r="C145" s="198"/>
      <c r="D145" s="198"/>
      <c r="E145" s="198"/>
      <c r="F145" s="198"/>
      <c r="G145" s="198"/>
      <c r="H145" s="198"/>
      <c r="I145" s="198"/>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row>
    <row r="146" spans="1:65" ht="15">
      <c r="A146" s="198"/>
      <c r="B146" s="225" t="str">
        <f>IF($C$7&lt;365,O149,N150)</f>
        <v>to properly utilize all of the waste produced annually.</v>
      </c>
      <c r="C146" s="198"/>
      <c r="D146" s="198"/>
      <c r="E146" s="198"/>
      <c r="F146" s="198"/>
      <c r="G146" s="198"/>
      <c r="H146" s="198"/>
      <c r="I146" s="198"/>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row>
    <row r="147" spans="1:65" ht="15">
      <c r="A147" s="198"/>
      <c r="B147" s="198"/>
      <c r="C147" s="198"/>
      <c r="D147" s="198"/>
      <c r="E147" s="198"/>
      <c r="F147" s="198"/>
      <c r="G147" s="198"/>
      <c r="H147" s="198"/>
      <c r="I147" s="198"/>
      <c r="J147" s="195"/>
      <c r="K147" s="195"/>
      <c r="L147" s="195"/>
      <c r="M147" s="195"/>
      <c r="N147" s="195" t="s">
        <v>1334</v>
      </c>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row>
    <row r="148" spans="1:65" ht="15">
      <c r="A148" s="195"/>
      <c r="B148" s="195"/>
      <c r="C148" s="195"/>
      <c r="D148" s="195"/>
      <c r="E148" s="195"/>
      <c r="F148" s="195"/>
      <c r="G148" s="195"/>
      <c r="H148" s="198"/>
      <c r="I148" s="198"/>
      <c r="J148" s="195"/>
      <c r="K148" s="195"/>
      <c r="L148" s="195"/>
      <c r="M148" s="195"/>
      <c r="N148" s="195"/>
      <c r="O148" s="195" t="s">
        <v>1335</v>
      </c>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row>
    <row r="149" spans="1:65" ht="15.75">
      <c r="A149" s="194" t="s">
        <v>1336</v>
      </c>
      <c r="B149" s="198" t="s">
        <v>1337</v>
      </c>
      <c r="C149" s="198"/>
      <c r="D149" s="198"/>
      <c r="E149" s="198"/>
      <c r="F149" s="198"/>
      <c r="G149" s="198"/>
      <c r="H149" s="198"/>
      <c r="I149" s="198"/>
      <c r="J149" s="195"/>
      <c r="K149" s="195"/>
      <c r="L149" s="195"/>
      <c r="M149" s="195"/>
      <c r="N149" s="195"/>
      <c r="O149" s="195" t="s">
        <v>1338</v>
      </c>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row>
    <row r="150" spans="1:65" ht="15">
      <c r="A150" s="195"/>
      <c r="B150" s="198" t="s">
        <v>1339</v>
      </c>
      <c r="C150" s="198"/>
      <c r="D150" s="198"/>
      <c r="E150" s="198"/>
      <c r="F150" s="198"/>
      <c r="G150" s="198"/>
      <c r="H150" s="198"/>
      <c r="I150" s="198"/>
      <c r="J150" s="195"/>
      <c r="K150" s="195"/>
      <c r="L150" s="195"/>
      <c r="M150" s="195"/>
      <c r="N150" s="195" t="s">
        <v>332</v>
      </c>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row>
    <row r="151" spans="1:65" ht="15">
      <c r="A151" s="195"/>
      <c r="B151" s="198" t="s">
        <v>1340</v>
      </c>
      <c r="C151" s="198"/>
      <c r="D151" s="198"/>
      <c r="E151" s="198"/>
      <c r="F151" s="198"/>
      <c r="G151" s="198"/>
      <c r="H151" s="198"/>
      <c r="I151" s="198"/>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row>
    <row r="152" spans="1:65" ht="15">
      <c r="A152" s="195"/>
      <c r="B152" s="198" t="s">
        <v>1341</v>
      </c>
      <c r="C152" s="198"/>
      <c r="D152" s="198"/>
      <c r="E152" s="198"/>
      <c r="F152" s="198"/>
      <c r="G152" s="198"/>
      <c r="H152" s="198"/>
      <c r="I152" s="198"/>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row>
    <row r="153" spans="1:65" ht="15">
      <c r="A153" s="198"/>
      <c r="B153" s="198"/>
      <c r="C153" s="198"/>
      <c r="D153" s="198"/>
      <c r="E153" s="198"/>
      <c r="F153" s="198"/>
      <c r="G153" s="198"/>
      <c r="H153" s="198"/>
      <c r="I153" s="198"/>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row>
    <row r="154" spans="1:65" ht="15">
      <c r="A154" s="198"/>
      <c r="B154" s="198"/>
      <c r="C154" s="198"/>
      <c r="D154" s="198"/>
      <c r="E154" s="198"/>
      <c r="F154" s="198"/>
      <c r="G154" s="198"/>
      <c r="H154" s="198"/>
      <c r="I154" s="198"/>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row>
    <row r="155" spans="1:65" ht="15">
      <c r="A155" s="198" t="s">
        <v>1322</v>
      </c>
      <c r="B155" s="198"/>
      <c r="C155" s="198"/>
      <c r="D155" s="198"/>
      <c r="E155" s="198"/>
      <c r="F155" s="198"/>
      <c r="G155" s="198"/>
      <c r="H155" s="198"/>
      <c r="I155" s="198"/>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row>
    <row r="156" spans="1:65" ht="15.75">
      <c r="A156" s="198"/>
      <c r="B156" s="198"/>
      <c r="C156" s="198"/>
      <c r="D156" s="243"/>
      <c r="E156" s="198"/>
      <c r="F156" s="198"/>
      <c r="G156" s="198"/>
      <c r="H156" s="198"/>
      <c r="I156" s="198"/>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row>
    <row r="157" spans="1:65" ht="15">
      <c r="A157" s="198"/>
      <c r="B157" s="198"/>
      <c r="C157" s="198"/>
      <c r="D157" s="198"/>
      <c r="E157" s="198"/>
      <c r="F157" s="198"/>
      <c r="G157" s="198"/>
      <c r="H157" s="198"/>
      <c r="I157" s="198"/>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row>
    <row r="158" spans="1:65" ht="15.75">
      <c r="A158" s="193" t="s">
        <v>582</v>
      </c>
      <c r="B158" s="198"/>
      <c r="C158" s="198"/>
      <c r="D158" s="198"/>
      <c r="E158" s="198"/>
      <c r="F158" s="198"/>
      <c r="G158" s="198"/>
      <c r="H158" s="198"/>
      <c r="I158" s="198"/>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row>
    <row r="159" spans="1:65" ht="15.75">
      <c r="A159" s="193" t="s">
        <v>583</v>
      </c>
      <c r="B159" s="198"/>
      <c r="C159" s="198"/>
      <c r="D159" s="198"/>
      <c r="E159" s="198"/>
      <c r="F159" s="198"/>
      <c r="G159" s="198"/>
      <c r="H159" s="198"/>
      <c r="I159" s="198"/>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row>
    <row r="160" spans="1:65" ht="15">
      <c r="A160" s="198"/>
      <c r="B160" s="198"/>
      <c r="C160" s="198"/>
      <c r="D160" s="198"/>
      <c r="E160" s="198"/>
      <c r="F160" s="198"/>
      <c r="G160" s="198"/>
      <c r="H160" s="198"/>
      <c r="I160" s="198"/>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row>
    <row r="161" spans="1:65" ht="15">
      <c r="A161" s="198"/>
      <c r="B161" s="198"/>
      <c r="C161" s="200" t="s">
        <v>181</v>
      </c>
      <c r="D161" s="198"/>
      <c r="E161" s="200" t="s">
        <v>182</v>
      </c>
      <c r="F161" s="198"/>
      <c r="G161" s="200" t="s">
        <v>1342</v>
      </c>
      <c r="H161" s="198"/>
      <c r="I161" s="198"/>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row>
    <row r="162" spans="1:65" ht="15">
      <c r="A162" s="198"/>
      <c r="B162" s="198"/>
      <c r="C162" s="198" t="s">
        <v>1343</v>
      </c>
      <c r="D162" s="198"/>
      <c r="E162" s="198" t="s">
        <v>1344</v>
      </c>
      <c r="F162" s="198"/>
      <c r="G162" s="198" t="s">
        <v>1343</v>
      </c>
      <c r="H162" s="198"/>
      <c r="I162" s="198"/>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row>
    <row r="163" spans="1:65" ht="15">
      <c r="A163" s="214" t="s">
        <v>537</v>
      </c>
      <c r="B163" s="198"/>
      <c r="C163" s="214" t="s">
        <v>634</v>
      </c>
      <c r="D163" s="214" t="s">
        <v>635</v>
      </c>
      <c r="E163" s="214" t="s">
        <v>634</v>
      </c>
      <c r="F163" s="214" t="s">
        <v>635</v>
      </c>
      <c r="G163" s="214" t="s">
        <v>634</v>
      </c>
      <c r="H163" s="214" t="s">
        <v>635</v>
      </c>
      <c r="I163" s="198"/>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row>
    <row r="164" spans="1:65" ht="15">
      <c r="A164" s="198" t="s">
        <v>542</v>
      </c>
      <c r="B164" s="198"/>
      <c r="C164" s="216" t="e">
        <f aca="true" t="shared" si="66" ref="C164:C191">AI115</f>
        <v>#N/A</v>
      </c>
      <c r="D164" s="232">
        <f aca="true" t="shared" si="67" ref="D164:D175">AC115</f>
        <v>0</v>
      </c>
      <c r="E164" s="216" t="e">
        <f aca="true" t="shared" si="68" ref="E164:E191">AJ115</f>
        <v>#N/A</v>
      </c>
      <c r="F164" s="232">
        <f aca="true" t="shared" si="69" ref="F164:F175">AD115</f>
        <v>0</v>
      </c>
      <c r="G164" s="216" t="e">
        <f aca="true" t="shared" si="70" ref="G164:G191">AK115</f>
        <v>#N/A</v>
      </c>
      <c r="H164" s="232">
        <f aca="true" t="shared" si="71" ref="H164:H175">AE115</f>
        <v>0</v>
      </c>
      <c r="I164" s="198"/>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row>
    <row r="165" spans="1:65" ht="15">
      <c r="A165" s="198" t="s">
        <v>1345</v>
      </c>
      <c r="B165" s="198"/>
      <c r="C165" s="216" t="e">
        <f t="shared" si="66"/>
        <v>#N/A</v>
      </c>
      <c r="D165" s="232">
        <f t="shared" si="67"/>
        <v>0</v>
      </c>
      <c r="E165" s="216" t="e">
        <f t="shared" si="68"/>
        <v>#N/A</v>
      </c>
      <c r="F165" s="232">
        <f t="shared" si="69"/>
        <v>0</v>
      </c>
      <c r="G165" s="216" t="e">
        <f t="shared" si="70"/>
        <v>#N/A</v>
      </c>
      <c r="H165" s="232">
        <f t="shared" si="71"/>
        <v>0</v>
      </c>
      <c r="I165" s="198"/>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row>
    <row r="166" spans="1:65" ht="15">
      <c r="A166" s="198" t="s">
        <v>1331</v>
      </c>
      <c r="B166" s="198"/>
      <c r="C166" s="216" t="e">
        <f t="shared" si="66"/>
        <v>#N/A</v>
      </c>
      <c r="D166" s="232">
        <f t="shared" si="67"/>
        <v>0</v>
      </c>
      <c r="E166" s="216" t="e">
        <f t="shared" si="68"/>
        <v>#N/A</v>
      </c>
      <c r="F166" s="232">
        <f t="shared" si="69"/>
        <v>0</v>
      </c>
      <c r="G166" s="216" t="e">
        <f t="shared" si="70"/>
        <v>#N/A</v>
      </c>
      <c r="H166" s="232">
        <f t="shared" si="71"/>
        <v>0</v>
      </c>
      <c r="I166" s="198"/>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row>
    <row r="167" spans="1:65" ht="15">
      <c r="A167" s="198" t="s">
        <v>545</v>
      </c>
      <c r="B167" s="198"/>
      <c r="C167" s="216" t="e">
        <f t="shared" si="66"/>
        <v>#N/A</v>
      </c>
      <c r="D167" s="232">
        <f t="shared" si="67"/>
        <v>0</v>
      </c>
      <c r="E167" s="216" t="e">
        <f t="shared" si="68"/>
        <v>#N/A</v>
      </c>
      <c r="F167" s="232">
        <f t="shared" si="69"/>
        <v>0</v>
      </c>
      <c r="G167" s="216" t="e">
        <f t="shared" si="70"/>
        <v>#N/A</v>
      </c>
      <c r="H167" s="232">
        <f t="shared" si="71"/>
        <v>0</v>
      </c>
      <c r="I167" s="198"/>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row>
    <row r="168" spans="1:65" ht="15">
      <c r="A168" s="198" t="s">
        <v>546</v>
      </c>
      <c r="B168" s="198"/>
      <c r="C168" s="216" t="e">
        <f t="shared" si="66"/>
        <v>#N/A</v>
      </c>
      <c r="D168" s="232">
        <f t="shared" si="67"/>
        <v>0</v>
      </c>
      <c r="E168" s="216" t="e">
        <f t="shared" si="68"/>
        <v>#N/A</v>
      </c>
      <c r="F168" s="232">
        <f t="shared" si="69"/>
        <v>0</v>
      </c>
      <c r="G168" s="216" t="e">
        <f t="shared" si="70"/>
        <v>#N/A</v>
      </c>
      <c r="H168" s="232">
        <f t="shared" si="71"/>
        <v>0</v>
      </c>
      <c r="I168" s="198"/>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row>
    <row r="169" spans="1:65" ht="15">
      <c r="A169" s="198" t="s">
        <v>547</v>
      </c>
      <c r="B169" s="198"/>
      <c r="C169" s="216" t="e">
        <f t="shared" si="66"/>
        <v>#N/A</v>
      </c>
      <c r="D169" s="232">
        <f t="shared" si="67"/>
        <v>0</v>
      </c>
      <c r="E169" s="216" t="e">
        <f t="shared" si="68"/>
        <v>#N/A</v>
      </c>
      <c r="F169" s="232">
        <f t="shared" si="69"/>
        <v>0</v>
      </c>
      <c r="G169" s="216" t="e">
        <f t="shared" si="70"/>
        <v>#N/A</v>
      </c>
      <c r="H169" s="232">
        <f t="shared" si="71"/>
        <v>0</v>
      </c>
      <c r="I169" s="198"/>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row>
    <row r="170" spans="1:65" ht="15">
      <c r="A170" s="198" t="s">
        <v>548</v>
      </c>
      <c r="B170" s="198"/>
      <c r="C170" s="216" t="e">
        <f t="shared" si="66"/>
        <v>#N/A</v>
      </c>
      <c r="D170" s="232">
        <f t="shared" si="67"/>
        <v>0</v>
      </c>
      <c r="E170" s="216" t="e">
        <f t="shared" si="68"/>
        <v>#N/A</v>
      </c>
      <c r="F170" s="232">
        <f t="shared" si="69"/>
        <v>0</v>
      </c>
      <c r="G170" s="216" t="e">
        <f t="shared" si="70"/>
        <v>#N/A</v>
      </c>
      <c r="H170" s="232">
        <f t="shared" si="71"/>
        <v>0</v>
      </c>
      <c r="I170" s="198"/>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row>
    <row r="171" spans="1:65" ht="15">
      <c r="A171" s="198" t="s">
        <v>1332</v>
      </c>
      <c r="B171" s="198"/>
      <c r="C171" s="216" t="e">
        <f t="shared" si="66"/>
        <v>#N/A</v>
      </c>
      <c r="D171" s="232">
        <f t="shared" si="67"/>
        <v>0</v>
      </c>
      <c r="E171" s="216" t="e">
        <f t="shared" si="68"/>
        <v>#N/A</v>
      </c>
      <c r="F171" s="232">
        <f t="shared" si="69"/>
        <v>0</v>
      </c>
      <c r="G171" s="216" t="e">
        <f t="shared" si="70"/>
        <v>#N/A</v>
      </c>
      <c r="H171" s="232">
        <f t="shared" si="71"/>
        <v>0</v>
      </c>
      <c r="I171" s="198"/>
      <c r="J171" s="195"/>
      <c r="K171" s="195"/>
      <c r="L171" s="195"/>
      <c r="M171" s="195"/>
      <c r="N171" s="195"/>
      <c r="O171" s="195"/>
      <c r="P171" s="195"/>
      <c r="Q171" s="195"/>
      <c r="R171" s="195"/>
      <c r="S171" s="195"/>
      <c r="T171" s="195"/>
      <c r="U171" s="237" t="e">
        <f>J171/#REF!</f>
        <v>#REF!</v>
      </c>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row>
    <row r="172" spans="1:65" ht="15">
      <c r="A172" s="198" t="s">
        <v>550</v>
      </c>
      <c r="B172" s="198"/>
      <c r="C172" s="216" t="e">
        <f t="shared" si="66"/>
        <v>#N/A</v>
      </c>
      <c r="D172" s="232">
        <f t="shared" si="67"/>
        <v>0</v>
      </c>
      <c r="E172" s="216" t="e">
        <f t="shared" si="68"/>
        <v>#N/A</v>
      </c>
      <c r="F172" s="232">
        <f t="shared" si="69"/>
        <v>0</v>
      </c>
      <c r="G172" s="216" t="e">
        <f t="shared" si="70"/>
        <v>#N/A</v>
      </c>
      <c r="H172" s="232">
        <f t="shared" si="71"/>
        <v>0</v>
      </c>
      <c r="I172" s="198"/>
      <c r="J172" s="195"/>
      <c r="K172" s="195"/>
      <c r="L172" s="195"/>
      <c r="M172" s="195"/>
      <c r="N172" s="195"/>
      <c r="O172" s="195"/>
      <c r="P172" s="195"/>
      <c r="Q172" s="195"/>
      <c r="R172" s="195"/>
      <c r="S172" s="195"/>
      <c r="T172" s="195"/>
      <c r="U172" s="237" t="e">
        <f>J172/#REF!</f>
        <v>#REF!</v>
      </c>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row>
    <row r="173" spans="1:65" ht="15">
      <c r="A173" s="198" t="s">
        <v>551</v>
      </c>
      <c r="B173" s="198"/>
      <c r="C173" s="216" t="e">
        <f t="shared" si="66"/>
        <v>#N/A</v>
      </c>
      <c r="D173" s="232">
        <f t="shared" si="67"/>
        <v>0</v>
      </c>
      <c r="E173" s="216" t="e">
        <f t="shared" si="68"/>
        <v>#N/A</v>
      </c>
      <c r="F173" s="232">
        <f t="shared" si="69"/>
        <v>0</v>
      </c>
      <c r="G173" s="216" t="e">
        <f t="shared" si="70"/>
        <v>#N/A</v>
      </c>
      <c r="H173" s="232">
        <f t="shared" si="71"/>
        <v>0</v>
      </c>
      <c r="I173" s="198"/>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row>
    <row r="174" spans="1:65" ht="15">
      <c r="A174" s="198" t="s">
        <v>552</v>
      </c>
      <c r="B174" s="198"/>
      <c r="C174" s="216" t="e">
        <f t="shared" si="66"/>
        <v>#N/A</v>
      </c>
      <c r="D174" s="232">
        <f t="shared" si="67"/>
        <v>0</v>
      </c>
      <c r="E174" s="216" t="e">
        <f t="shared" si="68"/>
        <v>#N/A</v>
      </c>
      <c r="F174" s="232">
        <f t="shared" si="69"/>
        <v>0</v>
      </c>
      <c r="G174" s="216" t="e">
        <f t="shared" si="70"/>
        <v>#N/A</v>
      </c>
      <c r="H174" s="232">
        <f t="shared" si="71"/>
        <v>0</v>
      </c>
      <c r="I174" s="198"/>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row>
    <row r="175" spans="1:65" ht="15">
      <c r="A175" s="198" t="s">
        <v>553</v>
      </c>
      <c r="B175" s="198"/>
      <c r="C175" s="216" t="e">
        <f t="shared" si="66"/>
        <v>#N/A</v>
      </c>
      <c r="D175" s="232">
        <f t="shared" si="67"/>
        <v>0</v>
      </c>
      <c r="E175" s="216" t="e">
        <f t="shared" si="68"/>
        <v>#N/A</v>
      </c>
      <c r="F175" s="232">
        <f t="shared" si="69"/>
        <v>0</v>
      </c>
      <c r="G175" s="216" t="e">
        <f t="shared" si="70"/>
        <v>#N/A</v>
      </c>
      <c r="H175" s="232">
        <f t="shared" si="71"/>
        <v>0</v>
      </c>
      <c r="I175" s="198"/>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row>
    <row r="176" spans="1:65" ht="15">
      <c r="A176" s="198" t="s">
        <v>554</v>
      </c>
      <c r="B176" s="198"/>
      <c r="C176" s="216" t="e">
        <f t="shared" si="66"/>
        <v>#N/A</v>
      </c>
      <c r="D176" s="232">
        <f>IF(C127&lt;1,0,+AC127)</f>
        <v>0</v>
      </c>
      <c r="E176" s="216" t="e">
        <f t="shared" si="68"/>
        <v>#N/A</v>
      </c>
      <c r="F176" s="232">
        <f>IF(C127&lt;1,0,+AD127)</f>
        <v>0</v>
      </c>
      <c r="G176" s="216" t="e">
        <f t="shared" si="70"/>
        <v>#N/A</v>
      </c>
      <c r="H176" s="232">
        <f>IF(C127&lt;1,0,+AE127)</f>
        <v>0</v>
      </c>
      <c r="I176" s="198"/>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row>
    <row r="177" spans="1:65" ht="15">
      <c r="A177" s="198" t="s">
        <v>556</v>
      </c>
      <c r="B177" s="198"/>
      <c r="C177" s="216" t="e">
        <f t="shared" si="66"/>
        <v>#N/A</v>
      </c>
      <c r="D177" s="232">
        <f>IF(C128&lt;1,0,+AC128)</f>
        <v>0</v>
      </c>
      <c r="E177" s="216" t="e">
        <f t="shared" si="68"/>
        <v>#N/A</v>
      </c>
      <c r="F177" s="232">
        <f>IF(C128&lt;1,0,+AD128)</f>
        <v>0</v>
      </c>
      <c r="G177" s="216" t="e">
        <f t="shared" si="70"/>
        <v>#N/A</v>
      </c>
      <c r="H177" s="232">
        <f>IF(C128&lt;1,0,+AE128)</f>
        <v>0</v>
      </c>
      <c r="I177" s="198"/>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row>
    <row r="178" spans="1:65" ht="15">
      <c r="A178" s="198" t="s">
        <v>1333</v>
      </c>
      <c r="B178" s="198"/>
      <c r="C178" s="216" t="e">
        <f t="shared" si="66"/>
        <v>#N/A</v>
      </c>
      <c r="D178" s="232">
        <f>IF(C129&lt;1,0,+AC129)</f>
        <v>0</v>
      </c>
      <c r="E178" s="216" t="e">
        <f t="shared" si="68"/>
        <v>#N/A</v>
      </c>
      <c r="F178" s="232">
        <f>IF(C129&lt;1,0,+AD129)</f>
        <v>0</v>
      </c>
      <c r="G178" s="216" t="e">
        <f t="shared" si="70"/>
        <v>#N/A</v>
      </c>
      <c r="H178" s="232">
        <f>IF(C129&lt;1,0,+AE129)</f>
        <v>0</v>
      </c>
      <c r="I178" s="198"/>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row>
    <row r="179" spans="1:65" ht="15">
      <c r="A179" s="198" t="s">
        <v>560</v>
      </c>
      <c r="B179" s="198"/>
      <c r="C179" s="216" t="e">
        <f t="shared" si="66"/>
        <v>#N/A</v>
      </c>
      <c r="D179" s="232">
        <f aca="true" t="shared" si="72" ref="D179:D191">AC130</f>
        <v>0</v>
      </c>
      <c r="E179" s="216" t="e">
        <f t="shared" si="68"/>
        <v>#N/A</v>
      </c>
      <c r="F179" s="232">
        <f aca="true" t="shared" si="73" ref="F179:F191">AD130</f>
        <v>0</v>
      </c>
      <c r="G179" s="216" t="e">
        <f t="shared" si="70"/>
        <v>#N/A</v>
      </c>
      <c r="H179" s="232">
        <f aca="true" t="shared" si="74" ref="H179:H191">AE130</f>
        <v>0</v>
      </c>
      <c r="I179" s="198"/>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row>
    <row r="180" spans="1:65" ht="15">
      <c r="A180" s="198" t="s">
        <v>561</v>
      </c>
      <c r="B180" s="198"/>
      <c r="C180" s="216" t="e">
        <f t="shared" si="66"/>
        <v>#N/A</v>
      </c>
      <c r="D180" s="232">
        <f t="shared" si="72"/>
        <v>0</v>
      </c>
      <c r="E180" s="216" t="e">
        <f t="shared" si="68"/>
        <v>#N/A</v>
      </c>
      <c r="F180" s="232">
        <f t="shared" si="73"/>
        <v>0</v>
      </c>
      <c r="G180" s="216" t="e">
        <f t="shared" si="70"/>
        <v>#N/A</v>
      </c>
      <c r="H180" s="232">
        <f t="shared" si="74"/>
        <v>0</v>
      </c>
      <c r="I180" s="198"/>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row>
    <row r="181" spans="1:65" ht="15">
      <c r="A181" s="198" t="s">
        <v>562</v>
      </c>
      <c r="B181" s="198"/>
      <c r="C181" s="216" t="e">
        <f t="shared" si="66"/>
        <v>#N/A</v>
      </c>
      <c r="D181" s="232">
        <f t="shared" si="72"/>
        <v>0</v>
      </c>
      <c r="E181" s="216" t="e">
        <f t="shared" si="68"/>
        <v>#N/A</v>
      </c>
      <c r="F181" s="232">
        <f t="shared" si="73"/>
        <v>0</v>
      </c>
      <c r="G181" s="216" t="e">
        <f t="shared" si="70"/>
        <v>#N/A</v>
      </c>
      <c r="H181" s="232">
        <f t="shared" si="74"/>
        <v>0</v>
      </c>
      <c r="I181" s="198"/>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row>
    <row r="182" spans="1:65" ht="15">
      <c r="A182" s="198" t="s">
        <v>563</v>
      </c>
      <c r="B182" s="198"/>
      <c r="C182" s="216" t="e">
        <f t="shared" si="66"/>
        <v>#N/A</v>
      </c>
      <c r="D182" s="232">
        <f t="shared" si="72"/>
        <v>0</v>
      </c>
      <c r="E182" s="216" t="e">
        <f t="shared" si="68"/>
        <v>#N/A</v>
      </c>
      <c r="F182" s="232">
        <f t="shared" si="73"/>
        <v>0</v>
      </c>
      <c r="G182" s="216" t="e">
        <f t="shared" si="70"/>
        <v>#N/A</v>
      </c>
      <c r="H182" s="232">
        <f t="shared" si="74"/>
        <v>0</v>
      </c>
      <c r="I182" s="198"/>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row>
    <row r="183" spans="1:65" ht="15">
      <c r="A183" s="198" t="s">
        <v>564</v>
      </c>
      <c r="B183" s="198"/>
      <c r="C183" s="216" t="e">
        <f t="shared" si="66"/>
        <v>#N/A</v>
      </c>
      <c r="D183" s="232">
        <f t="shared" si="72"/>
        <v>0</v>
      </c>
      <c r="E183" s="216" t="e">
        <f t="shared" si="68"/>
        <v>#N/A</v>
      </c>
      <c r="F183" s="232">
        <f t="shared" si="73"/>
        <v>0</v>
      </c>
      <c r="G183" s="216" t="e">
        <f t="shared" si="70"/>
        <v>#N/A</v>
      </c>
      <c r="H183" s="232">
        <f t="shared" si="74"/>
        <v>0</v>
      </c>
      <c r="I183" s="198"/>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row>
    <row r="184" spans="1:65" ht="15">
      <c r="A184" s="198" t="s">
        <v>566</v>
      </c>
      <c r="B184" s="198"/>
      <c r="C184" s="216" t="e">
        <f t="shared" si="66"/>
        <v>#N/A</v>
      </c>
      <c r="D184" s="232">
        <f t="shared" si="72"/>
        <v>0</v>
      </c>
      <c r="E184" s="216" t="e">
        <f t="shared" si="68"/>
        <v>#N/A</v>
      </c>
      <c r="F184" s="232">
        <f t="shared" si="73"/>
        <v>0</v>
      </c>
      <c r="G184" s="216" t="e">
        <f t="shared" si="70"/>
        <v>#N/A</v>
      </c>
      <c r="H184" s="232">
        <f t="shared" si="74"/>
        <v>0</v>
      </c>
      <c r="I184" s="198"/>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row>
    <row r="185" spans="1:65" ht="15">
      <c r="A185" s="198" t="s">
        <v>567</v>
      </c>
      <c r="B185" s="198"/>
      <c r="C185" s="216" t="e">
        <f t="shared" si="66"/>
        <v>#N/A</v>
      </c>
      <c r="D185" s="232">
        <f t="shared" si="72"/>
        <v>0</v>
      </c>
      <c r="E185" s="216" t="e">
        <f t="shared" si="68"/>
        <v>#N/A</v>
      </c>
      <c r="F185" s="232">
        <f t="shared" si="73"/>
        <v>0</v>
      </c>
      <c r="G185" s="216" t="e">
        <f t="shared" si="70"/>
        <v>#N/A</v>
      </c>
      <c r="H185" s="232">
        <f t="shared" si="74"/>
        <v>0</v>
      </c>
      <c r="I185" s="198"/>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row>
    <row r="186" spans="1:65" ht="15">
      <c r="A186" s="198" t="s">
        <v>568</v>
      </c>
      <c r="B186" s="198"/>
      <c r="C186" s="216" t="e">
        <f t="shared" si="66"/>
        <v>#N/A</v>
      </c>
      <c r="D186" s="232">
        <f t="shared" si="72"/>
        <v>0</v>
      </c>
      <c r="E186" s="216" t="e">
        <f t="shared" si="68"/>
        <v>#N/A</v>
      </c>
      <c r="F186" s="232">
        <f t="shared" si="73"/>
        <v>0</v>
      </c>
      <c r="G186" s="216" t="e">
        <f t="shared" si="70"/>
        <v>#N/A</v>
      </c>
      <c r="H186" s="232">
        <f t="shared" si="74"/>
        <v>0</v>
      </c>
      <c r="I186" s="198"/>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row>
    <row r="187" spans="1:65" ht="15">
      <c r="A187" s="198" t="s">
        <v>569</v>
      </c>
      <c r="B187" s="198"/>
      <c r="C187" s="216" t="e">
        <f t="shared" si="66"/>
        <v>#N/A</v>
      </c>
      <c r="D187" s="232">
        <f t="shared" si="72"/>
        <v>0</v>
      </c>
      <c r="E187" s="216" t="e">
        <f t="shared" si="68"/>
        <v>#N/A</v>
      </c>
      <c r="F187" s="232">
        <f t="shared" si="73"/>
        <v>0</v>
      </c>
      <c r="G187" s="216" t="e">
        <f t="shared" si="70"/>
        <v>#N/A</v>
      </c>
      <c r="H187" s="232">
        <f t="shared" si="74"/>
        <v>0</v>
      </c>
      <c r="I187" s="198"/>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row>
    <row r="188" spans="1:65" ht="15">
      <c r="A188" s="198" t="s">
        <v>570</v>
      </c>
      <c r="B188" s="198"/>
      <c r="C188" s="216" t="e">
        <f t="shared" si="66"/>
        <v>#N/A</v>
      </c>
      <c r="D188" s="232">
        <f t="shared" si="72"/>
        <v>0</v>
      </c>
      <c r="E188" s="216" t="e">
        <f t="shared" si="68"/>
        <v>#N/A</v>
      </c>
      <c r="F188" s="232">
        <f t="shared" si="73"/>
        <v>0</v>
      </c>
      <c r="G188" s="216" t="e">
        <f t="shared" si="70"/>
        <v>#N/A</v>
      </c>
      <c r="H188" s="232">
        <f t="shared" si="74"/>
        <v>0</v>
      </c>
      <c r="I188" s="198"/>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row>
    <row r="189" spans="1:65" ht="15">
      <c r="A189" s="198" t="s">
        <v>571</v>
      </c>
      <c r="B189" s="198"/>
      <c r="C189" s="216" t="e">
        <f t="shared" si="66"/>
        <v>#N/A</v>
      </c>
      <c r="D189" s="232">
        <f t="shared" si="72"/>
        <v>0</v>
      </c>
      <c r="E189" s="216" t="e">
        <f t="shared" si="68"/>
        <v>#N/A</v>
      </c>
      <c r="F189" s="232">
        <f t="shared" si="73"/>
        <v>0</v>
      </c>
      <c r="G189" s="216" t="e">
        <f t="shared" si="70"/>
        <v>#N/A</v>
      </c>
      <c r="H189" s="232">
        <f t="shared" si="74"/>
        <v>0</v>
      </c>
      <c r="I189" s="198"/>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5"/>
      <c r="BF189" s="195"/>
      <c r="BG189" s="195"/>
      <c r="BH189" s="195"/>
      <c r="BI189" s="195"/>
      <c r="BJ189" s="195"/>
      <c r="BK189" s="195"/>
      <c r="BL189" s="195"/>
      <c r="BM189" s="195"/>
    </row>
    <row r="190" spans="1:65" ht="15">
      <c r="A190" s="198" t="s">
        <v>572</v>
      </c>
      <c r="B190" s="198"/>
      <c r="C190" s="216" t="e">
        <f t="shared" si="66"/>
        <v>#N/A</v>
      </c>
      <c r="D190" s="232">
        <f t="shared" si="72"/>
        <v>0</v>
      </c>
      <c r="E190" s="216" t="e">
        <f t="shared" si="68"/>
        <v>#N/A</v>
      </c>
      <c r="F190" s="232">
        <f t="shared" si="73"/>
        <v>0</v>
      </c>
      <c r="G190" s="216" t="e">
        <f t="shared" si="70"/>
        <v>#N/A</v>
      </c>
      <c r="H190" s="232">
        <f t="shared" si="74"/>
        <v>0</v>
      </c>
      <c r="I190" s="198"/>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row>
    <row r="191" spans="1:65" ht="15">
      <c r="A191" s="198" t="s">
        <v>573</v>
      </c>
      <c r="B191" s="198"/>
      <c r="C191" s="216" t="e">
        <f t="shared" si="66"/>
        <v>#N/A</v>
      </c>
      <c r="D191" s="232">
        <f t="shared" si="72"/>
        <v>0</v>
      </c>
      <c r="E191" s="216" t="e">
        <f t="shared" si="68"/>
        <v>#N/A</v>
      </c>
      <c r="F191" s="232">
        <f t="shared" si="73"/>
        <v>0</v>
      </c>
      <c r="G191" s="216" t="e">
        <f t="shared" si="70"/>
        <v>#N/A</v>
      </c>
      <c r="H191" s="232">
        <f t="shared" si="74"/>
        <v>0</v>
      </c>
      <c r="I191" s="198"/>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c r="BE191" s="195"/>
      <c r="BF191" s="195"/>
      <c r="BG191" s="195"/>
      <c r="BH191" s="195"/>
      <c r="BI191" s="195"/>
      <c r="BJ191" s="195"/>
      <c r="BK191" s="195"/>
      <c r="BL191" s="195"/>
      <c r="BM191" s="195"/>
    </row>
    <row r="192" spans="1:65" ht="15">
      <c r="A192" s="198"/>
      <c r="B192" s="198"/>
      <c r="C192" s="198"/>
      <c r="D192" s="198"/>
      <c r="E192" s="198"/>
      <c r="F192" s="198"/>
      <c r="G192" s="198"/>
      <c r="H192" s="198"/>
      <c r="I192" s="198"/>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row>
    <row r="193" spans="1:65" ht="15">
      <c r="A193" s="198"/>
      <c r="B193" s="198"/>
      <c r="C193" s="198"/>
      <c r="D193" s="198"/>
      <c r="E193" s="198"/>
      <c r="F193" s="198"/>
      <c r="G193" s="198"/>
      <c r="H193" s="198"/>
      <c r="I193" s="198"/>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c r="BD193" s="195"/>
      <c r="BE193" s="195"/>
      <c r="BF193" s="195"/>
      <c r="BG193" s="195"/>
      <c r="BH193" s="195"/>
      <c r="BI193" s="195"/>
      <c r="BJ193" s="195"/>
      <c r="BK193" s="195"/>
      <c r="BL193" s="195"/>
      <c r="BM193" s="195"/>
    </row>
    <row r="194" spans="1:65" ht="15">
      <c r="A194" s="198"/>
      <c r="B194" s="198"/>
      <c r="C194" s="198"/>
      <c r="D194" s="198"/>
      <c r="E194" s="198"/>
      <c r="F194" s="198"/>
      <c r="G194" s="198"/>
      <c r="H194" s="198"/>
      <c r="I194" s="198"/>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row>
    <row r="195" spans="1:65" ht="15">
      <c r="A195" s="198"/>
      <c r="B195" s="198"/>
      <c r="C195" s="198"/>
      <c r="D195" s="198"/>
      <c r="E195" s="198"/>
      <c r="F195" s="198"/>
      <c r="G195" s="198"/>
      <c r="H195" s="198"/>
      <c r="I195" s="198"/>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c r="BD195" s="195"/>
      <c r="BE195" s="195"/>
      <c r="BF195" s="195"/>
      <c r="BG195" s="195"/>
      <c r="BH195" s="195"/>
      <c r="BI195" s="195"/>
      <c r="BJ195" s="195"/>
      <c r="BK195" s="195"/>
      <c r="BL195" s="195"/>
      <c r="BM195" s="195"/>
    </row>
    <row r="196" spans="1:65" ht="15.75">
      <c r="A196" s="243" t="s">
        <v>1346</v>
      </c>
      <c r="B196" s="198"/>
      <c r="C196" s="198"/>
      <c r="D196" s="198"/>
      <c r="E196" s="198"/>
      <c r="F196" s="198"/>
      <c r="G196" s="198"/>
      <c r="H196" s="198"/>
      <c r="I196" s="198"/>
      <c r="J196" s="195"/>
      <c r="K196" s="195"/>
      <c r="L196" s="195"/>
      <c r="M196" s="195"/>
      <c r="N196" s="195"/>
      <c r="O196" s="195"/>
      <c r="P196" s="195"/>
      <c r="Q196" s="195"/>
      <c r="R196" s="195"/>
      <c r="S196" s="195"/>
      <c r="T196" s="195"/>
      <c r="U196" s="195"/>
      <c r="V196" s="195"/>
      <c r="W196" s="195"/>
      <c r="X196" s="195"/>
      <c r="Y196" s="195"/>
      <c r="Z196" s="195"/>
      <c r="AA196" s="195"/>
      <c r="AB196" s="196" t="s">
        <v>636</v>
      </c>
      <c r="AC196" s="195"/>
      <c r="AD196" s="195"/>
      <c r="AE196" s="195"/>
      <c r="AF196" s="195"/>
      <c r="AG196" s="196" t="s">
        <v>637</v>
      </c>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row>
    <row r="197" spans="1:65" ht="15">
      <c r="A197" s="198" t="s">
        <v>1347</v>
      </c>
      <c r="B197" s="198"/>
      <c r="C197" s="198"/>
      <c r="D197" s="198"/>
      <c r="E197" s="198"/>
      <c r="F197" s="198"/>
      <c r="G197" s="198"/>
      <c r="H197" s="198"/>
      <c r="I197" s="198"/>
      <c r="J197" s="195"/>
      <c r="K197" s="195"/>
      <c r="L197" s="195"/>
      <c r="M197" s="195"/>
      <c r="N197" s="195"/>
      <c r="O197" s="195"/>
      <c r="P197" s="195"/>
      <c r="Q197" s="195"/>
      <c r="R197" s="195"/>
      <c r="S197" s="195"/>
      <c r="T197" s="195"/>
      <c r="U197" s="195"/>
      <c r="V197" s="195"/>
      <c r="W197" s="195"/>
      <c r="X197" s="195"/>
      <c r="Y197" s="195"/>
      <c r="Z197" s="195"/>
      <c r="AA197" s="196" t="s">
        <v>258</v>
      </c>
      <c r="AB197" s="196" t="s">
        <v>181</v>
      </c>
      <c r="AC197" s="196" t="s">
        <v>189</v>
      </c>
      <c r="AD197" s="196" t="s">
        <v>188</v>
      </c>
      <c r="AE197" s="195"/>
      <c r="AF197" s="196" t="s">
        <v>258</v>
      </c>
      <c r="AG197" s="196" t="s">
        <v>181</v>
      </c>
      <c r="AH197" s="196" t="s">
        <v>189</v>
      </c>
      <c r="AI197" s="196" t="s">
        <v>188</v>
      </c>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row>
    <row r="198" spans="1:65" ht="15">
      <c r="A198" s="198" t="s">
        <v>1348</v>
      </c>
      <c r="B198" s="198"/>
      <c r="C198" s="198"/>
      <c r="D198" s="198"/>
      <c r="E198" s="198"/>
      <c r="F198" s="198"/>
      <c r="G198" s="198"/>
      <c r="H198" s="198"/>
      <c r="I198" s="198"/>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row>
    <row r="199" spans="1:65" ht="15">
      <c r="A199" s="198"/>
      <c r="B199" s="198"/>
      <c r="C199" s="198"/>
      <c r="D199" s="198"/>
      <c r="E199" s="198"/>
      <c r="F199" s="198"/>
      <c r="G199" s="198"/>
      <c r="H199" s="198"/>
      <c r="I199" s="198"/>
      <c r="J199" s="195"/>
      <c r="K199" s="195"/>
      <c r="L199" s="195"/>
      <c r="M199" s="195"/>
      <c r="N199" s="195"/>
      <c r="O199" s="195"/>
      <c r="P199" s="195"/>
      <c r="Q199" s="195"/>
      <c r="R199" s="195"/>
      <c r="S199" s="195"/>
      <c r="T199" s="195"/>
      <c r="U199" s="195"/>
      <c r="V199" s="195"/>
      <c r="W199" s="195"/>
      <c r="X199" s="195"/>
      <c r="Y199" s="195"/>
      <c r="Z199" s="195"/>
      <c r="AA199" s="195">
        <v>1</v>
      </c>
      <c r="AB199" s="195">
        <v>115</v>
      </c>
      <c r="AC199" s="195">
        <v>10</v>
      </c>
      <c r="AD199" s="195">
        <v>20</v>
      </c>
      <c r="AE199" s="195"/>
      <c r="AF199" s="195">
        <v>1</v>
      </c>
      <c r="AG199" s="195">
        <v>95</v>
      </c>
      <c r="AH199" s="195">
        <v>10</v>
      </c>
      <c r="AI199" s="195">
        <v>20</v>
      </c>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row>
    <row r="200" spans="1:65" ht="15">
      <c r="A200" s="198" t="s">
        <v>1351</v>
      </c>
      <c r="B200" s="198"/>
      <c r="C200" s="198"/>
      <c r="D200" s="198"/>
      <c r="E200" s="198"/>
      <c r="F200" s="198"/>
      <c r="G200" s="198"/>
      <c r="H200" s="198"/>
      <c r="I200" s="198"/>
      <c r="J200" s="195"/>
      <c r="K200" s="195"/>
      <c r="L200" s="195"/>
      <c r="M200" s="195"/>
      <c r="N200" s="195"/>
      <c r="O200" s="195"/>
      <c r="P200" s="195"/>
      <c r="Q200" s="195"/>
      <c r="R200" s="195"/>
      <c r="S200" s="195"/>
      <c r="T200" s="195"/>
      <c r="U200" s="195"/>
      <c r="V200" s="195"/>
      <c r="W200" s="195"/>
      <c r="X200" s="195"/>
      <c r="Y200" s="195"/>
      <c r="Z200" s="195"/>
      <c r="AA200" s="195">
        <v>2</v>
      </c>
      <c r="AB200" s="195">
        <v>90</v>
      </c>
      <c r="AC200" s="195">
        <v>10</v>
      </c>
      <c r="AD200" s="195">
        <v>20</v>
      </c>
      <c r="AE200" s="195"/>
      <c r="AF200" s="195">
        <v>2</v>
      </c>
      <c r="AG200" s="195">
        <v>70</v>
      </c>
      <c r="AH200" s="195">
        <v>10</v>
      </c>
      <c r="AI200" s="195">
        <v>20</v>
      </c>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row>
    <row r="201" spans="1:65" ht="15">
      <c r="A201" s="216" t="e">
        <f>L87</f>
        <v>#N/A</v>
      </c>
      <c r="B201" s="198" t="s">
        <v>1352</v>
      </c>
      <c r="C201" s="198"/>
      <c r="D201" s="198"/>
      <c r="E201" s="198"/>
      <c r="F201" s="198"/>
      <c r="G201" s="198"/>
      <c r="H201" s="198"/>
      <c r="I201" s="198"/>
      <c r="J201" s="195"/>
      <c r="K201" s="195"/>
      <c r="L201" s="195"/>
      <c r="M201" s="195"/>
      <c r="N201" s="195"/>
      <c r="O201" s="195"/>
      <c r="P201" s="195"/>
      <c r="Q201" s="195"/>
      <c r="R201" s="195"/>
      <c r="S201" s="195"/>
      <c r="T201" s="195"/>
      <c r="U201" s="195"/>
      <c r="V201" s="195"/>
      <c r="W201" s="195"/>
      <c r="X201" s="195"/>
      <c r="Y201" s="195"/>
      <c r="Z201" s="195"/>
      <c r="AA201" s="195">
        <v>3</v>
      </c>
      <c r="AB201" s="195">
        <v>70</v>
      </c>
      <c r="AC201" s="195">
        <v>10</v>
      </c>
      <c r="AD201" s="195">
        <v>20</v>
      </c>
      <c r="AE201" s="195"/>
      <c r="AF201" s="195">
        <v>3</v>
      </c>
      <c r="AG201" s="195">
        <v>60</v>
      </c>
      <c r="AH201" s="195">
        <v>10</v>
      </c>
      <c r="AI201" s="195">
        <v>20</v>
      </c>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c r="BD201" s="195"/>
      <c r="BE201" s="195"/>
      <c r="BF201" s="195"/>
      <c r="BG201" s="195"/>
      <c r="BH201" s="195"/>
      <c r="BI201" s="195"/>
      <c r="BJ201" s="195"/>
      <c r="BK201" s="195"/>
      <c r="BL201" s="195"/>
      <c r="BM201" s="195"/>
    </row>
    <row r="202" spans="1:65" ht="15">
      <c r="A202" s="198" t="s">
        <v>1353</v>
      </c>
      <c r="B202" s="198"/>
      <c r="C202" s="198"/>
      <c r="D202" s="198"/>
      <c r="E202" s="198"/>
      <c r="F202" s="198"/>
      <c r="G202" s="198"/>
      <c r="H202" s="198"/>
      <c r="I202" s="198"/>
      <c r="J202" s="195"/>
      <c r="K202" s="195"/>
      <c r="L202" s="195"/>
      <c r="M202" s="195"/>
      <c r="N202" s="195"/>
      <c r="O202" s="195"/>
      <c r="P202" s="195"/>
      <c r="Q202" s="195"/>
      <c r="R202" s="195"/>
      <c r="S202" s="195"/>
      <c r="T202" s="195"/>
      <c r="U202" s="195"/>
      <c r="V202" s="195"/>
      <c r="W202" s="195"/>
      <c r="X202" s="195"/>
      <c r="Y202" s="195"/>
      <c r="Z202" s="195"/>
      <c r="AA202" s="195">
        <v>4</v>
      </c>
      <c r="AB202" s="195">
        <v>50</v>
      </c>
      <c r="AC202" s="195">
        <v>10</v>
      </c>
      <c r="AD202" s="195">
        <v>20</v>
      </c>
      <c r="AE202" s="195"/>
      <c r="AF202" s="195">
        <v>4</v>
      </c>
      <c r="AG202" s="195">
        <v>50</v>
      </c>
      <c r="AH202" s="195">
        <v>10</v>
      </c>
      <c r="AI202" s="195">
        <v>20</v>
      </c>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row>
    <row r="203" spans="1:65" ht="15">
      <c r="A203" s="198" t="s">
        <v>1354</v>
      </c>
      <c r="B203" s="198"/>
      <c r="C203" s="198"/>
      <c r="D203" s="198"/>
      <c r="E203" s="198"/>
      <c r="F203" s="198"/>
      <c r="G203" s="198"/>
      <c r="H203" s="198"/>
      <c r="I203" s="198"/>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row>
    <row r="204" spans="1:65" ht="15">
      <c r="A204" s="198"/>
      <c r="B204" s="198"/>
      <c r="C204" s="198"/>
      <c r="D204" s="198"/>
      <c r="E204" s="198"/>
      <c r="F204" s="198"/>
      <c r="G204" s="198"/>
      <c r="H204" s="198"/>
      <c r="I204" s="198"/>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row>
    <row r="205" spans="1:65" ht="15.75">
      <c r="A205" s="198" t="s">
        <v>1355</v>
      </c>
      <c r="B205" s="198"/>
      <c r="C205" s="198"/>
      <c r="D205" s="205">
        <v>9000</v>
      </c>
      <c r="E205" s="198" t="s">
        <v>1356</v>
      </c>
      <c r="F205" s="195"/>
      <c r="G205" s="216" t="e">
        <f>L87/D205</f>
        <v>#N/A</v>
      </c>
      <c r="H205" s="198" t="s">
        <v>1357</v>
      </c>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row>
    <row r="206" spans="1:65" ht="15">
      <c r="A206" s="1420" t="s">
        <v>1358</v>
      </c>
      <c r="B206" s="1420"/>
      <c r="C206" s="214">
        <v>2</v>
      </c>
      <c r="D206" s="198" t="s">
        <v>1359</v>
      </c>
      <c r="E206" s="195"/>
      <c r="F206" s="198"/>
      <c r="G206" s="198"/>
      <c r="H206" s="198"/>
      <c r="I206" s="198"/>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t="s">
        <v>648</v>
      </c>
      <c r="AK206" s="195"/>
      <c r="AL206" s="195"/>
      <c r="AM206" s="195" t="s">
        <v>649</v>
      </c>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row>
    <row r="207" spans="1:65" ht="15">
      <c r="A207" s="232" t="e">
        <f>G205/C206</f>
        <v>#N/A</v>
      </c>
      <c r="B207" s="198" t="s">
        <v>1360</v>
      </c>
      <c r="C207" s="198"/>
      <c r="D207" s="198"/>
      <c r="E207" s="198"/>
      <c r="F207" s="198"/>
      <c r="G207" s="198"/>
      <c r="H207" s="198"/>
      <c r="I207" s="198"/>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6" t="s">
        <v>189</v>
      </c>
      <c r="AL207" s="195"/>
      <c r="AM207" s="196" t="s">
        <v>654</v>
      </c>
      <c r="AN207" s="196" t="s">
        <v>189</v>
      </c>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row>
    <row r="208" spans="1:65" ht="15">
      <c r="A208" s="198" t="s">
        <v>1361</v>
      </c>
      <c r="B208" s="198"/>
      <c r="C208" s="198"/>
      <c r="D208" s="198"/>
      <c r="E208" s="198"/>
      <c r="F208" s="198"/>
      <c r="G208" s="198"/>
      <c r="H208" s="198"/>
      <c r="I208" s="198"/>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t="s">
        <v>332</v>
      </c>
      <c r="AK208" s="195">
        <v>20</v>
      </c>
      <c r="AL208" s="195"/>
      <c r="AM208" s="196" t="s">
        <v>332</v>
      </c>
      <c r="AN208" s="195">
        <v>30</v>
      </c>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row>
    <row r="209" spans="1:65" ht="15">
      <c r="A209" s="198"/>
      <c r="B209" s="198"/>
      <c r="C209" s="198"/>
      <c r="D209" s="198"/>
      <c r="E209" s="198"/>
      <c r="F209" s="198"/>
      <c r="G209" s="198"/>
      <c r="H209" s="198"/>
      <c r="I209" s="198"/>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v>1</v>
      </c>
      <c r="AK209" s="195">
        <v>20</v>
      </c>
      <c r="AL209" s="195"/>
      <c r="AM209" s="195">
        <v>1</v>
      </c>
      <c r="AN209" s="195">
        <v>30</v>
      </c>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row>
    <row r="210" spans="1:65" ht="15">
      <c r="A210" s="198" t="s">
        <v>1362</v>
      </c>
      <c r="B210" s="198"/>
      <c r="C210" s="198"/>
      <c r="D210" s="198"/>
      <c r="E210" s="198"/>
      <c r="F210" s="198"/>
      <c r="G210" s="198"/>
      <c r="H210" s="198"/>
      <c r="I210" s="198"/>
      <c r="J210" s="195"/>
      <c r="K210" s="195"/>
      <c r="L210" s="195"/>
      <c r="M210" s="195"/>
      <c r="N210" s="195"/>
      <c r="O210" s="195"/>
      <c r="P210" s="195"/>
      <c r="Q210" s="195"/>
      <c r="R210" s="195"/>
      <c r="S210" s="195"/>
      <c r="T210" s="195"/>
      <c r="U210" s="195"/>
      <c r="V210" s="195"/>
      <c r="W210" s="195"/>
      <c r="X210" s="195"/>
      <c r="Y210" s="195"/>
      <c r="Z210" s="195"/>
      <c r="AA210" s="195"/>
      <c r="AB210" s="195"/>
      <c r="AC210" s="196" t="s">
        <v>636</v>
      </c>
      <c r="AD210" s="196" t="s">
        <v>636</v>
      </c>
      <c r="AE210" s="196" t="s">
        <v>636</v>
      </c>
      <c r="AF210" s="196" t="s">
        <v>637</v>
      </c>
      <c r="AG210" s="196" t="s">
        <v>637</v>
      </c>
      <c r="AH210" s="196" t="s">
        <v>637</v>
      </c>
      <c r="AI210" s="195"/>
      <c r="AJ210" s="195">
        <v>10</v>
      </c>
      <c r="AK210" s="195">
        <v>15</v>
      </c>
      <c r="AL210" s="195"/>
      <c r="AM210" s="195">
        <v>10</v>
      </c>
      <c r="AN210" s="195">
        <v>20</v>
      </c>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row>
    <row r="211" spans="1:65" ht="15">
      <c r="A211" s="198" t="s">
        <v>1363</v>
      </c>
      <c r="B211" s="198"/>
      <c r="C211" s="198"/>
      <c r="D211" s="198"/>
      <c r="E211" s="198"/>
      <c r="F211" s="198"/>
      <c r="G211" s="198"/>
      <c r="H211" s="198"/>
      <c r="I211" s="198"/>
      <c r="J211" s="195"/>
      <c r="K211" s="195"/>
      <c r="L211" s="195"/>
      <c r="M211" s="195"/>
      <c r="N211" s="195"/>
      <c r="O211" s="195"/>
      <c r="P211" s="195"/>
      <c r="Q211" s="195"/>
      <c r="R211" s="195"/>
      <c r="S211" s="195"/>
      <c r="T211" s="195"/>
      <c r="U211" s="195"/>
      <c r="V211" s="195"/>
      <c r="W211" s="195"/>
      <c r="X211" s="195"/>
      <c r="Y211" s="195"/>
      <c r="Z211" s="195"/>
      <c r="AA211" s="195" t="s">
        <v>658</v>
      </c>
      <c r="AB211" s="195">
        <v>4</v>
      </c>
      <c r="AC211" s="195">
        <f>VLOOKUP($AB211,$AA$199:$AD$202,2)</f>
        <v>50</v>
      </c>
      <c r="AD211" s="195">
        <f>VLOOKUP($AB211,$AA$199:$AD$202,3)</f>
        <v>10</v>
      </c>
      <c r="AE211" s="195">
        <f>VLOOKUP($AB211,$AA$199:$AD$202,4)</f>
        <v>20</v>
      </c>
      <c r="AF211" s="195">
        <f aca="true" t="shared" si="75" ref="AF211:AF217">VLOOKUP($AB211,$AF$199:$AI$202,2)</f>
        <v>50</v>
      </c>
      <c r="AG211" s="195">
        <f aca="true" t="shared" si="76" ref="AG211:AG217">VLOOKUP($AB211,$AF$199:$AI$202,3)</f>
        <v>10</v>
      </c>
      <c r="AH211" s="195">
        <f aca="true" t="shared" si="77" ref="AH211:AH217">VLOOKUP($AB211,$AF$199:$AI$202,4)</f>
        <v>20</v>
      </c>
      <c r="AI211" s="195"/>
      <c r="AJ211" s="195">
        <v>20</v>
      </c>
      <c r="AK211" s="195">
        <v>10</v>
      </c>
      <c r="AL211" s="195"/>
      <c r="AM211" s="195">
        <v>20</v>
      </c>
      <c r="AN211" s="195">
        <v>10</v>
      </c>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row>
    <row r="212" spans="1:65" ht="15">
      <c r="A212" s="198" t="s">
        <v>1364</v>
      </c>
      <c r="B212" s="198"/>
      <c r="C212" s="198"/>
      <c r="D212" s="198"/>
      <c r="E212" s="198"/>
      <c r="F212" s="198"/>
      <c r="G212" s="198"/>
      <c r="H212" s="198"/>
      <c r="I212" s="198"/>
      <c r="J212" s="195"/>
      <c r="K212" s="195"/>
      <c r="L212" s="195"/>
      <c r="M212" s="195"/>
      <c r="N212" s="195"/>
      <c r="O212" s="195"/>
      <c r="P212" s="195"/>
      <c r="Q212" s="195"/>
      <c r="R212" s="195"/>
      <c r="S212" s="195"/>
      <c r="T212" s="195"/>
      <c r="U212" s="195"/>
      <c r="V212" s="195"/>
      <c r="W212" s="195"/>
      <c r="X212" s="195"/>
      <c r="Y212" s="195"/>
      <c r="Z212" s="195"/>
      <c r="AA212" s="195" t="s">
        <v>660</v>
      </c>
      <c r="AB212" s="195">
        <v>2</v>
      </c>
      <c r="AC212" s="195">
        <f aca="true" t="shared" si="78" ref="AC212:AC217">VLOOKUP(AB212,$AA$199:$AD$202,2)</f>
        <v>90</v>
      </c>
      <c r="AD212" s="195">
        <f aca="true" t="shared" si="79" ref="AD212:AD217">VLOOKUP(AC212,$AA$199:$AD$202,3)</f>
        <v>10</v>
      </c>
      <c r="AE212" s="195">
        <f aca="true" t="shared" si="80" ref="AE212:AE217">VLOOKUP(AD212,$AA$199:$AD$202,4)</f>
        <v>20</v>
      </c>
      <c r="AF212" s="195">
        <f t="shared" si="75"/>
        <v>70</v>
      </c>
      <c r="AG212" s="195">
        <f t="shared" si="76"/>
        <v>10</v>
      </c>
      <c r="AH212" s="195">
        <f t="shared" si="77"/>
        <v>20</v>
      </c>
      <c r="AI212" s="195"/>
      <c r="AJ212" s="195">
        <v>30</v>
      </c>
      <c r="AK212" s="195">
        <v>0</v>
      </c>
      <c r="AL212" s="195"/>
      <c r="AM212" s="195">
        <v>30</v>
      </c>
      <c r="AN212" s="195">
        <v>0</v>
      </c>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row>
    <row r="213" spans="1:65" ht="15">
      <c r="A213" s="198" t="s">
        <v>1365</v>
      </c>
      <c r="B213" s="198"/>
      <c r="C213" s="198"/>
      <c r="D213" s="198"/>
      <c r="E213" s="198"/>
      <c r="F213" s="198"/>
      <c r="G213" s="198"/>
      <c r="H213" s="198"/>
      <c r="I213" s="198"/>
      <c r="J213" s="195"/>
      <c r="K213" s="195"/>
      <c r="L213" s="195"/>
      <c r="M213" s="195"/>
      <c r="N213" s="195"/>
      <c r="O213" s="195"/>
      <c r="P213" s="195"/>
      <c r="Q213" s="195"/>
      <c r="R213" s="195"/>
      <c r="S213" s="195"/>
      <c r="T213" s="195"/>
      <c r="U213" s="195"/>
      <c r="V213" s="195"/>
      <c r="W213" s="195"/>
      <c r="X213" s="195"/>
      <c r="Y213" s="195"/>
      <c r="Z213" s="195"/>
      <c r="AA213" s="195" t="s">
        <v>662</v>
      </c>
      <c r="AB213" s="195">
        <v>2</v>
      </c>
      <c r="AC213" s="195">
        <f t="shared" si="78"/>
        <v>90</v>
      </c>
      <c r="AD213" s="195">
        <f t="shared" si="79"/>
        <v>10</v>
      </c>
      <c r="AE213" s="195">
        <f t="shared" si="80"/>
        <v>20</v>
      </c>
      <c r="AF213" s="195">
        <f t="shared" si="75"/>
        <v>70</v>
      </c>
      <c r="AG213" s="195">
        <f t="shared" si="76"/>
        <v>10</v>
      </c>
      <c r="AH213" s="195">
        <f t="shared" si="77"/>
        <v>20</v>
      </c>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row>
    <row r="214" spans="1:65" ht="15">
      <c r="A214" s="198" t="s">
        <v>1366</v>
      </c>
      <c r="B214" s="198"/>
      <c r="C214" s="198"/>
      <c r="D214" s="198"/>
      <c r="E214" s="198"/>
      <c r="F214" s="198"/>
      <c r="G214" s="198"/>
      <c r="H214" s="198"/>
      <c r="I214" s="198"/>
      <c r="J214" s="195"/>
      <c r="K214" s="195"/>
      <c r="L214" s="195"/>
      <c r="M214" s="195"/>
      <c r="N214" s="195"/>
      <c r="O214" s="195"/>
      <c r="P214" s="195"/>
      <c r="Q214" s="195"/>
      <c r="R214" s="195"/>
      <c r="S214" s="195"/>
      <c r="T214" s="195"/>
      <c r="U214" s="195"/>
      <c r="V214" s="195"/>
      <c r="W214" s="195"/>
      <c r="X214" s="195"/>
      <c r="Y214" s="195"/>
      <c r="Z214" s="195"/>
      <c r="AA214" s="195" t="s">
        <v>664</v>
      </c>
      <c r="AB214" s="195">
        <v>4</v>
      </c>
      <c r="AC214" s="195">
        <f t="shared" si="78"/>
        <v>50</v>
      </c>
      <c r="AD214" s="195">
        <f t="shared" si="79"/>
        <v>10</v>
      </c>
      <c r="AE214" s="195">
        <f t="shared" si="80"/>
        <v>20</v>
      </c>
      <c r="AF214" s="195">
        <f t="shared" si="75"/>
        <v>50</v>
      </c>
      <c r="AG214" s="195">
        <f t="shared" si="76"/>
        <v>10</v>
      </c>
      <c r="AH214" s="195">
        <f t="shared" si="77"/>
        <v>20</v>
      </c>
      <c r="AI214" s="195"/>
      <c r="AJ214" s="195"/>
      <c r="AK214" s="196" t="s">
        <v>188</v>
      </c>
      <c r="AL214" s="195"/>
      <c r="AM214" s="196" t="s">
        <v>654</v>
      </c>
      <c r="AN214" s="196" t="s">
        <v>188</v>
      </c>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row>
    <row r="215" spans="1:65" ht="15">
      <c r="A215" s="198" t="s">
        <v>1368</v>
      </c>
      <c r="B215" s="198"/>
      <c r="C215" s="198"/>
      <c r="D215" s="198"/>
      <c r="E215" s="198"/>
      <c r="F215" s="198"/>
      <c r="G215" s="198"/>
      <c r="H215" s="198"/>
      <c r="I215" s="198"/>
      <c r="J215" s="195"/>
      <c r="K215" s="195"/>
      <c r="L215" s="195"/>
      <c r="M215" s="195"/>
      <c r="N215" s="195"/>
      <c r="O215" s="195"/>
      <c r="P215" s="195"/>
      <c r="Q215" s="195"/>
      <c r="R215" s="195"/>
      <c r="S215" s="195"/>
      <c r="T215" s="195"/>
      <c r="U215" s="195"/>
      <c r="V215" s="195"/>
      <c r="W215" s="195"/>
      <c r="X215" s="195"/>
      <c r="Y215" s="195"/>
      <c r="Z215" s="195"/>
      <c r="AA215" s="195" t="s">
        <v>666</v>
      </c>
      <c r="AB215" s="195">
        <v>3</v>
      </c>
      <c r="AC215" s="195">
        <f t="shared" si="78"/>
        <v>70</v>
      </c>
      <c r="AD215" s="195">
        <f t="shared" si="79"/>
        <v>10</v>
      </c>
      <c r="AE215" s="195">
        <f t="shared" si="80"/>
        <v>20</v>
      </c>
      <c r="AF215" s="195">
        <f t="shared" si="75"/>
        <v>60</v>
      </c>
      <c r="AG215" s="195">
        <f t="shared" si="76"/>
        <v>10</v>
      </c>
      <c r="AH215" s="195">
        <f t="shared" si="77"/>
        <v>20</v>
      </c>
      <c r="AI215" s="195"/>
      <c r="AJ215" s="195" t="s">
        <v>332</v>
      </c>
      <c r="AK215" s="195">
        <v>80</v>
      </c>
      <c r="AL215" s="195"/>
      <c r="AM215" s="196" t="s">
        <v>332</v>
      </c>
      <c r="AN215" s="195">
        <v>100</v>
      </c>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row>
    <row r="216" spans="1:65" ht="15">
      <c r="A216" s="198" t="s">
        <v>1369</v>
      </c>
      <c r="B216" s="198"/>
      <c r="C216" s="198"/>
      <c r="D216" s="198"/>
      <c r="E216" s="198"/>
      <c r="F216" s="198"/>
      <c r="G216" s="198"/>
      <c r="H216" s="198"/>
      <c r="I216" s="198"/>
      <c r="J216" s="195"/>
      <c r="K216" s="195"/>
      <c r="L216" s="195"/>
      <c r="M216" s="195"/>
      <c r="N216" s="195"/>
      <c r="O216" s="195"/>
      <c r="P216" s="195"/>
      <c r="Q216" s="195"/>
      <c r="R216" s="195"/>
      <c r="S216" s="195"/>
      <c r="T216" s="195"/>
      <c r="U216" s="195"/>
      <c r="V216" s="195"/>
      <c r="W216" s="195"/>
      <c r="X216" s="195"/>
      <c r="Y216" s="195"/>
      <c r="Z216" s="195"/>
      <c r="AA216" s="195" t="s">
        <v>667</v>
      </c>
      <c r="AB216" s="195">
        <v>4</v>
      </c>
      <c r="AC216" s="195">
        <f t="shared" si="78"/>
        <v>50</v>
      </c>
      <c r="AD216" s="195">
        <f t="shared" si="79"/>
        <v>10</v>
      </c>
      <c r="AE216" s="195">
        <f t="shared" si="80"/>
        <v>20</v>
      </c>
      <c r="AF216" s="195">
        <f t="shared" si="75"/>
        <v>50</v>
      </c>
      <c r="AG216" s="195">
        <f t="shared" si="76"/>
        <v>10</v>
      </c>
      <c r="AH216" s="195">
        <f t="shared" si="77"/>
        <v>20</v>
      </c>
      <c r="AI216" s="195"/>
      <c r="AJ216" s="195">
        <v>1</v>
      </c>
      <c r="AK216" s="195">
        <v>80</v>
      </c>
      <c r="AL216" s="195"/>
      <c r="AM216" s="195">
        <v>1</v>
      </c>
      <c r="AN216" s="195">
        <v>100</v>
      </c>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row>
    <row r="217" spans="1:65" ht="15">
      <c r="A217" s="198"/>
      <c r="B217" s="198"/>
      <c r="C217" s="198"/>
      <c r="D217" s="198"/>
      <c r="E217" s="198"/>
      <c r="F217" s="198"/>
      <c r="G217" s="198"/>
      <c r="H217" s="198"/>
      <c r="I217" s="198"/>
      <c r="J217" s="195"/>
      <c r="K217" s="195"/>
      <c r="L217" s="195"/>
      <c r="M217" s="195"/>
      <c r="N217" s="195"/>
      <c r="O217" s="195"/>
      <c r="P217" s="195"/>
      <c r="Q217" s="195"/>
      <c r="R217" s="195"/>
      <c r="S217" s="195"/>
      <c r="T217" s="195"/>
      <c r="U217" s="195"/>
      <c r="V217" s="195"/>
      <c r="W217" s="195"/>
      <c r="X217" s="195"/>
      <c r="Y217" s="195"/>
      <c r="Z217" s="195"/>
      <c r="AA217" s="195" t="s">
        <v>668</v>
      </c>
      <c r="AB217" s="195">
        <v>4</v>
      </c>
      <c r="AC217" s="195">
        <f t="shared" si="78"/>
        <v>50</v>
      </c>
      <c r="AD217" s="195">
        <f t="shared" si="79"/>
        <v>10</v>
      </c>
      <c r="AE217" s="195">
        <f t="shared" si="80"/>
        <v>20</v>
      </c>
      <c r="AF217" s="195">
        <f t="shared" si="75"/>
        <v>50</v>
      </c>
      <c r="AG217" s="195">
        <f t="shared" si="76"/>
        <v>10</v>
      </c>
      <c r="AH217" s="195">
        <f t="shared" si="77"/>
        <v>20</v>
      </c>
      <c r="AI217" s="195"/>
      <c r="AJ217" s="195">
        <v>100</v>
      </c>
      <c r="AK217" s="195">
        <v>45</v>
      </c>
      <c r="AL217" s="195"/>
      <c r="AM217" s="195">
        <v>100</v>
      </c>
      <c r="AN217" s="195">
        <v>75</v>
      </c>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row>
    <row r="218" spans="1:65" ht="15">
      <c r="A218" s="198"/>
      <c r="B218" s="198"/>
      <c r="C218" s="198"/>
      <c r="D218" s="198"/>
      <c r="E218" s="198"/>
      <c r="F218" s="198"/>
      <c r="G218" s="198"/>
      <c r="H218" s="198"/>
      <c r="I218" s="198"/>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row>
    <row r="219" spans="1:65" ht="15.75">
      <c r="A219" s="243" t="s">
        <v>1370</v>
      </c>
      <c r="B219" s="198"/>
      <c r="C219" s="198"/>
      <c r="D219" s="198"/>
      <c r="E219" s="198"/>
      <c r="F219" s="198"/>
      <c r="G219" s="198"/>
      <c r="H219" s="198"/>
      <c r="I219" s="198"/>
      <c r="J219" s="195"/>
      <c r="K219" s="195"/>
      <c r="L219" s="195"/>
      <c r="M219" s="195"/>
      <c r="N219" s="195"/>
      <c r="O219" s="195"/>
      <c r="P219" s="195"/>
      <c r="Q219" s="195"/>
      <c r="R219" s="195"/>
      <c r="S219" s="195"/>
      <c r="T219" s="195"/>
      <c r="U219" s="195"/>
      <c r="V219" s="195"/>
      <c r="W219" s="195"/>
      <c r="X219" s="195"/>
      <c r="Y219" s="195"/>
      <c r="Z219" s="195"/>
      <c r="AA219" s="195" t="s">
        <v>669</v>
      </c>
      <c r="AB219" s="195">
        <v>3</v>
      </c>
      <c r="AC219" s="195">
        <f>VLOOKUP(AB219,$AA$199:$AD$202,2)</f>
        <v>70</v>
      </c>
      <c r="AD219" s="195">
        <f>VLOOKUP(AC219,$AA$199:$AD$202,3)</f>
        <v>10</v>
      </c>
      <c r="AE219" s="195">
        <f>VLOOKUP(AD219,$AA$199:$AD$202,4)</f>
        <v>20</v>
      </c>
      <c r="AF219" s="195">
        <f>VLOOKUP($AB219,$AF$199:$AI$202,2)</f>
        <v>60</v>
      </c>
      <c r="AG219" s="195">
        <f>VLOOKUP($AB219,$AF$199:$AI$202,3)</f>
        <v>10</v>
      </c>
      <c r="AH219" s="195">
        <f>VLOOKUP($AB219,$AF$199:$AI$202,4)</f>
        <v>20</v>
      </c>
      <c r="AI219" s="195"/>
      <c r="AJ219" s="195">
        <v>200</v>
      </c>
      <c r="AK219" s="195">
        <v>20</v>
      </c>
      <c r="AL219" s="195"/>
      <c r="AM219" s="195">
        <v>200</v>
      </c>
      <c r="AN219" s="195">
        <v>50</v>
      </c>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row>
    <row r="220" spans="1:65" ht="15">
      <c r="A220" s="198"/>
      <c r="B220" s="198"/>
      <c r="C220" s="198"/>
      <c r="D220" s="198"/>
      <c r="E220" s="198"/>
      <c r="F220" s="198"/>
      <c r="G220" s="198"/>
      <c r="H220" s="198"/>
      <c r="I220" s="198"/>
      <c r="J220" s="195"/>
      <c r="K220" s="195"/>
      <c r="L220" s="195"/>
      <c r="M220" s="195"/>
      <c r="N220" s="195"/>
      <c r="O220" s="195"/>
      <c r="P220" s="195"/>
      <c r="Q220" s="195"/>
      <c r="R220" s="195"/>
      <c r="S220" s="195"/>
      <c r="T220" s="195"/>
      <c r="U220" s="195"/>
      <c r="V220" s="195"/>
      <c r="W220" s="195"/>
      <c r="X220" s="195"/>
      <c r="Y220" s="195"/>
      <c r="Z220" s="195"/>
      <c r="AA220" s="195" t="s">
        <v>671</v>
      </c>
      <c r="AB220" s="195">
        <v>1</v>
      </c>
      <c r="AC220" s="195">
        <f>VLOOKUP(AB220,$AA$199:$AD$202,2)</f>
        <v>115</v>
      </c>
      <c r="AD220" s="195">
        <f>VLOOKUP(AC220,$AA$199:$AD$202,3)</f>
        <v>10</v>
      </c>
      <c r="AE220" s="195">
        <f>VLOOKUP(AD220,$AA$199:$AD$202,4)</f>
        <v>20</v>
      </c>
      <c r="AF220" s="195">
        <f>VLOOKUP($AB220,$AF$199:$AI$202,2)</f>
        <v>95</v>
      </c>
      <c r="AG220" s="195">
        <f>VLOOKUP($AB220,$AF$199:$AI$202,3)</f>
        <v>10</v>
      </c>
      <c r="AH220" s="195">
        <f>VLOOKUP($AB220,$AF$199:$AI$202,4)</f>
        <v>20</v>
      </c>
      <c r="AI220" s="195"/>
      <c r="AJ220" s="195">
        <v>300</v>
      </c>
      <c r="AK220" s="195">
        <v>0</v>
      </c>
      <c r="AL220" s="195"/>
      <c r="AM220" s="195">
        <v>300</v>
      </c>
      <c r="AN220" s="195">
        <v>0</v>
      </c>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row>
    <row r="221" spans="1:65" ht="15">
      <c r="A221" s="198" t="s">
        <v>1371</v>
      </c>
      <c r="B221" s="198"/>
      <c r="C221" s="198"/>
      <c r="D221" s="198"/>
      <c r="E221" s="198"/>
      <c r="F221" s="198"/>
      <c r="G221" s="198"/>
      <c r="H221" s="198"/>
      <c r="I221" s="198"/>
      <c r="J221" s="195"/>
      <c r="K221" s="195"/>
      <c r="L221" s="195"/>
      <c r="M221" s="195"/>
      <c r="N221" s="195"/>
      <c r="O221" s="195"/>
      <c r="P221" s="195"/>
      <c r="Q221" s="195"/>
      <c r="R221" s="195"/>
      <c r="S221" s="195"/>
      <c r="T221" s="195"/>
      <c r="U221" s="195"/>
      <c r="V221" s="195"/>
      <c r="W221" s="195"/>
      <c r="X221" s="195"/>
      <c r="Y221" s="195"/>
      <c r="Z221" s="195"/>
      <c r="AA221" s="195" t="s">
        <v>672</v>
      </c>
      <c r="AB221" s="195">
        <v>2</v>
      </c>
      <c r="AC221" s="195">
        <f>VLOOKUP(AB221,$AA$199:$AD$202,2)</f>
        <v>90</v>
      </c>
      <c r="AD221" s="195">
        <f>VLOOKUP(AC221,$AA$199:$AD$202,3)</f>
        <v>10</v>
      </c>
      <c r="AE221" s="195">
        <f>VLOOKUP(AD221,$AA$199:$AD$202,4)</f>
        <v>20</v>
      </c>
      <c r="AF221" s="195">
        <f>VLOOKUP($AB221,$AF$199:$AI$202,2)</f>
        <v>70</v>
      </c>
      <c r="AG221" s="195">
        <f>VLOOKUP($AB221,$AF$199:$AI$202,3)</f>
        <v>10</v>
      </c>
      <c r="AH221" s="195">
        <f>VLOOKUP($AB221,$AF$199:$AI$202,4)</f>
        <v>20</v>
      </c>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row>
    <row r="222" spans="1:65" ht="15">
      <c r="A222" s="198" t="s">
        <v>1372</v>
      </c>
      <c r="B222" s="198"/>
      <c r="C222" s="198"/>
      <c r="D222" s="198"/>
      <c r="E222" s="198"/>
      <c r="F222" s="198"/>
      <c r="G222" s="198"/>
      <c r="H222" s="198"/>
      <c r="I222" s="198"/>
      <c r="J222" s="195"/>
      <c r="K222" s="195"/>
      <c r="L222" s="195"/>
      <c r="M222" s="195"/>
      <c r="N222" s="195"/>
      <c r="O222" s="195"/>
      <c r="P222" s="195"/>
      <c r="Q222" s="195"/>
      <c r="R222" s="195"/>
      <c r="S222" s="195"/>
      <c r="T222" s="195"/>
      <c r="U222" s="195"/>
      <c r="V222" s="195"/>
      <c r="W222" s="195"/>
      <c r="X222" s="195"/>
      <c r="Y222" s="195"/>
      <c r="Z222" s="195"/>
      <c r="AA222" s="195" t="s">
        <v>674</v>
      </c>
      <c r="AB222" s="195">
        <v>2</v>
      </c>
      <c r="AC222" s="195">
        <f>VLOOKUP(AB222,$AA$199:$AD$202,2)</f>
        <v>90</v>
      </c>
      <c r="AD222" s="195">
        <f>VLOOKUP(AC222,$AA$199:$AD$202,3)</f>
        <v>10</v>
      </c>
      <c r="AE222" s="195">
        <f>VLOOKUP(AD222,$AA$199:$AD$202,4)</f>
        <v>20</v>
      </c>
      <c r="AF222" s="195">
        <f>VLOOKUP($AB222,$AF$199:$AI$202,2)</f>
        <v>70</v>
      </c>
      <c r="AG222" s="195">
        <f>VLOOKUP($AB222,$AF$199:$AI$202,3)</f>
        <v>10</v>
      </c>
      <c r="AH222" s="195">
        <f>VLOOKUP($AB222,$AF$199:$AI$202,4)</f>
        <v>20</v>
      </c>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row>
    <row r="223" spans="1:65" ht="15">
      <c r="A223" s="198"/>
      <c r="B223" s="198"/>
      <c r="C223" s="198"/>
      <c r="D223" s="198"/>
      <c r="E223" s="198"/>
      <c r="F223" s="198"/>
      <c r="G223" s="198"/>
      <c r="H223" s="198"/>
      <c r="I223" s="198"/>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row>
    <row r="224" spans="1:65" ht="15">
      <c r="A224" s="198" t="s">
        <v>1399</v>
      </c>
      <c r="B224" s="198"/>
      <c r="C224" s="198"/>
      <c r="D224" s="198"/>
      <c r="E224" s="198"/>
      <c r="F224" s="198"/>
      <c r="G224" s="198"/>
      <c r="H224" s="198"/>
      <c r="I224" s="198"/>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row>
    <row r="225" spans="1:65" ht="15">
      <c r="A225" s="216" t="e">
        <f>L87</f>
        <v>#N/A</v>
      </c>
      <c r="B225" s="198" t="s">
        <v>1400</v>
      </c>
      <c r="C225" s="198"/>
      <c r="D225" s="198"/>
      <c r="E225" s="198"/>
      <c r="F225" s="198"/>
      <c r="G225" s="198"/>
      <c r="H225" s="198"/>
      <c r="I225" s="198"/>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row>
    <row r="226" spans="1:65" ht="15">
      <c r="A226" s="198" t="s">
        <v>1401</v>
      </c>
      <c r="B226" s="198"/>
      <c r="C226" s="198"/>
      <c r="D226" s="198"/>
      <c r="E226" s="198"/>
      <c r="F226" s="198"/>
      <c r="G226" s="198"/>
      <c r="H226" s="198"/>
      <c r="I226" s="198"/>
      <c r="J226" s="195"/>
      <c r="K226" s="195"/>
      <c r="L226" s="195"/>
      <c r="M226" s="195"/>
      <c r="N226" s="195"/>
      <c r="O226" s="195"/>
      <c r="P226" s="195"/>
      <c r="Q226" s="195"/>
      <c r="R226" s="195"/>
      <c r="S226" s="195"/>
      <c r="T226" s="195"/>
      <c r="U226" s="195"/>
      <c r="V226" s="195"/>
      <c r="W226" s="195"/>
      <c r="X226" s="195"/>
      <c r="Y226" s="195"/>
      <c r="Z226" s="195"/>
      <c r="AA226" s="195" t="s">
        <v>676</v>
      </c>
      <c r="AB226" s="195">
        <v>4</v>
      </c>
      <c r="AC226" s="195">
        <f aca="true" t="shared" si="81" ref="AC226:AC259">VLOOKUP(AB226,$AA$199:$AD$202,2)</f>
        <v>50</v>
      </c>
      <c r="AD226" s="195">
        <f aca="true" t="shared" si="82" ref="AD226:AD259">VLOOKUP(AC226,$AA$199:$AD$202,3)</f>
        <v>10</v>
      </c>
      <c r="AE226" s="195">
        <f aca="true" t="shared" si="83" ref="AE226:AE259">VLOOKUP(AD226,$AA$199:$AD$202,4)</f>
        <v>20</v>
      </c>
      <c r="AF226" s="195">
        <f aca="true" t="shared" si="84" ref="AF226:AF259">VLOOKUP($AB226,$AF$199:$AI$202,2)</f>
        <v>50</v>
      </c>
      <c r="AG226" s="195">
        <f aca="true" t="shared" si="85" ref="AG226:AG259">VLOOKUP($AB226,$AF$199:$AI$202,3)</f>
        <v>10</v>
      </c>
      <c r="AH226" s="195">
        <f aca="true" t="shared" si="86" ref="AH226:AH259">VLOOKUP($AB226,$AF$199:$AI$202,4)</f>
        <v>20</v>
      </c>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row>
    <row r="227" spans="1:65" ht="15">
      <c r="A227" s="198" t="s">
        <v>1402</v>
      </c>
      <c r="B227" s="198"/>
      <c r="C227" s="198"/>
      <c r="D227" s="198"/>
      <c r="E227" s="198"/>
      <c r="F227" s="198"/>
      <c r="G227" s="198"/>
      <c r="H227" s="198"/>
      <c r="I227" s="198"/>
      <c r="J227" s="195"/>
      <c r="K227" s="195"/>
      <c r="L227" s="195"/>
      <c r="M227" s="195"/>
      <c r="N227" s="195"/>
      <c r="O227" s="195"/>
      <c r="P227" s="195"/>
      <c r="Q227" s="195"/>
      <c r="R227" s="195"/>
      <c r="S227" s="195"/>
      <c r="T227" s="195"/>
      <c r="U227" s="195"/>
      <c r="V227" s="195"/>
      <c r="W227" s="195"/>
      <c r="X227" s="195"/>
      <c r="Y227" s="195"/>
      <c r="Z227" s="195"/>
      <c r="AA227" s="195" t="s">
        <v>683</v>
      </c>
      <c r="AB227" s="195">
        <v>2</v>
      </c>
      <c r="AC227" s="195">
        <f t="shared" si="81"/>
        <v>90</v>
      </c>
      <c r="AD227" s="195">
        <f t="shared" si="82"/>
        <v>10</v>
      </c>
      <c r="AE227" s="195">
        <f t="shared" si="83"/>
        <v>20</v>
      </c>
      <c r="AF227" s="195">
        <f t="shared" si="84"/>
        <v>70</v>
      </c>
      <c r="AG227" s="195">
        <f t="shared" si="85"/>
        <v>10</v>
      </c>
      <c r="AH227" s="195">
        <f t="shared" si="86"/>
        <v>20</v>
      </c>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row>
    <row r="228" spans="1:65" ht="15">
      <c r="A228" s="198"/>
      <c r="B228" s="198"/>
      <c r="C228" s="198"/>
      <c r="D228" s="198"/>
      <c r="E228" s="198"/>
      <c r="F228" s="198"/>
      <c r="G228" s="198"/>
      <c r="H228" s="198"/>
      <c r="I228" s="198"/>
      <c r="J228" s="195"/>
      <c r="K228" s="195"/>
      <c r="L228" s="195"/>
      <c r="M228" s="195"/>
      <c r="N228" s="195"/>
      <c r="O228" s="195"/>
      <c r="P228" s="195"/>
      <c r="Q228" s="195"/>
      <c r="R228" s="195"/>
      <c r="S228" s="195"/>
      <c r="T228" s="195"/>
      <c r="U228" s="195"/>
      <c r="V228" s="195"/>
      <c r="W228" s="195"/>
      <c r="X228" s="195"/>
      <c r="Y228" s="195"/>
      <c r="Z228" s="195"/>
      <c r="AA228" s="195" t="s">
        <v>684</v>
      </c>
      <c r="AB228" s="195">
        <v>4</v>
      </c>
      <c r="AC228" s="195">
        <f t="shared" si="81"/>
        <v>50</v>
      </c>
      <c r="AD228" s="195">
        <f t="shared" si="82"/>
        <v>10</v>
      </c>
      <c r="AE228" s="195">
        <f t="shared" si="83"/>
        <v>20</v>
      </c>
      <c r="AF228" s="195">
        <f t="shared" si="84"/>
        <v>50</v>
      </c>
      <c r="AG228" s="195">
        <f t="shared" si="85"/>
        <v>10</v>
      </c>
      <c r="AH228" s="195">
        <f t="shared" si="86"/>
        <v>20</v>
      </c>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row>
    <row r="229" spans="1:65" ht="15">
      <c r="A229" s="198" t="s">
        <v>1403</v>
      </c>
      <c r="B229" s="198"/>
      <c r="C229" s="198"/>
      <c r="D229" s="198"/>
      <c r="E229" s="198"/>
      <c r="F229" s="198"/>
      <c r="G229" s="198"/>
      <c r="H229" s="198"/>
      <c r="I229" s="198"/>
      <c r="J229" s="195"/>
      <c r="K229" s="195"/>
      <c r="L229" s="195"/>
      <c r="M229" s="195"/>
      <c r="N229" s="195"/>
      <c r="O229" s="195"/>
      <c r="P229" s="195"/>
      <c r="Q229" s="195"/>
      <c r="R229" s="195"/>
      <c r="S229" s="195"/>
      <c r="T229" s="195"/>
      <c r="U229" s="195"/>
      <c r="V229" s="195"/>
      <c r="W229" s="195"/>
      <c r="X229" s="195"/>
      <c r="Y229" s="195"/>
      <c r="Z229" s="195"/>
      <c r="AA229" s="195" t="s">
        <v>686</v>
      </c>
      <c r="AB229" s="195">
        <v>1</v>
      </c>
      <c r="AC229" s="195">
        <f t="shared" si="81"/>
        <v>115</v>
      </c>
      <c r="AD229" s="195">
        <f t="shared" si="82"/>
        <v>10</v>
      </c>
      <c r="AE229" s="195">
        <f t="shared" si="83"/>
        <v>20</v>
      </c>
      <c r="AF229" s="195">
        <f t="shared" si="84"/>
        <v>95</v>
      </c>
      <c r="AG229" s="195">
        <f t="shared" si="85"/>
        <v>10</v>
      </c>
      <c r="AH229" s="195">
        <f t="shared" si="86"/>
        <v>20</v>
      </c>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row>
    <row r="230" spans="1:65" ht="15">
      <c r="A230" s="198" t="s">
        <v>1404</v>
      </c>
      <c r="B230" s="198"/>
      <c r="C230" s="198"/>
      <c r="D230" s="198"/>
      <c r="E230" s="198"/>
      <c r="F230" s="198"/>
      <c r="G230" s="198"/>
      <c r="H230" s="198"/>
      <c r="I230" s="198"/>
      <c r="J230" s="195"/>
      <c r="K230" s="195"/>
      <c r="L230" s="195"/>
      <c r="M230" s="195"/>
      <c r="N230" s="195"/>
      <c r="O230" s="195"/>
      <c r="P230" s="195"/>
      <c r="Q230" s="195"/>
      <c r="R230" s="195"/>
      <c r="S230" s="195"/>
      <c r="T230" s="195"/>
      <c r="U230" s="195"/>
      <c r="V230" s="195"/>
      <c r="W230" s="195"/>
      <c r="X230" s="195"/>
      <c r="Y230" s="195"/>
      <c r="Z230" s="195"/>
      <c r="AA230" s="195" t="s">
        <v>688</v>
      </c>
      <c r="AB230" s="195">
        <v>4</v>
      </c>
      <c r="AC230" s="195">
        <f t="shared" si="81"/>
        <v>50</v>
      </c>
      <c r="AD230" s="195">
        <f t="shared" si="82"/>
        <v>10</v>
      </c>
      <c r="AE230" s="195">
        <f t="shared" si="83"/>
        <v>20</v>
      </c>
      <c r="AF230" s="195">
        <f t="shared" si="84"/>
        <v>50</v>
      </c>
      <c r="AG230" s="195">
        <f t="shared" si="85"/>
        <v>10</v>
      </c>
      <c r="AH230" s="195">
        <f t="shared" si="86"/>
        <v>20</v>
      </c>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row>
    <row r="231" spans="1:65" ht="15">
      <c r="A231" s="198" t="s">
        <v>1405</v>
      </c>
      <c r="B231" s="198"/>
      <c r="C231" s="198"/>
      <c r="D231" s="198"/>
      <c r="E231" s="198"/>
      <c r="F231" s="198"/>
      <c r="G231" s="198"/>
      <c r="H231" s="198"/>
      <c r="I231" s="198"/>
      <c r="J231" s="195"/>
      <c r="K231" s="195"/>
      <c r="L231" s="195"/>
      <c r="M231" s="195"/>
      <c r="N231" s="195"/>
      <c r="O231" s="195"/>
      <c r="P231" s="195"/>
      <c r="Q231" s="195"/>
      <c r="R231" s="195"/>
      <c r="S231" s="195"/>
      <c r="T231" s="195"/>
      <c r="U231" s="195"/>
      <c r="V231" s="195"/>
      <c r="W231" s="195"/>
      <c r="X231" s="195"/>
      <c r="Y231" s="195"/>
      <c r="Z231" s="195"/>
      <c r="AA231" s="195" t="s">
        <v>689</v>
      </c>
      <c r="AB231" s="195">
        <v>2</v>
      </c>
      <c r="AC231" s="195">
        <f t="shared" si="81"/>
        <v>90</v>
      </c>
      <c r="AD231" s="195">
        <f t="shared" si="82"/>
        <v>10</v>
      </c>
      <c r="AE231" s="195">
        <f t="shared" si="83"/>
        <v>20</v>
      </c>
      <c r="AF231" s="195">
        <f t="shared" si="84"/>
        <v>70</v>
      </c>
      <c r="AG231" s="195">
        <f t="shared" si="85"/>
        <v>10</v>
      </c>
      <c r="AH231" s="195">
        <f t="shared" si="86"/>
        <v>20</v>
      </c>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row>
    <row r="232" spans="1:65" ht="15">
      <c r="A232" s="198" t="s">
        <v>1406</v>
      </c>
      <c r="B232" s="198"/>
      <c r="C232" s="198"/>
      <c r="D232" s="198"/>
      <c r="E232" s="198"/>
      <c r="F232" s="198"/>
      <c r="G232" s="198"/>
      <c r="H232" s="198"/>
      <c r="I232" s="198"/>
      <c r="J232" s="195"/>
      <c r="K232" s="195"/>
      <c r="L232" s="195"/>
      <c r="M232" s="195"/>
      <c r="N232" s="195"/>
      <c r="O232" s="195"/>
      <c r="P232" s="195"/>
      <c r="Q232" s="195"/>
      <c r="R232" s="195"/>
      <c r="S232" s="195"/>
      <c r="T232" s="195"/>
      <c r="U232" s="195"/>
      <c r="V232" s="195"/>
      <c r="W232" s="195"/>
      <c r="X232" s="195"/>
      <c r="Y232" s="195"/>
      <c r="Z232" s="195"/>
      <c r="AA232" s="195" t="s">
        <v>690</v>
      </c>
      <c r="AB232" s="195">
        <v>4</v>
      </c>
      <c r="AC232" s="195">
        <f t="shared" si="81"/>
        <v>50</v>
      </c>
      <c r="AD232" s="195">
        <f t="shared" si="82"/>
        <v>10</v>
      </c>
      <c r="AE232" s="195">
        <f t="shared" si="83"/>
        <v>20</v>
      </c>
      <c r="AF232" s="195">
        <f t="shared" si="84"/>
        <v>50</v>
      </c>
      <c r="AG232" s="195">
        <f t="shared" si="85"/>
        <v>10</v>
      </c>
      <c r="AH232" s="195">
        <f t="shared" si="86"/>
        <v>20</v>
      </c>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row>
    <row r="233" spans="1:65" ht="15">
      <c r="A233" s="198" t="s">
        <v>1407</v>
      </c>
      <c r="B233" s="198"/>
      <c r="C233" s="198"/>
      <c r="D233" s="198"/>
      <c r="E233" s="198"/>
      <c r="F233" s="198"/>
      <c r="G233" s="198"/>
      <c r="H233" s="198"/>
      <c r="I233" s="198"/>
      <c r="J233" s="195"/>
      <c r="K233" s="195"/>
      <c r="L233" s="195"/>
      <c r="M233" s="195"/>
      <c r="N233" s="195"/>
      <c r="O233" s="195"/>
      <c r="P233" s="195"/>
      <c r="Q233" s="195"/>
      <c r="R233" s="195"/>
      <c r="S233" s="195"/>
      <c r="T233" s="195"/>
      <c r="U233" s="195"/>
      <c r="V233" s="195"/>
      <c r="W233" s="195"/>
      <c r="X233" s="195"/>
      <c r="Y233" s="195"/>
      <c r="Z233" s="195"/>
      <c r="AA233" s="195" t="s">
        <v>692</v>
      </c>
      <c r="AB233" s="195">
        <v>3</v>
      </c>
      <c r="AC233" s="195">
        <f t="shared" si="81"/>
        <v>70</v>
      </c>
      <c r="AD233" s="195">
        <f t="shared" si="82"/>
        <v>10</v>
      </c>
      <c r="AE233" s="195">
        <f t="shared" si="83"/>
        <v>20</v>
      </c>
      <c r="AF233" s="195">
        <f t="shared" si="84"/>
        <v>60</v>
      </c>
      <c r="AG233" s="195">
        <f t="shared" si="85"/>
        <v>10</v>
      </c>
      <c r="AH233" s="195">
        <f t="shared" si="86"/>
        <v>20</v>
      </c>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row>
    <row r="234" spans="1:65" ht="15">
      <c r="A234" s="198" t="s">
        <v>1408</v>
      </c>
      <c r="B234" s="198"/>
      <c r="C234" s="198"/>
      <c r="D234" s="198"/>
      <c r="E234" s="198"/>
      <c r="F234" s="198"/>
      <c r="G234" s="198"/>
      <c r="H234" s="198"/>
      <c r="I234" s="198"/>
      <c r="J234" s="195"/>
      <c r="K234" s="195"/>
      <c r="L234" s="195"/>
      <c r="M234" s="195"/>
      <c r="N234" s="195"/>
      <c r="O234" s="195"/>
      <c r="P234" s="195"/>
      <c r="Q234" s="195"/>
      <c r="R234" s="195"/>
      <c r="S234" s="195"/>
      <c r="T234" s="195"/>
      <c r="U234" s="195"/>
      <c r="V234" s="195"/>
      <c r="W234" s="195"/>
      <c r="X234" s="195"/>
      <c r="Y234" s="195"/>
      <c r="Z234" s="195"/>
      <c r="AA234" s="195" t="s">
        <v>694</v>
      </c>
      <c r="AB234" s="195">
        <v>2</v>
      </c>
      <c r="AC234" s="195">
        <f t="shared" si="81"/>
        <v>90</v>
      </c>
      <c r="AD234" s="195">
        <f t="shared" si="82"/>
        <v>10</v>
      </c>
      <c r="AE234" s="195">
        <f t="shared" si="83"/>
        <v>20</v>
      </c>
      <c r="AF234" s="195">
        <f t="shared" si="84"/>
        <v>70</v>
      </c>
      <c r="AG234" s="195">
        <f t="shared" si="85"/>
        <v>10</v>
      </c>
      <c r="AH234" s="195">
        <f t="shared" si="86"/>
        <v>20</v>
      </c>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row>
    <row r="235" spans="1:65" ht="15">
      <c r="A235" s="198" t="s">
        <v>1409</v>
      </c>
      <c r="B235" s="198"/>
      <c r="C235" s="198"/>
      <c r="D235" s="198"/>
      <c r="E235" s="198"/>
      <c r="F235" s="198"/>
      <c r="G235" s="198"/>
      <c r="H235" s="198"/>
      <c r="I235" s="198"/>
      <c r="J235" s="195"/>
      <c r="K235" s="195"/>
      <c r="L235" s="195"/>
      <c r="M235" s="195"/>
      <c r="N235" s="195"/>
      <c r="O235" s="195"/>
      <c r="P235" s="195"/>
      <c r="Q235" s="195"/>
      <c r="R235" s="195"/>
      <c r="S235" s="195"/>
      <c r="T235" s="195"/>
      <c r="U235" s="195"/>
      <c r="V235" s="195"/>
      <c r="W235" s="195"/>
      <c r="X235" s="195"/>
      <c r="Y235" s="195"/>
      <c r="Z235" s="195"/>
      <c r="AA235" s="195" t="s">
        <v>697</v>
      </c>
      <c r="AB235" s="195">
        <v>3</v>
      </c>
      <c r="AC235" s="195">
        <f t="shared" si="81"/>
        <v>70</v>
      </c>
      <c r="AD235" s="195">
        <f t="shared" si="82"/>
        <v>10</v>
      </c>
      <c r="AE235" s="195">
        <f t="shared" si="83"/>
        <v>20</v>
      </c>
      <c r="AF235" s="195">
        <f t="shared" si="84"/>
        <v>60</v>
      </c>
      <c r="AG235" s="195">
        <f t="shared" si="85"/>
        <v>10</v>
      </c>
      <c r="AH235" s="195">
        <f t="shared" si="86"/>
        <v>20</v>
      </c>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row>
    <row r="236" spans="1:65" ht="15">
      <c r="A236" s="198" t="s">
        <v>1410</v>
      </c>
      <c r="B236" s="198"/>
      <c r="C236" s="198"/>
      <c r="D236" s="198"/>
      <c r="E236" s="198"/>
      <c r="F236" s="198"/>
      <c r="G236" s="198"/>
      <c r="H236" s="198"/>
      <c r="I236" s="198"/>
      <c r="J236" s="195"/>
      <c r="K236" s="195"/>
      <c r="L236" s="195"/>
      <c r="M236" s="195"/>
      <c r="N236" s="195"/>
      <c r="O236" s="195"/>
      <c r="P236" s="195"/>
      <c r="Q236" s="195"/>
      <c r="R236" s="195"/>
      <c r="S236" s="195"/>
      <c r="T236" s="195"/>
      <c r="U236" s="195"/>
      <c r="V236" s="195"/>
      <c r="W236" s="195"/>
      <c r="X236" s="195"/>
      <c r="Y236" s="195"/>
      <c r="Z236" s="195"/>
      <c r="AA236" s="195" t="s">
        <v>699</v>
      </c>
      <c r="AB236" s="195">
        <v>3</v>
      </c>
      <c r="AC236" s="195">
        <f t="shared" si="81"/>
        <v>70</v>
      </c>
      <c r="AD236" s="195">
        <f t="shared" si="82"/>
        <v>10</v>
      </c>
      <c r="AE236" s="195">
        <f t="shared" si="83"/>
        <v>20</v>
      </c>
      <c r="AF236" s="195">
        <f t="shared" si="84"/>
        <v>60</v>
      </c>
      <c r="AG236" s="195">
        <f t="shared" si="85"/>
        <v>10</v>
      </c>
      <c r="AH236" s="195">
        <f t="shared" si="86"/>
        <v>20</v>
      </c>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row>
    <row r="237" spans="1:65" ht="15">
      <c r="A237" s="198" t="s">
        <v>693</v>
      </c>
      <c r="B237" s="198"/>
      <c r="C237" s="198"/>
      <c r="D237" s="198"/>
      <c r="E237" s="198"/>
      <c r="F237" s="198"/>
      <c r="G237" s="198"/>
      <c r="H237" s="198"/>
      <c r="I237" s="198"/>
      <c r="J237" s="195"/>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row>
    <row r="238" spans="1:65" ht="15">
      <c r="A238" s="198"/>
      <c r="B238" s="198"/>
      <c r="C238" s="198"/>
      <c r="D238" s="198"/>
      <c r="E238" s="198"/>
      <c r="F238" s="198"/>
      <c r="G238" s="198"/>
      <c r="H238" s="198"/>
      <c r="I238" s="198"/>
      <c r="J238" s="195"/>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row>
    <row r="239" spans="1:65" ht="15">
      <c r="A239" s="198" t="s">
        <v>1413</v>
      </c>
      <c r="B239" s="198"/>
      <c r="C239" s="198"/>
      <c r="D239" s="198"/>
      <c r="E239" s="198"/>
      <c r="F239" s="198"/>
      <c r="G239" s="198"/>
      <c r="H239" s="198"/>
      <c r="I239" s="198"/>
      <c r="J239" s="195"/>
      <c r="K239" s="195"/>
      <c r="L239" s="195"/>
      <c r="M239" s="195"/>
      <c r="N239" s="195"/>
      <c r="O239" s="195"/>
      <c r="P239" s="195"/>
      <c r="Q239" s="195"/>
      <c r="R239" s="195"/>
      <c r="S239" s="195"/>
      <c r="T239" s="195"/>
      <c r="U239" s="195"/>
      <c r="V239" s="195"/>
      <c r="W239" s="195"/>
      <c r="X239" s="195"/>
      <c r="Y239" s="195"/>
      <c r="Z239" s="195"/>
      <c r="AA239" s="195" t="s">
        <v>701</v>
      </c>
      <c r="AB239" s="195">
        <v>3</v>
      </c>
      <c r="AC239" s="195">
        <f t="shared" si="81"/>
        <v>70</v>
      </c>
      <c r="AD239" s="195">
        <f t="shared" si="82"/>
        <v>10</v>
      </c>
      <c r="AE239" s="195">
        <f t="shared" si="83"/>
        <v>20</v>
      </c>
      <c r="AF239" s="195">
        <f t="shared" si="84"/>
        <v>60</v>
      </c>
      <c r="AG239" s="195">
        <f t="shared" si="85"/>
        <v>10</v>
      </c>
      <c r="AH239" s="195">
        <f t="shared" si="86"/>
        <v>20</v>
      </c>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row>
    <row r="240" spans="1:65" ht="15">
      <c r="A240" s="198" t="s">
        <v>1414</v>
      </c>
      <c r="B240" s="198"/>
      <c r="C240" s="198"/>
      <c r="D240" s="198"/>
      <c r="E240" s="198"/>
      <c r="F240" s="198"/>
      <c r="G240" s="198"/>
      <c r="H240" s="198"/>
      <c r="I240" s="198"/>
      <c r="J240" s="195"/>
      <c r="K240" s="195"/>
      <c r="L240" s="195"/>
      <c r="M240" s="195"/>
      <c r="N240" s="195"/>
      <c r="O240" s="195"/>
      <c r="P240" s="195"/>
      <c r="Q240" s="195"/>
      <c r="R240" s="195"/>
      <c r="S240" s="195"/>
      <c r="T240" s="195"/>
      <c r="U240" s="195"/>
      <c r="V240" s="195"/>
      <c r="W240" s="195"/>
      <c r="X240" s="195"/>
      <c r="Y240" s="195"/>
      <c r="Z240" s="195"/>
      <c r="AA240" s="195" t="s">
        <v>706</v>
      </c>
      <c r="AB240" s="195">
        <v>4</v>
      </c>
      <c r="AC240" s="195">
        <f t="shared" si="81"/>
        <v>50</v>
      </c>
      <c r="AD240" s="195">
        <f t="shared" si="82"/>
        <v>10</v>
      </c>
      <c r="AE240" s="195">
        <f t="shared" si="83"/>
        <v>20</v>
      </c>
      <c r="AF240" s="195">
        <f t="shared" si="84"/>
        <v>50</v>
      </c>
      <c r="AG240" s="195">
        <f t="shared" si="85"/>
        <v>10</v>
      </c>
      <c r="AH240" s="195">
        <f t="shared" si="86"/>
        <v>20</v>
      </c>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row>
    <row r="241" spans="1:65" ht="15">
      <c r="A241" s="198" t="s">
        <v>1415</v>
      </c>
      <c r="B241" s="198"/>
      <c r="C241" s="198"/>
      <c r="D241" s="198"/>
      <c r="E241" s="198"/>
      <c r="F241" s="198"/>
      <c r="G241" s="198"/>
      <c r="H241" s="198"/>
      <c r="I241" s="198"/>
      <c r="J241" s="195"/>
      <c r="K241" s="195"/>
      <c r="L241" s="195"/>
      <c r="M241" s="195"/>
      <c r="N241" s="195"/>
      <c r="O241" s="195"/>
      <c r="P241" s="195"/>
      <c r="Q241" s="195"/>
      <c r="R241" s="195"/>
      <c r="S241" s="195"/>
      <c r="T241" s="195"/>
      <c r="U241" s="195"/>
      <c r="V241" s="195"/>
      <c r="W241" s="195"/>
      <c r="X241" s="195"/>
      <c r="Y241" s="195"/>
      <c r="Z241" s="195"/>
      <c r="AA241" s="195" t="s">
        <v>708</v>
      </c>
      <c r="AB241" s="195">
        <v>3</v>
      </c>
      <c r="AC241" s="195">
        <f t="shared" si="81"/>
        <v>70</v>
      </c>
      <c r="AD241" s="195">
        <f t="shared" si="82"/>
        <v>10</v>
      </c>
      <c r="AE241" s="195">
        <f t="shared" si="83"/>
        <v>20</v>
      </c>
      <c r="AF241" s="195">
        <f t="shared" si="84"/>
        <v>60</v>
      </c>
      <c r="AG241" s="195">
        <f t="shared" si="85"/>
        <v>10</v>
      </c>
      <c r="AH241" s="195">
        <f t="shared" si="86"/>
        <v>20</v>
      </c>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row>
    <row r="242" spans="1:65" ht="15">
      <c r="A242" s="198"/>
      <c r="B242" s="198"/>
      <c r="C242" s="198"/>
      <c r="D242" s="198"/>
      <c r="E242" s="198"/>
      <c r="F242" s="198"/>
      <c r="G242" s="198"/>
      <c r="H242" s="198"/>
      <c r="I242" s="198"/>
      <c r="J242" s="195"/>
      <c r="K242" s="195"/>
      <c r="L242" s="195"/>
      <c r="M242" s="195"/>
      <c r="N242" s="195"/>
      <c r="O242" s="195"/>
      <c r="P242" s="195"/>
      <c r="Q242" s="195"/>
      <c r="R242" s="195"/>
      <c r="S242" s="195"/>
      <c r="T242" s="195"/>
      <c r="U242" s="195"/>
      <c r="V242" s="195"/>
      <c r="W242" s="195"/>
      <c r="X242" s="195"/>
      <c r="Y242" s="195"/>
      <c r="Z242" s="195"/>
      <c r="AA242" s="195" t="s">
        <v>709</v>
      </c>
      <c r="AB242" s="195">
        <v>4</v>
      </c>
      <c r="AC242" s="195">
        <f t="shared" si="81"/>
        <v>50</v>
      </c>
      <c r="AD242" s="195">
        <f t="shared" si="82"/>
        <v>10</v>
      </c>
      <c r="AE242" s="195">
        <f t="shared" si="83"/>
        <v>20</v>
      </c>
      <c r="AF242" s="195">
        <f t="shared" si="84"/>
        <v>50</v>
      </c>
      <c r="AG242" s="195">
        <f t="shared" si="85"/>
        <v>10</v>
      </c>
      <c r="AH242" s="195">
        <f t="shared" si="86"/>
        <v>20</v>
      </c>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row>
    <row r="243" spans="1:65" ht="15.75">
      <c r="A243" s="198" t="s">
        <v>1416</v>
      </c>
      <c r="B243" s="198"/>
      <c r="C243" s="198"/>
      <c r="D243" s="217">
        <v>500</v>
      </c>
      <c r="E243" s="198" t="s">
        <v>1417</v>
      </c>
      <c r="F243" s="195"/>
      <c r="G243" s="198"/>
      <c r="H243" s="198"/>
      <c r="I243" s="198"/>
      <c r="J243" s="195"/>
      <c r="K243" s="195"/>
      <c r="L243" s="195"/>
      <c r="M243" s="195"/>
      <c r="N243" s="195"/>
      <c r="O243" s="195"/>
      <c r="P243" s="195"/>
      <c r="Q243" s="195"/>
      <c r="R243" s="195"/>
      <c r="S243" s="195"/>
      <c r="T243" s="195"/>
      <c r="U243" s="195"/>
      <c r="V243" s="195"/>
      <c r="W243" s="195"/>
      <c r="X243" s="195"/>
      <c r="Y243" s="195"/>
      <c r="Z243" s="195"/>
      <c r="AA243" s="195" t="s">
        <v>710</v>
      </c>
      <c r="AB243" s="195">
        <v>4</v>
      </c>
      <c r="AC243" s="195">
        <f t="shared" si="81"/>
        <v>50</v>
      </c>
      <c r="AD243" s="195">
        <f t="shared" si="82"/>
        <v>10</v>
      </c>
      <c r="AE243" s="195">
        <f t="shared" si="83"/>
        <v>20</v>
      </c>
      <c r="AF243" s="195">
        <f t="shared" si="84"/>
        <v>50</v>
      </c>
      <c r="AG243" s="195">
        <f t="shared" si="85"/>
        <v>10</v>
      </c>
      <c r="AH243" s="195">
        <f t="shared" si="86"/>
        <v>20</v>
      </c>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row>
    <row r="244" spans="1:65" ht="15">
      <c r="A244" s="198" t="s">
        <v>1418</v>
      </c>
      <c r="B244" s="198"/>
      <c r="C244" s="198"/>
      <c r="D244" s="198"/>
      <c r="E244" s="232" t="e">
        <f>SUM(L87/(D243*60))</f>
        <v>#N/A</v>
      </c>
      <c r="F244" s="198" t="s">
        <v>1419</v>
      </c>
      <c r="G244" s="195"/>
      <c r="H244" s="198"/>
      <c r="I244" s="198"/>
      <c r="J244" s="195"/>
      <c r="K244" s="195"/>
      <c r="L244" s="195"/>
      <c r="M244" s="195"/>
      <c r="N244" s="195"/>
      <c r="O244" s="195"/>
      <c r="P244" s="195"/>
      <c r="Q244" s="195"/>
      <c r="R244" s="195"/>
      <c r="S244" s="195"/>
      <c r="T244" s="195"/>
      <c r="U244" s="195"/>
      <c r="V244" s="195"/>
      <c r="W244" s="195"/>
      <c r="X244" s="195"/>
      <c r="Y244" s="195"/>
      <c r="Z244" s="195"/>
      <c r="AA244" s="195" t="s">
        <v>711</v>
      </c>
      <c r="AB244" s="195">
        <v>4</v>
      </c>
      <c r="AC244" s="195">
        <f t="shared" si="81"/>
        <v>50</v>
      </c>
      <c r="AD244" s="195">
        <f t="shared" si="82"/>
        <v>10</v>
      </c>
      <c r="AE244" s="195">
        <f t="shared" si="83"/>
        <v>20</v>
      </c>
      <c r="AF244" s="195">
        <f t="shared" si="84"/>
        <v>50</v>
      </c>
      <c r="AG244" s="195">
        <f t="shared" si="85"/>
        <v>10</v>
      </c>
      <c r="AH244" s="195">
        <f t="shared" si="86"/>
        <v>20</v>
      </c>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5"/>
      <c r="BI244" s="195"/>
      <c r="BJ244" s="195"/>
      <c r="BK244" s="195"/>
      <c r="BL244" s="195"/>
      <c r="BM244" s="195"/>
    </row>
    <row r="245" spans="1:65" ht="15">
      <c r="A245" s="198" t="s">
        <v>1421</v>
      </c>
      <c r="B245" s="198"/>
      <c r="C245" s="198"/>
      <c r="D245" s="198"/>
      <c r="E245" s="198"/>
      <c r="F245" s="198"/>
      <c r="G245" s="198"/>
      <c r="H245" s="198"/>
      <c r="I245" s="198"/>
      <c r="J245" s="195"/>
      <c r="K245" s="195"/>
      <c r="L245" s="195"/>
      <c r="M245" s="195"/>
      <c r="N245" s="195"/>
      <c r="O245" s="195"/>
      <c r="P245" s="195"/>
      <c r="Q245" s="195"/>
      <c r="R245" s="195"/>
      <c r="S245" s="195"/>
      <c r="T245" s="195"/>
      <c r="U245" s="195"/>
      <c r="V245" s="195"/>
      <c r="W245" s="195"/>
      <c r="X245" s="195"/>
      <c r="Y245" s="195"/>
      <c r="Z245" s="195"/>
      <c r="AA245" s="195" t="s">
        <v>713</v>
      </c>
      <c r="AB245" s="195">
        <v>2</v>
      </c>
      <c r="AC245" s="195">
        <f t="shared" si="81"/>
        <v>90</v>
      </c>
      <c r="AD245" s="195">
        <f t="shared" si="82"/>
        <v>10</v>
      </c>
      <c r="AE245" s="195">
        <f t="shared" si="83"/>
        <v>20</v>
      </c>
      <c r="AF245" s="195">
        <f t="shared" si="84"/>
        <v>70</v>
      </c>
      <c r="AG245" s="195">
        <f t="shared" si="85"/>
        <v>10</v>
      </c>
      <c r="AH245" s="195">
        <f t="shared" si="86"/>
        <v>20</v>
      </c>
      <c r="AI245" s="195"/>
      <c r="AJ245" s="195"/>
      <c r="AK245" s="195"/>
      <c r="AL245" s="195"/>
      <c r="AM245" s="195"/>
      <c r="AN245" s="195"/>
      <c r="AO245" s="195"/>
      <c r="AP245" s="195"/>
      <c r="AQ245" s="195"/>
      <c r="AR245" s="195"/>
      <c r="AS245" s="195"/>
      <c r="AT245" s="195"/>
      <c r="AU245" s="195"/>
      <c r="AV245" s="195"/>
      <c r="AW245" s="195"/>
      <c r="AX245" s="195"/>
      <c r="AY245" s="195"/>
      <c r="AZ245" s="195"/>
      <c r="BA245" s="195"/>
      <c r="BB245" s="195"/>
      <c r="BC245" s="195"/>
      <c r="BD245" s="195"/>
      <c r="BE245" s="195"/>
      <c r="BF245" s="195"/>
      <c r="BG245" s="195"/>
      <c r="BH245" s="195"/>
      <c r="BI245" s="195"/>
      <c r="BJ245" s="195"/>
      <c r="BK245" s="195"/>
      <c r="BL245" s="195"/>
      <c r="BM245" s="195"/>
    </row>
    <row r="246" spans="1:65" ht="15.75">
      <c r="A246" s="252"/>
      <c r="B246" s="252"/>
      <c r="C246" s="252"/>
      <c r="D246" s="252"/>
      <c r="E246" s="252"/>
      <c r="F246" s="252"/>
      <c r="G246" s="252"/>
      <c r="H246" s="252"/>
      <c r="I246" s="252"/>
      <c r="J246" s="195"/>
      <c r="K246" s="195"/>
      <c r="L246" s="195"/>
      <c r="M246" s="195"/>
      <c r="N246" s="195"/>
      <c r="O246" s="195"/>
      <c r="P246" s="195"/>
      <c r="Q246" s="195"/>
      <c r="R246" s="195"/>
      <c r="S246" s="195"/>
      <c r="T246" s="195"/>
      <c r="U246" s="195"/>
      <c r="V246" s="195"/>
      <c r="W246" s="195"/>
      <c r="X246" s="195"/>
      <c r="Y246" s="195"/>
      <c r="Z246" s="195"/>
      <c r="AA246" s="195" t="s">
        <v>715</v>
      </c>
      <c r="AB246" s="195">
        <v>4</v>
      </c>
      <c r="AC246" s="195">
        <f t="shared" si="81"/>
        <v>50</v>
      </c>
      <c r="AD246" s="195">
        <f t="shared" si="82"/>
        <v>10</v>
      </c>
      <c r="AE246" s="195">
        <f t="shared" si="83"/>
        <v>20</v>
      </c>
      <c r="AF246" s="195">
        <f t="shared" si="84"/>
        <v>50</v>
      </c>
      <c r="AG246" s="195">
        <f t="shared" si="85"/>
        <v>10</v>
      </c>
      <c r="AH246" s="195">
        <f t="shared" si="86"/>
        <v>20</v>
      </c>
      <c r="AI246" s="195"/>
      <c r="AJ246" s="195"/>
      <c r="AK246" s="195"/>
      <c r="AL246" s="195"/>
      <c r="AM246" s="195"/>
      <c r="AN246" s="195"/>
      <c r="AO246" s="195"/>
      <c r="AP246" s="195"/>
      <c r="AQ246" s="195"/>
      <c r="AR246" s="195"/>
      <c r="AS246" s="195"/>
      <c r="AT246" s="195"/>
      <c r="AU246" s="195"/>
      <c r="AV246" s="195"/>
      <c r="AW246" s="195"/>
      <c r="AX246" s="195"/>
      <c r="AY246" s="195"/>
      <c r="AZ246" s="195"/>
      <c r="BA246" s="195"/>
      <c r="BB246" s="195"/>
      <c r="BC246" s="195"/>
      <c r="BD246" s="195"/>
      <c r="BE246" s="195"/>
      <c r="BF246" s="195"/>
      <c r="BG246" s="195"/>
      <c r="BH246" s="195"/>
      <c r="BI246" s="195"/>
      <c r="BJ246" s="195"/>
      <c r="BK246" s="195"/>
      <c r="BL246" s="195"/>
      <c r="BM246" s="195"/>
    </row>
    <row r="247" spans="1:65" ht="15.75">
      <c r="A247" s="252"/>
      <c r="B247" s="252"/>
      <c r="C247" s="252"/>
      <c r="D247" s="252"/>
      <c r="E247" s="252"/>
      <c r="F247" s="252"/>
      <c r="G247" s="252"/>
      <c r="H247" s="252"/>
      <c r="I247" s="252"/>
      <c r="J247" s="195"/>
      <c r="K247" s="195"/>
      <c r="L247" s="195"/>
      <c r="M247" s="195"/>
      <c r="N247" s="195"/>
      <c r="O247" s="195"/>
      <c r="P247" s="195"/>
      <c r="Q247" s="195"/>
      <c r="R247" s="195"/>
      <c r="S247" s="195"/>
      <c r="T247" s="195"/>
      <c r="U247" s="195"/>
      <c r="V247" s="195"/>
      <c r="W247" s="195"/>
      <c r="X247" s="195"/>
      <c r="Y247" s="195"/>
      <c r="Z247" s="195"/>
      <c r="AA247" s="195" t="s">
        <v>717</v>
      </c>
      <c r="AB247" s="195">
        <v>1</v>
      </c>
      <c r="AC247" s="195">
        <f t="shared" si="81"/>
        <v>115</v>
      </c>
      <c r="AD247" s="195">
        <f t="shared" si="82"/>
        <v>10</v>
      </c>
      <c r="AE247" s="195">
        <f t="shared" si="83"/>
        <v>20</v>
      </c>
      <c r="AF247" s="195">
        <f t="shared" si="84"/>
        <v>95</v>
      </c>
      <c r="AG247" s="195">
        <f t="shared" si="85"/>
        <v>10</v>
      </c>
      <c r="AH247" s="195">
        <f t="shared" si="86"/>
        <v>20</v>
      </c>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c r="BD247" s="195"/>
      <c r="BE247" s="195"/>
      <c r="BF247" s="195"/>
      <c r="BG247" s="195"/>
      <c r="BH247" s="195"/>
      <c r="BI247" s="195"/>
      <c r="BJ247" s="195"/>
      <c r="BK247" s="195"/>
      <c r="BL247" s="195"/>
      <c r="BM247" s="195"/>
    </row>
    <row r="248" spans="1:65" ht="1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t="s">
        <v>751</v>
      </c>
      <c r="AB248" s="195">
        <v>3</v>
      </c>
      <c r="AC248" s="195">
        <f t="shared" si="81"/>
        <v>70</v>
      </c>
      <c r="AD248" s="195">
        <f t="shared" si="82"/>
        <v>10</v>
      </c>
      <c r="AE248" s="195">
        <f t="shared" si="83"/>
        <v>20</v>
      </c>
      <c r="AF248" s="195">
        <f t="shared" si="84"/>
        <v>60</v>
      </c>
      <c r="AG248" s="195">
        <f t="shared" si="85"/>
        <v>10</v>
      </c>
      <c r="AH248" s="195">
        <f t="shared" si="86"/>
        <v>20</v>
      </c>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c r="BD248" s="195"/>
      <c r="BE248" s="195"/>
      <c r="BF248" s="195"/>
      <c r="BG248" s="195"/>
      <c r="BH248" s="195"/>
      <c r="BI248" s="195"/>
      <c r="BJ248" s="195"/>
      <c r="BK248" s="195"/>
      <c r="BL248" s="195"/>
      <c r="BM248" s="195"/>
    </row>
    <row r="249" spans="1:65" ht="15.75">
      <c r="A249" s="253" t="s">
        <v>712</v>
      </c>
      <c r="J249" s="195"/>
      <c r="K249" s="195"/>
      <c r="L249" s="195"/>
      <c r="M249" s="195"/>
      <c r="N249" s="195"/>
      <c r="O249" s="195"/>
      <c r="P249" s="195"/>
      <c r="Q249" s="195"/>
      <c r="R249" s="195"/>
      <c r="S249" s="195"/>
      <c r="T249" s="195"/>
      <c r="U249" s="195"/>
      <c r="V249" s="195"/>
      <c r="W249" s="195"/>
      <c r="X249" s="195"/>
      <c r="Y249" s="195"/>
      <c r="Z249" s="195"/>
      <c r="AA249" s="195" t="s">
        <v>752</v>
      </c>
      <c r="AB249" s="195">
        <v>2</v>
      </c>
      <c r="AC249" s="195">
        <f t="shared" si="81"/>
        <v>90</v>
      </c>
      <c r="AD249" s="195">
        <f t="shared" si="82"/>
        <v>10</v>
      </c>
      <c r="AE249" s="195">
        <f t="shared" si="83"/>
        <v>20</v>
      </c>
      <c r="AF249" s="195">
        <f t="shared" si="84"/>
        <v>70</v>
      </c>
      <c r="AG249" s="195">
        <f t="shared" si="85"/>
        <v>10</v>
      </c>
      <c r="AH249" s="195">
        <f t="shared" si="86"/>
        <v>20</v>
      </c>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row>
    <row r="250" spans="1:65" ht="15">
      <c r="A250" s="197" t="s">
        <v>714</v>
      </c>
      <c r="J250" s="195"/>
      <c r="K250" s="195"/>
      <c r="L250" s="195"/>
      <c r="M250" s="195"/>
      <c r="N250" s="195"/>
      <c r="O250" s="195"/>
      <c r="P250" s="195"/>
      <c r="Q250" s="195"/>
      <c r="R250" s="195"/>
      <c r="S250" s="195"/>
      <c r="T250" s="195"/>
      <c r="U250" s="195"/>
      <c r="V250" s="195"/>
      <c r="W250" s="195"/>
      <c r="X250" s="195"/>
      <c r="Y250" s="195"/>
      <c r="Z250" s="195"/>
      <c r="AA250" s="195" t="s">
        <v>754</v>
      </c>
      <c r="AB250" s="195">
        <v>2</v>
      </c>
      <c r="AC250" s="195">
        <f t="shared" si="81"/>
        <v>90</v>
      </c>
      <c r="AD250" s="195">
        <f t="shared" si="82"/>
        <v>10</v>
      </c>
      <c r="AE250" s="195">
        <f t="shared" si="83"/>
        <v>20</v>
      </c>
      <c r="AF250" s="195">
        <f t="shared" si="84"/>
        <v>70</v>
      </c>
      <c r="AG250" s="195">
        <f t="shared" si="85"/>
        <v>10</v>
      </c>
      <c r="AH250" s="195">
        <f t="shared" si="86"/>
        <v>20</v>
      </c>
      <c r="AI250" s="195"/>
      <c r="AJ250" s="195"/>
      <c r="AK250" s="195"/>
      <c r="AL250" s="195"/>
      <c r="AM250" s="195"/>
      <c r="AN250" s="195"/>
      <c r="AO250" s="195"/>
      <c r="AP250" s="195"/>
      <c r="AQ250" s="195"/>
      <c r="AR250" s="195"/>
      <c r="AS250" s="195"/>
      <c r="AT250" s="195"/>
      <c r="AU250" s="195"/>
      <c r="AV250" s="195"/>
      <c r="AW250" s="195"/>
      <c r="AX250" s="195"/>
      <c r="AY250" s="195"/>
      <c r="AZ250" s="195"/>
      <c r="BA250" s="195"/>
      <c r="BB250" s="195"/>
      <c r="BC250" s="195"/>
      <c r="BD250" s="195"/>
      <c r="BE250" s="195"/>
      <c r="BF250" s="195"/>
      <c r="BG250" s="195"/>
      <c r="BH250" s="195"/>
      <c r="BI250" s="195"/>
      <c r="BJ250" s="195"/>
      <c r="BK250" s="195"/>
      <c r="BL250" s="195"/>
      <c r="BM250" s="195"/>
    </row>
    <row r="251" spans="1:65" ht="15">
      <c r="A251" s="197" t="s">
        <v>716</v>
      </c>
      <c r="J251" s="195"/>
      <c r="K251" s="195"/>
      <c r="L251" s="195"/>
      <c r="M251" s="195"/>
      <c r="N251" s="195"/>
      <c r="O251" s="195"/>
      <c r="P251" s="195"/>
      <c r="Q251" s="195"/>
      <c r="R251" s="195"/>
      <c r="S251" s="195"/>
      <c r="T251" s="195"/>
      <c r="U251" s="195"/>
      <c r="V251" s="195"/>
      <c r="W251" s="195"/>
      <c r="X251" s="195"/>
      <c r="Y251" s="195"/>
      <c r="Z251" s="195"/>
      <c r="AA251" s="195" t="s">
        <v>756</v>
      </c>
      <c r="AB251" s="195">
        <v>3</v>
      </c>
      <c r="AC251" s="195">
        <f t="shared" si="81"/>
        <v>70</v>
      </c>
      <c r="AD251" s="195">
        <f t="shared" si="82"/>
        <v>10</v>
      </c>
      <c r="AE251" s="195">
        <f t="shared" si="83"/>
        <v>20</v>
      </c>
      <c r="AF251" s="195">
        <f t="shared" si="84"/>
        <v>60</v>
      </c>
      <c r="AG251" s="195">
        <f t="shared" si="85"/>
        <v>10</v>
      </c>
      <c r="AH251" s="195">
        <f t="shared" si="86"/>
        <v>20</v>
      </c>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row>
    <row r="252" spans="1:65" ht="15">
      <c r="A252" s="197" t="s">
        <v>750</v>
      </c>
      <c r="J252" s="195"/>
      <c r="K252" s="195"/>
      <c r="L252" s="195"/>
      <c r="M252" s="195"/>
      <c r="N252" s="195"/>
      <c r="O252" s="195"/>
      <c r="P252" s="195"/>
      <c r="Q252" s="195"/>
      <c r="R252" s="195"/>
      <c r="S252" s="195"/>
      <c r="T252" s="195"/>
      <c r="U252" s="195"/>
      <c r="V252" s="195"/>
      <c r="W252" s="195"/>
      <c r="X252" s="195"/>
      <c r="Y252" s="195"/>
      <c r="Z252" s="195"/>
      <c r="AA252" s="195" t="s">
        <v>760</v>
      </c>
      <c r="AB252" s="195">
        <v>1</v>
      </c>
      <c r="AC252" s="195">
        <f t="shared" si="81"/>
        <v>115</v>
      </c>
      <c r="AD252" s="195">
        <f t="shared" si="82"/>
        <v>10</v>
      </c>
      <c r="AE252" s="195">
        <f t="shared" si="83"/>
        <v>20</v>
      </c>
      <c r="AF252" s="195">
        <f t="shared" si="84"/>
        <v>95</v>
      </c>
      <c r="AG252" s="195">
        <f t="shared" si="85"/>
        <v>10</v>
      </c>
      <c r="AH252" s="195">
        <f t="shared" si="86"/>
        <v>20</v>
      </c>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row>
    <row r="253" spans="10:65" ht="15">
      <c r="J253" s="195"/>
      <c r="K253" s="195"/>
      <c r="L253" s="195"/>
      <c r="M253" s="195"/>
      <c r="N253" s="195"/>
      <c r="O253" s="195"/>
      <c r="P253" s="195"/>
      <c r="Q253" s="195"/>
      <c r="R253" s="195"/>
      <c r="S253" s="195"/>
      <c r="T253" s="195"/>
      <c r="U253" s="195"/>
      <c r="V253" s="195"/>
      <c r="W253" s="195"/>
      <c r="X253" s="195"/>
      <c r="Y253" s="195"/>
      <c r="Z253" s="195"/>
      <c r="AA253" s="195" t="s">
        <v>764</v>
      </c>
      <c r="AB253" s="195">
        <v>3</v>
      </c>
      <c r="AC253" s="195">
        <f t="shared" si="81"/>
        <v>70</v>
      </c>
      <c r="AD253" s="195">
        <f t="shared" si="82"/>
        <v>10</v>
      </c>
      <c r="AE253" s="195">
        <f t="shared" si="83"/>
        <v>20</v>
      </c>
      <c r="AF253" s="195">
        <f t="shared" si="84"/>
        <v>60</v>
      </c>
      <c r="AG253" s="195">
        <f t="shared" si="85"/>
        <v>10</v>
      </c>
      <c r="AH253" s="195">
        <f t="shared" si="86"/>
        <v>20</v>
      </c>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row>
    <row r="254" spans="1:65" ht="15.75">
      <c r="A254" s="253" t="s">
        <v>753</v>
      </c>
      <c r="J254" s="195"/>
      <c r="K254" s="195"/>
      <c r="L254" s="195"/>
      <c r="M254" s="195"/>
      <c r="N254" s="195"/>
      <c r="O254" s="195"/>
      <c r="P254" s="195"/>
      <c r="Q254" s="195"/>
      <c r="R254" s="195"/>
      <c r="S254" s="195"/>
      <c r="T254" s="195"/>
      <c r="U254" s="195"/>
      <c r="V254" s="195"/>
      <c r="W254" s="195"/>
      <c r="X254" s="195"/>
      <c r="Y254" s="195"/>
      <c r="Z254" s="195"/>
      <c r="AA254" s="195" t="s">
        <v>766</v>
      </c>
      <c r="AB254" s="195">
        <v>2</v>
      </c>
      <c r="AC254" s="195">
        <f t="shared" si="81"/>
        <v>90</v>
      </c>
      <c r="AD254" s="195">
        <f t="shared" si="82"/>
        <v>10</v>
      </c>
      <c r="AE254" s="195">
        <f t="shared" si="83"/>
        <v>20</v>
      </c>
      <c r="AF254" s="195">
        <f t="shared" si="84"/>
        <v>70</v>
      </c>
      <c r="AG254" s="195">
        <f t="shared" si="85"/>
        <v>10</v>
      </c>
      <c r="AH254" s="195">
        <f t="shared" si="86"/>
        <v>20</v>
      </c>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c r="BD254" s="195"/>
      <c r="BE254" s="195"/>
      <c r="BF254" s="195"/>
      <c r="BG254" s="195"/>
      <c r="BH254" s="195"/>
      <c r="BI254" s="195"/>
      <c r="BJ254" s="195"/>
      <c r="BK254" s="195"/>
      <c r="BL254" s="195"/>
      <c r="BM254" s="195"/>
    </row>
    <row r="255" spans="1:65" ht="15">
      <c r="A255" s="197" t="s">
        <v>755</v>
      </c>
      <c r="J255" s="195"/>
      <c r="K255" s="195"/>
      <c r="L255" s="195"/>
      <c r="M255" s="195"/>
      <c r="N255" s="195"/>
      <c r="O255" s="195"/>
      <c r="P255" s="195"/>
      <c r="Q255" s="195"/>
      <c r="R255" s="195"/>
      <c r="S255" s="195"/>
      <c r="T255" s="195"/>
      <c r="U255" s="195"/>
      <c r="V255" s="195"/>
      <c r="W255" s="195"/>
      <c r="X255" s="195"/>
      <c r="Y255" s="195"/>
      <c r="Z255" s="195"/>
      <c r="AA255" s="195" t="s">
        <v>767</v>
      </c>
      <c r="AB255" s="195">
        <v>3</v>
      </c>
      <c r="AC255" s="195">
        <f t="shared" si="81"/>
        <v>70</v>
      </c>
      <c r="AD255" s="195">
        <f t="shared" si="82"/>
        <v>10</v>
      </c>
      <c r="AE255" s="195">
        <f t="shared" si="83"/>
        <v>20</v>
      </c>
      <c r="AF255" s="195">
        <f t="shared" si="84"/>
        <v>60</v>
      </c>
      <c r="AG255" s="195">
        <f t="shared" si="85"/>
        <v>10</v>
      </c>
      <c r="AH255" s="195">
        <f t="shared" si="86"/>
        <v>20</v>
      </c>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c r="BD255" s="195"/>
      <c r="BE255" s="195"/>
      <c r="BF255" s="195"/>
      <c r="BG255" s="195"/>
      <c r="BH255" s="195"/>
      <c r="BI255" s="195"/>
      <c r="BJ255" s="195"/>
      <c r="BK255" s="195"/>
      <c r="BL255" s="195"/>
      <c r="BM255" s="195"/>
    </row>
    <row r="256" spans="1:65" ht="15">
      <c r="A256" s="197" t="s">
        <v>757</v>
      </c>
      <c r="J256" s="195"/>
      <c r="K256" s="195"/>
      <c r="L256" s="195"/>
      <c r="M256" s="195"/>
      <c r="N256" s="195"/>
      <c r="O256" s="195"/>
      <c r="P256" s="195"/>
      <c r="Q256" s="195"/>
      <c r="R256" s="195"/>
      <c r="S256" s="195"/>
      <c r="T256" s="195"/>
      <c r="U256" s="195"/>
      <c r="V256" s="195"/>
      <c r="W256" s="195"/>
      <c r="X256" s="195"/>
      <c r="Y256" s="195"/>
      <c r="Z256" s="195"/>
      <c r="AA256" s="195" t="s">
        <v>769</v>
      </c>
      <c r="AB256" s="195">
        <v>4</v>
      </c>
      <c r="AC256" s="195">
        <f t="shared" si="81"/>
        <v>50</v>
      </c>
      <c r="AD256" s="195">
        <f t="shared" si="82"/>
        <v>10</v>
      </c>
      <c r="AE256" s="195">
        <f t="shared" si="83"/>
        <v>20</v>
      </c>
      <c r="AF256" s="195">
        <f t="shared" si="84"/>
        <v>50</v>
      </c>
      <c r="AG256" s="195">
        <f t="shared" si="85"/>
        <v>10</v>
      </c>
      <c r="AH256" s="195">
        <f t="shared" si="86"/>
        <v>20</v>
      </c>
      <c r="AI256" s="195"/>
      <c r="AJ256" s="195"/>
      <c r="AK256" s="195"/>
      <c r="AL256" s="195"/>
      <c r="AM256" s="195"/>
      <c r="AN256" s="195"/>
      <c r="AO256" s="195"/>
      <c r="AP256" s="195"/>
      <c r="AQ256" s="195"/>
      <c r="AR256" s="195"/>
      <c r="AS256" s="195"/>
      <c r="AT256" s="195"/>
      <c r="AU256" s="195"/>
      <c r="AV256" s="195"/>
      <c r="AW256" s="195"/>
      <c r="AX256" s="195"/>
      <c r="AY256" s="195"/>
      <c r="AZ256" s="195"/>
      <c r="BA256" s="195"/>
      <c r="BB256" s="195"/>
      <c r="BC256" s="195"/>
      <c r="BD256" s="195"/>
      <c r="BE256" s="195"/>
      <c r="BF256" s="195"/>
      <c r="BG256" s="195"/>
      <c r="BH256" s="195"/>
      <c r="BI256" s="195"/>
      <c r="BJ256" s="195"/>
      <c r="BK256" s="195"/>
      <c r="BL256" s="195"/>
      <c r="BM256" s="195"/>
    </row>
    <row r="257" spans="1:65" ht="15">
      <c r="A257" s="197" t="s">
        <v>763</v>
      </c>
      <c r="J257" s="195"/>
      <c r="K257" s="195"/>
      <c r="L257" s="195"/>
      <c r="M257" s="195"/>
      <c r="N257" s="195"/>
      <c r="O257" s="195"/>
      <c r="P257" s="195"/>
      <c r="Q257" s="195"/>
      <c r="R257" s="195"/>
      <c r="S257" s="195"/>
      <c r="T257" s="195"/>
      <c r="U257" s="195"/>
      <c r="V257" s="195"/>
      <c r="W257" s="195"/>
      <c r="X257" s="195"/>
      <c r="Y257" s="195"/>
      <c r="Z257" s="195"/>
      <c r="AA257" s="195" t="s">
        <v>771</v>
      </c>
      <c r="AB257" s="195">
        <v>4</v>
      </c>
      <c r="AC257" s="195">
        <f t="shared" si="81"/>
        <v>50</v>
      </c>
      <c r="AD257" s="195">
        <f t="shared" si="82"/>
        <v>10</v>
      </c>
      <c r="AE257" s="195">
        <f t="shared" si="83"/>
        <v>20</v>
      </c>
      <c r="AF257" s="195">
        <f t="shared" si="84"/>
        <v>50</v>
      </c>
      <c r="AG257" s="195">
        <f t="shared" si="85"/>
        <v>10</v>
      </c>
      <c r="AH257" s="195">
        <f t="shared" si="86"/>
        <v>20</v>
      </c>
      <c r="AI257" s="195"/>
      <c r="AJ257" s="195"/>
      <c r="AK257" s="195"/>
      <c r="AL257" s="195"/>
      <c r="AM257" s="195"/>
      <c r="AN257" s="195"/>
      <c r="AO257" s="195"/>
      <c r="AP257" s="195"/>
      <c r="AQ257" s="195"/>
      <c r="AR257" s="195"/>
      <c r="AS257" s="195"/>
      <c r="AT257" s="195"/>
      <c r="AU257" s="195"/>
      <c r="AV257" s="195"/>
      <c r="AW257" s="195"/>
      <c r="AX257" s="195"/>
      <c r="AY257" s="195"/>
      <c r="AZ257" s="195"/>
      <c r="BA257" s="195"/>
      <c r="BB257" s="195"/>
      <c r="BC257" s="195"/>
      <c r="BD257" s="195"/>
      <c r="BE257" s="195"/>
      <c r="BF257" s="195"/>
      <c r="BG257" s="195"/>
      <c r="BH257" s="195"/>
      <c r="BI257" s="195"/>
      <c r="BJ257" s="195"/>
      <c r="BK257" s="195"/>
      <c r="BL257" s="195"/>
      <c r="BM257" s="195"/>
    </row>
    <row r="258" spans="1:65" ht="15">
      <c r="A258" s="197" t="s">
        <v>765</v>
      </c>
      <c r="J258" s="195"/>
      <c r="K258" s="195"/>
      <c r="L258" s="195"/>
      <c r="M258" s="195"/>
      <c r="N258" s="195"/>
      <c r="O258" s="195"/>
      <c r="P258" s="195"/>
      <c r="Q258" s="195"/>
      <c r="R258" s="195"/>
      <c r="S258" s="195"/>
      <c r="T258" s="195"/>
      <c r="U258" s="195"/>
      <c r="V258" s="195"/>
      <c r="W258" s="195"/>
      <c r="X258" s="195"/>
      <c r="Y258" s="195"/>
      <c r="Z258" s="195"/>
      <c r="AA258" s="195" t="s">
        <v>773</v>
      </c>
      <c r="AB258" s="195">
        <v>4</v>
      </c>
      <c r="AC258" s="195">
        <f t="shared" si="81"/>
        <v>50</v>
      </c>
      <c r="AD258" s="195">
        <f t="shared" si="82"/>
        <v>10</v>
      </c>
      <c r="AE258" s="195">
        <f t="shared" si="83"/>
        <v>20</v>
      </c>
      <c r="AF258" s="195">
        <f t="shared" si="84"/>
        <v>50</v>
      </c>
      <c r="AG258" s="195">
        <f t="shared" si="85"/>
        <v>10</v>
      </c>
      <c r="AH258" s="195">
        <f t="shared" si="86"/>
        <v>20</v>
      </c>
      <c r="AI258" s="195"/>
      <c r="AJ258" s="195"/>
      <c r="AK258" s="195"/>
      <c r="AL258" s="195"/>
      <c r="AM258" s="195"/>
      <c r="AN258" s="195"/>
      <c r="AO258" s="195"/>
      <c r="AP258" s="195"/>
      <c r="AQ258" s="195"/>
      <c r="AR258" s="195"/>
      <c r="AS258" s="195"/>
      <c r="AT258" s="195"/>
      <c r="AU258" s="195"/>
      <c r="AV258" s="195"/>
      <c r="AW258" s="195"/>
      <c r="AX258" s="195"/>
      <c r="AY258" s="195"/>
      <c r="AZ258" s="195"/>
      <c r="BA258" s="195"/>
      <c r="BB258" s="195"/>
      <c r="BC258" s="195"/>
      <c r="BD258" s="195"/>
      <c r="BE258" s="195"/>
      <c r="BF258" s="195"/>
      <c r="BG258" s="195"/>
      <c r="BH258" s="195"/>
      <c r="BI258" s="195"/>
      <c r="BJ258" s="195"/>
      <c r="BK258" s="195"/>
      <c r="BL258" s="195"/>
      <c r="BM258" s="195"/>
    </row>
    <row r="259" spans="10:65" ht="15">
      <c r="J259" s="195"/>
      <c r="K259" s="195"/>
      <c r="L259" s="195"/>
      <c r="M259" s="195"/>
      <c r="N259" s="195"/>
      <c r="O259" s="195"/>
      <c r="P259" s="195"/>
      <c r="Q259" s="195"/>
      <c r="R259" s="195"/>
      <c r="S259" s="195"/>
      <c r="T259" s="195"/>
      <c r="U259" s="195"/>
      <c r="V259" s="195"/>
      <c r="W259" s="195"/>
      <c r="X259" s="195"/>
      <c r="Y259" s="195"/>
      <c r="Z259" s="195"/>
      <c r="AA259" s="195" t="s">
        <v>775</v>
      </c>
      <c r="AB259" s="195">
        <v>3</v>
      </c>
      <c r="AC259" s="195">
        <f t="shared" si="81"/>
        <v>70</v>
      </c>
      <c r="AD259" s="195">
        <f t="shared" si="82"/>
        <v>10</v>
      </c>
      <c r="AE259" s="195">
        <f t="shared" si="83"/>
        <v>20</v>
      </c>
      <c r="AF259" s="195">
        <f t="shared" si="84"/>
        <v>60</v>
      </c>
      <c r="AG259" s="195">
        <f t="shared" si="85"/>
        <v>10</v>
      </c>
      <c r="AH259" s="195">
        <f t="shared" si="86"/>
        <v>20</v>
      </c>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195"/>
      <c r="BF259" s="195"/>
      <c r="BG259" s="195"/>
      <c r="BH259" s="195"/>
      <c r="BI259" s="195"/>
      <c r="BJ259" s="195"/>
      <c r="BK259" s="195"/>
      <c r="BL259" s="195"/>
      <c r="BM259" s="195"/>
    </row>
    <row r="260" spans="1:65" ht="15.75">
      <c r="A260" s="253" t="s">
        <v>768</v>
      </c>
      <c r="J260" s="195"/>
      <c r="K260" s="195"/>
      <c r="L260" s="195"/>
      <c r="M260" s="195"/>
      <c r="N260" s="195"/>
      <c r="O260" s="195"/>
      <c r="P260" s="195"/>
      <c r="Q260" s="195"/>
      <c r="R260" s="195"/>
      <c r="S260" s="195"/>
      <c r="T260" s="195"/>
      <c r="U260" s="195"/>
      <c r="V260" s="195"/>
      <c r="W260" s="195"/>
      <c r="X260" s="195"/>
      <c r="Y260" s="195"/>
      <c r="Z260" s="195"/>
      <c r="AA260" s="195" t="s">
        <v>777</v>
      </c>
      <c r="AB260" s="195">
        <v>2</v>
      </c>
      <c r="AC260" s="195">
        <f aca="true" t="shared" si="87" ref="AC260:AC291">VLOOKUP(AB260,$AA$199:$AD$202,2)</f>
        <v>90</v>
      </c>
      <c r="AD260" s="195">
        <f aca="true" t="shared" si="88" ref="AD260:AD291">VLOOKUP(AC260,$AA$199:$AD$202,3)</f>
        <v>10</v>
      </c>
      <c r="AE260" s="195">
        <f aca="true" t="shared" si="89" ref="AE260:AE291">VLOOKUP(AD260,$AA$199:$AD$202,4)</f>
        <v>20</v>
      </c>
      <c r="AF260" s="195">
        <f aca="true" t="shared" si="90" ref="AF260:AF291">VLOOKUP($AB260,$AF$199:$AI$202,2)</f>
        <v>70</v>
      </c>
      <c r="AG260" s="195">
        <f aca="true" t="shared" si="91" ref="AG260:AG291">VLOOKUP($AB260,$AF$199:$AI$202,3)</f>
        <v>10</v>
      </c>
      <c r="AH260" s="195">
        <f aca="true" t="shared" si="92" ref="AH260:AH291">VLOOKUP($AB260,$AF$199:$AI$202,4)</f>
        <v>20</v>
      </c>
      <c r="AI260" s="195"/>
      <c r="AJ260" s="195"/>
      <c r="AK260" s="195"/>
      <c r="AL260" s="195"/>
      <c r="AM260" s="195"/>
      <c r="AN260" s="195"/>
      <c r="AO260" s="195"/>
      <c r="AP260" s="195"/>
      <c r="AQ260" s="195"/>
      <c r="AR260" s="195"/>
      <c r="AS260" s="195"/>
      <c r="AT260" s="195"/>
      <c r="AU260" s="195"/>
      <c r="AV260" s="195"/>
      <c r="AW260" s="195"/>
      <c r="AX260" s="195"/>
      <c r="AY260" s="195"/>
      <c r="AZ260" s="195"/>
      <c r="BA260" s="195"/>
      <c r="BB260" s="195"/>
      <c r="BC260" s="195"/>
      <c r="BD260" s="195"/>
      <c r="BE260" s="195"/>
      <c r="BF260" s="195"/>
      <c r="BG260" s="195"/>
      <c r="BH260" s="195"/>
      <c r="BI260" s="195"/>
      <c r="BJ260" s="195"/>
      <c r="BK260" s="195"/>
      <c r="BL260" s="195"/>
      <c r="BM260" s="195"/>
    </row>
    <row r="261" spans="1:65" ht="15">
      <c r="A261" s="197" t="s">
        <v>770</v>
      </c>
      <c r="J261" s="195"/>
      <c r="K261" s="195"/>
      <c r="L261" s="195"/>
      <c r="M261" s="195"/>
      <c r="N261" s="195"/>
      <c r="O261" s="195"/>
      <c r="P261" s="195"/>
      <c r="Q261" s="195"/>
      <c r="R261" s="195"/>
      <c r="S261" s="195"/>
      <c r="T261" s="195"/>
      <c r="U261" s="195"/>
      <c r="V261" s="195"/>
      <c r="W261" s="195"/>
      <c r="X261" s="195"/>
      <c r="Y261" s="195"/>
      <c r="Z261" s="195"/>
      <c r="AA261" s="195" t="s">
        <v>778</v>
      </c>
      <c r="AB261" s="195">
        <v>2</v>
      </c>
      <c r="AC261" s="195">
        <f t="shared" si="87"/>
        <v>90</v>
      </c>
      <c r="AD261" s="195">
        <f t="shared" si="88"/>
        <v>10</v>
      </c>
      <c r="AE261" s="195">
        <f t="shared" si="89"/>
        <v>20</v>
      </c>
      <c r="AF261" s="195">
        <f t="shared" si="90"/>
        <v>70</v>
      </c>
      <c r="AG261" s="195">
        <f t="shared" si="91"/>
        <v>10</v>
      </c>
      <c r="AH261" s="195">
        <f t="shared" si="92"/>
        <v>20</v>
      </c>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c r="BD261" s="195"/>
      <c r="BE261" s="195"/>
      <c r="BF261" s="195"/>
      <c r="BG261" s="195"/>
      <c r="BH261" s="195"/>
      <c r="BI261" s="195"/>
      <c r="BJ261" s="195"/>
      <c r="BK261" s="195"/>
      <c r="BL261" s="195"/>
      <c r="BM261" s="195"/>
    </row>
    <row r="262" spans="1:65" ht="15">
      <c r="A262" s="197" t="s">
        <v>772</v>
      </c>
      <c r="J262" s="195"/>
      <c r="K262" s="195"/>
      <c r="L262" s="195"/>
      <c r="M262" s="195"/>
      <c r="N262" s="195"/>
      <c r="O262" s="195"/>
      <c r="P262" s="195"/>
      <c r="Q262" s="195"/>
      <c r="R262" s="195"/>
      <c r="S262" s="195"/>
      <c r="T262" s="195"/>
      <c r="U262" s="195"/>
      <c r="V262" s="195"/>
      <c r="W262" s="195"/>
      <c r="X262" s="195"/>
      <c r="Y262" s="195"/>
      <c r="Z262" s="195"/>
      <c r="AA262" s="195" t="s">
        <v>779</v>
      </c>
      <c r="AB262" s="195">
        <v>1</v>
      </c>
      <c r="AC262" s="195">
        <f t="shared" si="87"/>
        <v>115</v>
      </c>
      <c r="AD262" s="195">
        <f t="shared" si="88"/>
        <v>10</v>
      </c>
      <c r="AE262" s="195">
        <f t="shared" si="89"/>
        <v>20</v>
      </c>
      <c r="AF262" s="195">
        <f t="shared" si="90"/>
        <v>95</v>
      </c>
      <c r="AG262" s="195">
        <f t="shared" si="91"/>
        <v>10</v>
      </c>
      <c r="AH262" s="195">
        <f t="shared" si="92"/>
        <v>20</v>
      </c>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row>
    <row r="263" spans="1:65" ht="15">
      <c r="A263" s="197" t="s">
        <v>774</v>
      </c>
      <c r="J263" s="195"/>
      <c r="K263" s="195"/>
      <c r="L263" s="195"/>
      <c r="M263" s="195"/>
      <c r="N263" s="195"/>
      <c r="O263" s="195"/>
      <c r="P263" s="195"/>
      <c r="Q263" s="195"/>
      <c r="R263" s="195"/>
      <c r="S263" s="195"/>
      <c r="T263" s="195"/>
      <c r="U263" s="195"/>
      <c r="V263" s="195"/>
      <c r="W263" s="195"/>
      <c r="X263" s="195"/>
      <c r="Y263" s="195"/>
      <c r="Z263" s="195"/>
      <c r="AA263" s="195" t="s">
        <v>780</v>
      </c>
      <c r="AB263" s="195">
        <v>1</v>
      </c>
      <c r="AC263" s="195">
        <f t="shared" si="87"/>
        <v>115</v>
      </c>
      <c r="AD263" s="195">
        <f t="shared" si="88"/>
        <v>10</v>
      </c>
      <c r="AE263" s="195">
        <f t="shared" si="89"/>
        <v>20</v>
      </c>
      <c r="AF263" s="195">
        <f t="shared" si="90"/>
        <v>95</v>
      </c>
      <c r="AG263" s="195">
        <f t="shared" si="91"/>
        <v>10</v>
      </c>
      <c r="AH263" s="195">
        <f t="shared" si="92"/>
        <v>20</v>
      </c>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row>
    <row r="264" spans="1:65" ht="15">
      <c r="A264" s="197" t="s">
        <v>776</v>
      </c>
      <c r="J264" s="195"/>
      <c r="K264" s="195"/>
      <c r="L264" s="195"/>
      <c r="M264" s="195"/>
      <c r="N264" s="195"/>
      <c r="O264" s="195"/>
      <c r="P264" s="195"/>
      <c r="Q264" s="195"/>
      <c r="R264" s="195"/>
      <c r="S264" s="195"/>
      <c r="T264" s="195"/>
      <c r="U264" s="195"/>
      <c r="V264" s="195"/>
      <c r="W264" s="195"/>
      <c r="X264" s="195"/>
      <c r="Y264" s="195"/>
      <c r="Z264" s="195"/>
      <c r="AA264" s="195" t="s">
        <v>781</v>
      </c>
      <c r="AB264" s="195">
        <v>3</v>
      </c>
      <c r="AC264" s="195">
        <f t="shared" si="87"/>
        <v>70</v>
      </c>
      <c r="AD264" s="195">
        <f t="shared" si="88"/>
        <v>10</v>
      </c>
      <c r="AE264" s="195">
        <f t="shared" si="89"/>
        <v>20</v>
      </c>
      <c r="AF264" s="195">
        <f t="shared" si="90"/>
        <v>60</v>
      </c>
      <c r="AG264" s="195">
        <f t="shared" si="91"/>
        <v>10</v>
      </c>
      <c r="AH264" s="195">
        <f t="shared" si="92"/>
        <v>20</v>
      </c>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row>
    <row r="265" spans="1:65" ht="1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t="s">
        <v>782</v>
      </c>
      <c r="AB265" s="195">
        <v>2</v>
      </c>
      <c r="AC265" s="195">
        <f t="shared" si="87"/>
        <v>90</v>
      </c>
      <c r="AD265" s="195">
        <f t="shared" si="88"/>
        <v>10</v>
      </c>
      <c r="AE265" s="195">
        <f t="shared" si="89"/>
        <v>20</v>
      </c>
      <c r="AF265" s="195">
        <f t="shared" si="90"/>
        <v>70</v>
      </c>
      <c r="AG265" s="195">
        <f t="shared" si="91"/>
        <v>10</v>
      </c>
      <c r="AH265" s="195">
        <f t="shared" si="92"/>
        <v>20</v>
      </c>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c r="BD265" s="195"/>
      <c r="BE265" s="195"/>
      <c r="BF265" s="195"/>
      <c r="BG265" s="195"/>
      <c r="BH265" s="195"/>
      <c r="BI265" s="195"/>
      <c r="BJ265" s="195"/>
      <c r="BK265" s="195"/>
      <c r="BL265" s="195"/>
      <c r="BM265" s="195"/>
    </row>
    <row r="266" spans="1:65" ht="1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t="s">
        <v>783</v>
      </c>
      <c r="AB266" s="195">
        <v>4</v>
      </c>
      <c r="AC266" s="195">
        <f t="shared" si="87"/>
        <v>50</v>
      </c>
      <c r="AD266" s="195">
        <f t="shared" si="88"/>
        <v>10</v>
      </c>
      <c r="AE266" s="195">
        <f t="shared" si="89"/>
        <v>20</v>
      </c>
      <c r="AF266" s="195">
        <f t="shared" si="90"/>
        <v>50</v>
      </c>
      <c r="AG266" s="195">
        <f t="shared" si="91"/>
        <v>10</v>
      </c>
      <c r="AH266" s="195">
        <f t="shared" si="92"/>
        <v>20</v>
      </c>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95"/>
      <c r="BH266" s="195"/>
      <c r="BI266" s="195"/>
      <c r="BJ266" s="195"/>
      <c r="BK266" s="195"/>
      <c r="BL266" s="195"/>
      <c r="BM266" s="195"/>
    </row>
    <row r="267" spans="1:65" ht="1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c r="AA267" s="195" t="s">
        <v>784</v>
      </c>
      <c r="AB267" s="195">
        <v>4</v>
      </c>
      <c r="AC267" s="195">
        <f t="shared" si="87"/>
        <v>50</v>
      </c>
      <c r="AD267" s="195">
        <f t="shared" si="88"/>
        <v>10</v>
      </c>
      <c r="AE267" s="195">
        <f t="shared" si="89"/>
        <v>20</v>
      </c>
      <c r="AF267" s="195">
        <f t="shared" si="90"/>
        <v>50</v>
      </c>
      <c r="AG267" s="195">
        <f t="shared" si="91"/>
        <v>10</v>
      </c>
      <c r="AH267" s="195">
        <f t="shared" si="92"/>
        <v>20</v>
      </c>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c r="BD267" s="195"/>
      <c r="BE267" s="195"/>
      <c r="BF267" s="195"/>
      <c r="BG267" s="195"/>
      <c r="BH267" s="195"/>
      <c r="BI267" s="195"/>
      <c r="BJ267" s="195"/>
      <c r="BK267" s="195"/>
      <c r="BL267" s="195"/>
      <c r="BM267" s="195"/>
    </row>
    <row r="268" spans="1:65" ht="1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c r="AA268" s="195" t="s">
        <v>785</v>
      </c>
      <c r="AB268" s="195">
        <v>2</v>
      </c>
      <c r="AC268" s="195">
        <f t="shared" si="87"/>
        <v>90</v>
      </c>
      <c r="AD268" s="195">
        <f t="shared" si="88"/>
        <v>10</v>
      </c>
      <c r="AE268" s="195">
        <f t="shared" si="89"/>
        <v>20</v>
      </c>
      <c r="AF268" s="195">
        <f t="shared" si="90"/>
        <v>70</v>
      </c>
      <c r="AG268" s="195">
        <f t="shared" si="91"/>
        <v>10</v>
      </c>
      <c r="AH268" s="195">
        <f t="shared" si="92"/>
        <v>20</v>
      </c>
      <c r="AI268" s="195"/>
      <c r="AJ268" s="195"/>
      <c r="AK268" s="195"/>
      <c r="AL268" s="195"/>
      <c r="AM268" s="195"/>
      <c r="AN268" s="195"/>
      <c r="AO268" s="195"/>
      <c r="AP268" s="195"/>
      <c r="AQ268" s="195"/>
      <c r="AR268" s="195"/>
      <c r="AS268" s="195"/>
      <c r="AT268" s="195"/>
      <c r="AU268" s="195"/>
      <c r="AV268" s="195"/>
      <c r="AW268" s="195"/>
      <c r="AX268" s="195"/>
      <c r="AY268" s="195"/>
      <c r="AZ268" s="195"/>
      <c r="BA268" s="195"/>
      <c r="BB268" s="195"/>
      <c r="BC268" s="195"/>
      <c r="BD268" s="195"/>
      <c r="BE268" s="195"/>
      <c r="BF268" s="195"/>
      <c r="BG268" s="195"/>
      <c r="BH268" s="195"/>
      <c r="BI268" s="195"/>
      <c r="BJ268" s="195"/>
      <c r="BK268" s="195"/>
      <c r="BL268" s="195"/>
      <c r="BM268" s="195"/>
    </row>
    <row r="269" spans="1:65" ht="1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t="s">
        <v>786</v>
      </c>
      <c r="AB269" s="195">
        <v>2</v>
      </c>
      <c r="AC269" s="195">
        <f t="shared" si="87"/>
        <v>90</v>
      </c>
      <c r="AD269" s="195">
        <f t="shared" si="88"/>
        <v>10</v>
      </c>
      <c r="AE269" s="195">
        <f t="shared" si="89"/>
        <v>20</v>
      </c>
      <c r="AF269" s="195">
        <f t="shared" si="90"/>
        <v>70</v>
      </c>
      <c r="AG269" s="195">
        <f t="shared" si="91"/>
        <v>10</v>
      </c>
      <c r="AH269" s="195">
        <f t="shared" si="92"/>
        <v>20</v>
      </c>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195"/>
      <c r="BF269" s="195"/>
      <c r="BG269" s="195"/>
      <c r="BH269" s="195"/>
      <c r="BI269" s="195"/>
      <c r="BJ269" s="195"/>
      <c r="BK269" s="195"/>
      <c r="BL269" s="195"/>
      <c r="BM269" s="195"/>
    </row>
    <row r="270" spans="1:65" ht="1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t="s">
        <v>787</v>
      </c>
      <c r="AB270" s="195">
        <v>4</v>
      </c>
      <c r="AC270" s="195">
        <f t="shared" si="87"/>
        <v>50</v>
      </c>
      <c r="AD270" s="195">
        <f t="shared" si="88"/>
        <v>10</v>
      </c>
      <c r="AE270" s="195">
        <f t="shared" si="89"/>
        <v>20</v>
      </c>
      <c r="AF270" s="195">
        <f t="shared" si="90"/>
        <v>50</v>
      </c>
      <c r="AG270" s="195">
        <f t="shared" si="91"/>
        <v>10</v>
      </c>
      <c r="AH270" s="195">
        <f t="shared" si="92"/>
        <v>20</v>
      </c>
      <c r="AI270" s="195"/>
      <c r="AJ270" s="195"/>
      <c r="AK270" s="195"/>
      <c r="AL270" s="195"/>
      <c r="AM270" s="195"/>
      <c r="AN270" s="195"/>
      <c r="AO270" s="195"/>
      <c r="AP270" s="195"/>
      <c r="AQ270" s="195"/>
      <c r="AR270" s="195"/>
      <c r="AS270" s="195"/>
      <c r="AT270" s="195"/>
      <c r="AU270" s="195"/>
      <c r="AV270" s="195"/>
      <c r="AW270" s="195"/>
      <c r="AX270" s="195"/>
      <c r="AY270" s="195"/>
      <c r="AZ270" s="195"/>
      <c r="BA270" s="195"/>
      <c r="BB270" s="195"/>
      <c r="BC270" s="195"/>
      <c r="BD270" s="195"/>
      <c r="BE270" s="195"/>
      <c r="BF270" s="195"/>
      <c r="BG270" s="195"/>
      <c r="BH270" s="195"/>
      <c r="BI270" s="195"/>
      <c r="BJ270" s="195"/>
      <c r="BK270" s="195"/>
      <c r="BL270" s="195"/>
      <c r="BM270" s="195"/>
    </row>
    <row r="271" spans="1:65" ht="1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t="s">
        <v>788</v>
      </c>
      <c r="AB271" s="195">
        <v>3</v>
      </c>
      <c r="AC271" s="195">
        <f t="shared" si="87"/>
        <v>70</v>
      </c>
      <c r="AD271" s="195">
        <f t="shared" si="88"/>
        <v>10</v>
      </c>
      <c r="AE271" s="195">
        <f t="shared" si="89"/>
        <v>20</v>
      </c>
      <c r="AF271" s="195">
        <f t="shared" si="90"/>
        <v>60</v>
      </c>
      <c r="AG271" s="195">
        <f t="shared" si="91"/>
        <v>10</v>
      </c>
      <c r="AH271" s="195">
        <f t="shared" si="92"/>
        <v>20</v>
      </c>
      <c r="AI271" s="195"/>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c r="BD271" s="195"/>
      <c r="BE271" s="195"/>
      <c r="BF271" s="195"/>
      <c r="BG271" s="195"/>
      <c r="BH271" s="195"/>
      <c r="BI271" s="195"/>
      <c r="BJ271" s="195"/>
      <c r="BK271" s="195"/>
      <c r="BL271" s="195"/>
      <c r="BM271" s="195"/>
    </row>
    <row r="272" spans="1:65" ht="1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c r="AA272" s="195" t="s">
        <v>789</v>
      </c>
      <c r="AB272" s="195">
        <v>4</v>
      </c>
      <c r="AC272" s="195">
        <f t="shared" si="87"/>
        <v>50</v>
      </c>
      <c r="AD272" s="195">
        <f t="shared" si="88"/>
        <v>10</v>
      </c>
      <c r="AE272" s="195">
        <f t="shared" si="89"/>
        <v>20</v>
      </c>
      <c r="AF272" s="195">
        <f t="shared" si="90"/>
        <v>50</v>
      </c>
      <c r="AG272" s="195">
        <f t="shared" si="91"/>
        <v>10</v>
      </c>
      <c r="AH272" s="195">
        <f t="shared" si="92"/>
        <v>20</v>
      </c>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c r="BD272" s="195"/>
      <c r="BE272" s="195"/>
      <c r="BF272" s="195"/>
      <c r="BG272" s="195"/>
      <c r="BH272" s="195"/>
      <c r="BI272" s="195"/>
      <c r="BJ272" s="195"/>
      <c r="BK272" s="195"/>
      <c r="BL272" s="195"/>
      <c r="BM272" s="195"/>
    </row>
    <row r="273" spans="1:65" ht="1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c r="AA273" s="195" t="s">
        <v>790</v>
      </c>
      <c r="AB273" s="195">
        <v>4</v>
      </c>
      <c r="AC273" s="195">
        <f t="shared" si="87"/>
        <v>50</v>
      </c>
      <c r="AD273" s="195">
        <f t="shared" si="88"/>
        <v>10</v>
      </c>
      <c r="AE273" s="195">
        <f t="shared" si="89"/>
        <v>20</v>
      </c>
      <c r="AF273" s="195">
        <f t="shared" si="90"/>
        <v>50</v>
      </c>
      <c r="AG273" s="195">
        <f t="shared" si="91"/>
        <v>10</v>
      </c>
      <c r="AH273" s="195">
        <f t="shared" si="92"/>
        <v>20</v>
      </c>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row>
    <row r="274" spans="1:65" ht="1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c r="AA274" s="195" t="s">
        <v>791</v>
      </c>
      <c r="AB274" s="195">
        <v>3</v>
      </c>
      <c r="AC274" s="195">
        <f t="shared" si="87"/>
        <v>70</v>
      </c>
      <c r="AD274" s="195">
        <f t="shared" si="88"/>
        <v>10</v>
      </c>
      <c r="AE274" s="195">
        <f t="shared" si="89"/>
        <v>20</v>
      </c>
      <c r="AF274" s="195">
        <f t="shared" si="90"/>
        <v>60</v>
      </c>
      <c r="AG274" s="195">
        <f t="shared" si="91"/>
        <v>10</v>
      </c>
      <c r="AH274" s="195">
        <f t="shared" si="92"/>
        <v>20</v>
      </c>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row>
    <row r="275" spans="1:65" ht="1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c r="AA275" s="195" t="s">
        <v>792</v>
      </c>
      <c r="AB275" s="195">
        <v>1</v>
      </c>
      <c r="AC275" s="195">
        <f t="shared" si="87"/>
        <v>115</v>
      </c>
      <c r="AD275" s="195">
        <f t="shared" si="88"/>
        <v>10</v>
      </c>
      <c r="AE275" s="195">
        <f t="shared" si="89"/>
        <v>20</v>
      </c>
      <c r="AF275" s="195">
        <f t="shared" si="90"/>
        <v>95</v>
      </c>
      <c r="AG275" s="195">
        <f t="shared" si="91"/>
        <v>10</v>
      </c>
      <c r="AH275" s="195">
        <f t="shared" si="92"/>
        <v>20</v>
      </c>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row>
    <row r="276" spans="1:65" ht="1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t="s">
        <v>793</v>
      </c>
      <c r="AB276" s="195">
        <v>2</v>
      </c>
      <c r="AC276" s="195">
        <f t="shared" si="87"/>
        <v>90</v>
      </c>
      <c r="AD276" s="195">
        <f t="shared" si="88"/>
        <v>10</v>
      </c>
      <c r="AE276" s="195">
        <f t="shared" si="89"/>
        <v>20</v>
      </c>
      <c r="AF276" s="195">
        <f t="shared" si="90"/>
        <v>70</v>
      </c>
      <c r="AG276" s="195">
        <f t="shared" si="91"/>
        <v>10</v>
      </c>
      <c r="AH276" s="195">
        <f t="shared" si="92"/>
        <v>20</v>
      </c>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c r="BD276" s="195"/>
      <c r="BE276" s="195"/>
      <c r="BF276" s="195"/>
      <c r="BG276" s="195"/>
      <c r="BH276" s="195"/>
      <c r="BI276" s="195"/>
      <c r="BJ276" s="195"/>
      <c r="BK276" s="195"/>
      <c r="BL276" s="195"/>
      <c r="BM276" s="195"/>
    </row>
    <row r="277" spans="1:65" ht="1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c r="AA277" s="195" t="s">
        <v>794</v>
      </c>
      <c r="AB277" s="195">
        <v>2</v>
      </c>
      <c r="AC277" s="195">
        <f t="shared" si="87"/>
        <v>90</v>
      </c>
      <c r="AD277" s="195">
        <f t="shared" si="88"/>
        <v>10</v>
      </c>
      <c r="AE277" s="195">
        <f t="shared" si="89"/>
        <v>20</v>
      </c>
      <c r="AF277" s="195">
        <f t="shared" si="90"/>
        <v>70</v>
      </c>
      <c r="AG277" s="195">
        <f t="shared" si="91"/>
        <v>10</v>
      </c>
      <c r="AH277" s="195">
        <f t="shared" si="92"/>
        <v>20</v>
      </c>
      <c r="AI277" s="195"/>
      <c r="AJ277" s="195"/>
      <c r="AK277" s="195"/>
      <c r="AL277" s="195"/>
      <c r="AM277" s="195"/>
      <c r="AN277" s="195"/>
      <c r="AO277" s="195"/>
      <c r="AP277" s="195"/>
      <c r="AQ277" s="195"/>
      <c r="AR277" s="195"/>
      <c r="AS277" s="195"/>
      <c r="AT277" s="195"/>
      <c r="AU277" s="195"/>
      <c r="AV277" s="195"/>
      <c r="AW277" s="195"/>
      <c r="AX277" s="195"/>
      <c r="AY277" s="195"/>
      <c r="AZ277" s="195"/>
      <c r="BA277" s="195"/>
      <c r="BB277" s="195"/>
      <c r="BC277" s="195"/>
      <c r="BD277" s="195"/>
      <c r="BE277" s="195"/>
      <c r="BF277" s="195"/>
      <c r="BG277" s="195"/>
      <c r="BH277" s="195"/>
      <c r="BI277" s="195"/>
      <c r="BJ277" s="195"/>
      <c r="BK277" s="195"/>
      <c r="BL277" s="195"/>
      <c r="BM277" s="195"/>
    </row>
    <row r="278" spans="1:65" ht="1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c r="AA278" s="195" t="s">
        <v>795</v>
      </c>
      <c r="AB278" s="195">
        <v>4</v>
      </c>
      <c r="AC278" s="195">
        <f t="shared" si="87"/>
        <v>50</v>
      </c>
      <c r="AD278" s="195">
        <f t="shared" si="88"/>
        <v>10</v>
      </c>
      <c r="AE278" s="195">
        <f t="shared" si="89"/>
        <v>20</v>
      </c>
      <c r="AF278" s="195">
        <f t="shared" si="90"/>
        <v>50</v>
      </c>
      <c r="AG278" s="195">
        <f t="shared" si="91"/>
        <v>10</v>
      </c>
      <c r="AH278" s="195">
        <f t="shared" si="92"/>
        <v>20</v>
      </c>
      <c r="AI278" s="195"/>
      <c r="AJ278" s="195"/>
      <c r="AK278" s="195"/>
      <c r="AL278" s="195"/>
      <c r="AM278" s="195"/>
      <c r="AN278" s="195"/>
      <c r="AO278" s="195"/>
      <c r="AP278" s="195"/>
      <c r="AQ278" s="195"/>
      <c r="AR278" s="195"/>
      <c r="AS278" s="195"/>
      <c r="AT278" s="195"/>
      <c r="AU278" s="195"/>
      <c r="AV278" s="195"/>
      <c r="AW278" s="195"/>
      <c r="AX278" s="195"/>
      <c r="AY278" s="195"/>
      <c r="AZ278" s="195"/>
      <c r="BA278" s="195"/>
      <c r="BB278" s="195"/>
      <c r="BC278" s="195"/>
      <c r="BD278" s="195"/>
      <c r="BE278" s="195"/>
      <c r="BF278" s="195"/>
      <c r="BG278" s="195"/>
      <c r="BH278" s="195"/>
      <c r="BI278" s="195"/>
      <c r="BJ278" s="195"/>
      <c r="BK278" s="195"/>
      <c r="BL278" s="195"/>
      <c r="BM278" s="195"/>
    </row>
    <row r="279" spans="1:65" ht="1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c r="AA279" s="195" t="s">
        <v>796</v>
      </c>
      <c r="AB279" s="195">
        <v>4</v>
      </c>
      <c r="AC279" s="195">
        <f t="shared" si="87"/>
        <v>50</v>
      </c>
      <c r="AD279" s="195">
        <f t="shared" si="88"/>
        <v>10</v>
      </c>
      <c r="AE279" s="195">
        <f t="shared" si="89"/>
        <v>20</v>
      </c>
      <c r="AF279" s="195">
        <f t="shared" si="90"/>
        <v>50</v>
      </c>
      <c r="AG279" s="195">
        <f t="shared" si="91"/>
        <v>10</v>
      </c>
      <c r="AH279" s="195">
        <f t="shared" si="92"/>
        <v>20</v>
      </c>
      <c r="AI279" s="195"/>
      <c r="AJ279" s="195"/>
      <c r="AK279" s="195"/>
      <c r="AL279" s="195"/>
      <c r="AM279" s="195"/>
      <c r="AN279" s="195"/>
      <c r="AO279" s="195"/>
      <c r="AP279" s="195"/>
      <c r="AQ279" s="195"/>
      <c r="AR279" s="195"/>
      <c r="AS279" s="195"/>
      <c r="AT279" s="195"/>
      <c r="AU279" s="195"/>
      <c r="AV279" s="195"/>
      <c r="AW279" s="195"/>
      <c r="AX279" s="195"/>
      <c r="AY279" s="195"/>
      <c r="AZ279" s="195"/>
      <c r="BA279" s="195"/>
      <c r="BB279" s="195"/>
      <c r="BC279" s="195"/>
      <c r="BD279" s="195"/>
      <c r="BE279" s="195"/>
      <c r="BF279" s="195"/>
      <c r="BG279" s="195"/>
      <c r="BH279" s="195"/>
      <c r="BI279" s="195"/>
      <c r="BJ279" s="195"/>
      <c r="BK279" s="195"/>
      <c r="BL279" s="195"/>
      <c r="BM279" s="195"/>
    </row>
    <row r="280" spans="1:65" ht="1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t="s">
        <v>797</v>
      </c>
      <c r="AB280" s="195">
        <v>2</v>
      </c>
      <c r="AC280" s="195">
        <f t="shared" si="87"/>
        <v>90</v>
      </c>
      <c r="AD280" s="195">
        <f t="shared" si="88"/>
        <v>10</v>
      </c>
      <c r="AE280" s="195">
        <f t="shared" si="89"/>
        <v>20</v>
      </c>
      <c r="AF280" s="195">
        <f t="shared" si="90"/>
        <v>70</v>
      </c>
      <c r="AG280" s="195">
        <f t="shared" si="91"/>
        <v>10</v>
      </c>
      <c r="AH280" s="195">
        <f t="shared" si="92"/>
        <v>20</v>
      </c>
      <c r="AI280" s="195"/>
      <c r="AJ280" s="195"/>
      <c r="AK280" s="195"/>
      <c r="AL280" s="195"/>
      <c r="AM280" s="195"/>
      <c r="AN280" s="195"/>
      <c r="AO280" s="195"/>
      <c r="AP280" s="195"/>
      <c r="AQ280" s="195"/>
      <c r="AR280" s="195"/>
      <c r="AS280" s="195"/>
      <c r="AT280" s="195"/>
      <c r="AU280" s="195"/>
      <c r="AV280" s="195"/>
      <c r="AW280" s="195"/>
      <c r="AX280" s="195"/>
      <c r="AY280" s="195"/>
      <c r="AZ280" s="195"/>
      <c r="BA280" s="195"/>
      <c r="BB280" s="195"/>
      <c r="BC280" s="195"/>
      <c r="BD280" s="195"/>
      <c r="BE280" s="195"/>
      <c r="BF280" s="195"/>
      <c r="BG280" s="195"/>
      <c r="BH280" s="195"/>
      <c r="BI280" s="195"/>
      <c r="BJ280" s="195"/>
      <c r="BK280" s="195"/>
      <c r="BL280" s="195"/>
      <c r="BM280" s="195"/>
    </row>
    <row r="281" spans="1:65" ht="1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t="s">
        <v>798</v>
      </c>
      <c r="AB281" s="195">
        <v>3</v>
      </c>
      <c r="AC281" s="195">
        <f t="shared" si="87"/>
        <v>70</v>
      </c>
      <c r="AD281" s="195">
        <f t="shared" si="88"/>
        <v>10</v>
      </c>
      <c r="AE281" s="195">
        <f t="shared" si="89"/>
        <v>20</v>
      </c>
      <c r="AF281" s="195">
        <f t="shared" si="90"/>
        <v>60</v>
      </c>
      <c r="AG281" s="195">
        <f t="shared" si="91"/>
        <v>10</v>
      </c>
      <c r="AH281" s="195">
        <f t="shared" si="92"/>
        <v>20</v>
      </c>
      <c r="AI281" s="195"/>
      <c r="AJ281" s="195"/>
      <c r="AK281" s="195"/>
      <c r="AL281" s="195"/>
      <c r="AM281" s="195"/>
      <c r="AN281" s="195"/>
      <c r="AO281" s="195"/>
      <c r="AP281" s="195"/>
      <c r="AQ281" s="195"/>
      <c r="AR281" s="195"/>
      <c r="AS281" s="195"/>
      <c r="AT281" s="195"/>
      <c r="AU281" s="195"/>
      <c r="AV281" s="195"/>
      <c r="AW281" s="195"/>
      <c r="AX281" s="195"/>
      <c r="AY281" s="195"/>
      <c r="AZ281" s="195"/>
      <c r="BA281" s="195"/>
      <c r="BB281" s="195"/>
      <c r="BC281" s="195"/>
      <c r="BD281" s="195"/>
      <c r="BE281" s="195"/>
      <c r="BF281" s="195"/>
      <c r="BG281" s="195"/>
      <c r="BH281" s="195"/>
      <c r="BI281" s="195"/>
      <c r="BJ281" s="195"/>
      <c r="BK281" s="195"/>
      <c r="BL281" s="195"/>
      <c r="BM281" s="195"/>
    </row>
    <row r="282" spans="1:65" ht="1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t="s">
        <v>799</v>
      </c>
      <c r="AB282" s="195">
        <v>2</v>
      </c>
      <c r="AC282" s="195">
        <f t="shared" si="87"/>
        <v>90</v>
      </c>
      <c r="AD282" s="195">
        <f t="shared" si="88"/>
        <v>10</v>
      </c>
      <c r="AE282" s="195">
        <f t="shared" si="89"/>
        <v>20</v>
      </c>
      <c r="AF282" s="195">
        <f t="shared" si="90"/>
        <v>70</v>
      </c>
      <c r="AG282" s="195">
        <f t="shared" si="91"/>
        <v>10</v>
      </c>
      <c r="AH282" s="195">
        <f t="shared" si="92"/>
        <v>20</v>
      </c>
      <c r="AI282" s="195"/>
      <c r="AJ282" s="195"/>
      <c r="AK282" s="195"/>
      <c r="AL282" s="195"/>
      <c r="AM282" s="195"/>
      <c r="AN282" s="195"/>
      <c r="AO282" s="195"/>
      <c r="AP282" s="195"/>
      <c r="AQ282" s="195"/>
      <c r="AR282" s="195"/>
      <c r="AS282" s="195"/>
      <c r="AT282" s="195"/>
      <c r="AU282" s="195"/>
      <c r="AV282" s="195"/>
      <c r="AW282" s="195"/>
      <c r="AX282" s="195"/>
      <c r="AY282" s="195"/>
      <c r="AZ282" s="195"/>
      <c r="BA282" s="195"/>
      <c r="BB282" s="195"/>
      <c r="BC282" s="195"/>
      <c r="BD282" s="195"/>
      <c r="BE282" s="195"/>
      <c r="BF282" s="195"/>
      <c r="BG282" s="195"/>
      <c r="BH282" s="195"/>
      <c r="BI282" s="195"/>
      <c r="BJ282" s="195"/>
      <c r="BK282" s="195"/>
      <c r="BL282" s="195"/>
      <c r="BM282" s="195"/>
    </row>
    <row r="283" spans="1:65" ht="1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c r="AA283" s="195" t="s">
        <v>800</v>
      </c>
      <c r="AB283" s="195">
        <v>4</v>
      </c>
      <c r="AC283" s="195">
        <f t="shared" si="87"/>
        <v>50</v>
      </c>
      <c r="AD283" s="195">
        <f t="shared" si="88"/>
        <v>10</v>
      </c>
      <c r="AE283" s="195">
        <f t="shared" si="89"/>
        <v>20</v>
      </c>
      <c r="AF283" s="195">
        <f t="shared" si="90"/>
        <v>50</v>
      </c>
      <c r="AG283" s="195">
        <f t="shared" si="91"/>
        <v>10</v>
      </c>
      <c r="AH283" s="195">
        <f t="shared" si="92"/>
        <v>20</v>
      </c>
      <c r="AI283" s="195"/>
      <c r="AJ283" s="195"/>
      <c r="AK283" s="195"/>
      <c r="AL283" s="195"/>
      <c r="AM283" s="195"/>
      <c r="AN283" s="195"/>
      <c r="AO283" s="195"/>
      <c r="AP283" s="195"/>
      <c r="AQ283" s="195"/>
      <c r="AR283" s="195"/>
      <c r="AS283" s="195"/>
      <c r="AT283" s="195"/>
      <c r="AU283" s="195"/>
      <c r="AV283" s="195"/>
      <c r="AW283" s="195"/>
      <c r="AX283" s="195"/>
      <c r="AY283" s="195"/>
      <c r="AZ283" s="195"/>
      <c r="BA283" s="195"/>
      <c r="BB283" s="195"/>
      <c r="BC283" s="195"/>
      <c r="BD283" s="195"/>
      <c r="BE283" s="195"/>
      <c r="BF283" s="195"/>
      <c r="BG283" s="195"/>
      <c r="BH283" s="195"/>
      <c r="BI283" s="195"/>
      <c r="BJ283" s="195"/>
      <c r="BK283" s="195"/>
      <c r="BL283" s="195"/>
      <c r="BM283" s="195"/>
    </row>
    <row r="284" spans="1:65" ht="1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t="s">
        <v>801</v>
      </c>
      <c r="AB284" s="195">
        <v>1</v>
      </c>
      <c r="AC284" s="195">
        <f t="shared" si="87"/>
        <v>115</v>
      </c>
      <c r="AD284" s="195">
        <f t="shared" si="88"/>
        <v>10</v>
      </c>
      <c r="AE284" s="195">
        <f t="shared" si="89"/>
        <v>20</v>
      </c>
      <c r="AF284" s="195">
        <f t="shared" si="90"/>
        <v>95</v>
      </c>
      <c r="AG284" s="195">
        <f t="shared" si="91"/>
        <v>10</v>
      </c>
      <c r="AH284" s="195">
        <f t="shared" si="92"/>
        <v>20</v>
      </c>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c r="BD284" s="195"/>
      <c r="BE284" s="195"/>
      <c r="BF284" s="195"/>
      <c r="BG284" s="195"/>
      <c r="BH284" s="195"/>
      <c r="BI284" s="195"/>
      <c r="BJ284" s="195"/>
      <c r="BK284" s="195"/>
      <c r="BL284" s="195"/>
      <c r="BM284" s="195"/>
    </row>
    <row r="285" spans="1:65" ht="1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t="s">
        <v>802</v>
      </c>
      <c r="AB285" s="195">
        <v>4</v>
      </c>
      <c r="AC285" s="195">
        <f t="shared" si="87"/>
        <v>50</v>
      </c>
      <c r="AD285" s="195">
        <f t="shared" si="88"/>
        <v>10</v>
      </c>
      <c r="AE285" s="195">
        <f t="shared" si="89"/>
        <v>20</v>
      </c>
      <c r="AF285" s="195">
        <f t="shared" si="90"/>
        <v>50</v>
      </c>
      <c r="AG285" s="195">
        <f t="shared" si="91"/>
        <v>10</v>
      </c>
      <c r="AH285" s="195">
        <f t="shared" si="92"/>
        <v>20</v>
      </c>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row>
    <row r="286" spans="1:65" ht="1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t="s">
        <v>803</v>
      </c>
      <c r="AB286" s="195">
        <v>2</v>
      </c>
      <c r="AC286" s="195">
        <f t="shared" si="87"/>
        <v>90</v>
      </c>
      <c r="AD286" s="195">
        <f t="shared" si="88"/>
        <v>10</v>
      </c>
      <c r="AE286" s="195">
        <f t="shared" si="89"/>
        <v>20</v>
      </c>
      <c r="AF286" s="195">
        <f t="shared" si="90"/>
        <v>70</v>
      </c>
      <c r="AG286" s="195">
        <f t="shared" si="91"/>
        <v>10</v>
      </c>
      <c r="AH286" s="195">
        <f t="shared" si="92"/>
        <v>20</v>
      </c>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c r="BD286" s="195"/>
      <c r="BE286" s="195"/>
      <c r="BF286" s="195"/>
      <c r="BG286" s="195"/>
      <c r="BH286" s="195"/>
      <c r="BI286" s="195"/>
      <c r="BJ286" s="195"/>
      <c r="BK286" s="195"/>
      <c r="BL286" s="195"/>
      <c r="BM286" s="195"/>
    </row>
    <row r="287" spans="1:65" ht="1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t="s">
        <v>804</v>
      </c>
      <c r="AB287" s="195">
        <v>4</v>
      </c>
      <c r="AC287" s="195">
        <f t="shared" si="87"/>
        <v>50</v>
      </c>
      <c r="AD287" s="195">
        <f t="shared" si="88"/>
        <v>10</v>
      </c>
      <c r="AE287" s="195">
        <f t="shared" si="89"/>
        <v>20</v>
      </c>
      <c r="AF287" s="195">
        <f t="shared" si="90"/>
        <v>50</v>
      </c>
      <c r="AG287" s="195">
        <f t="shared" si="91"/>
        <v>10</v>
      </c>
      <c r="AH287" s="195">
        <f t="shared" si="92"/>
        <v>20</v>
      </c>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c r="BD287" s="195"/>
      <c r="BE287" s="195"/>
      <c r="BF287" s="195"/>
      <c r="BG287" s="195"/>
      <c r="BH287" s="195"/>
      <c r="BI287" s="195"/>
      <c r="BJ287" s="195"/>
      <c r="BK287" s="195"/>
      <c r="BL287" s="195"/>
      <c r="BM287" s="195"/>
    </row>
    <row r="288" spans="1:65" ht="1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c r="AA288" s="195" t="s">
        <v>807</v>
      </c>
      <c r="AB288" s="195">
        <v>3</v>
      </c>
      <c r="AC288" s="195">
        <f t="shared" si="87"/>
        <v>70</v>
      </c>
      <c r="AD288" s="195">
        <f t="shared" si="88"/>
        <v>10</v>
      </c>
      <c r="AE288" s="195">
        <f t="shared" si="89"/>
        <v>20</v>
      </c>
      <c r="AF288" s="195">
        <f t="shared" si="90"/>
        <v>60</v>
      </c>
      <c r="AG288" s="195">
        <f t="shared" si="91"/>
        <v>10</v>
      </c>
      <c r="AH288" s="195">
        <f t="shared" si="92"/>
        <v>20</v>
      </c>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c r="BD288" s="195"/>
      <c r="BE288" s="195"/>
      <c r="BF288" s="195"/>
      <c r="BG288" s="195"/>
      <c r="BH288" s="195"/>
      <c r="BI288" s="195"/>
      <c r="BJ288" s="195"/>
      <c r="BK288" s="195"/>
      <c r="BL288" s="195"/>
      <c r="BM288" s="195"/>
    </row>
    <row r="289" spans="1:65" ht="1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t="s">
        <v>224</v>
      </c>
      <c r="AB289" s="195">
        <v>2</v>
      </c>
      <c r="AC289" s="195">
        <f t="shared" si="87"/>
        <v>90</v>
      </c>
      <c r="AD289" s="195">
        <f t="shared" si="88"/>
        <v>10</v>
      </c>
      <c r="AE289" s="195">
        <f t="shared" si="89"/>
        <v>20</v>
      </c>
      <c r="AF289" s="195">
        <f t="shared" si="90"/>
        <v>70</v>
      </c>
      <c r="AG289" s="195">
        <f t="shared" si="91"/>
        <v>10</v>
      </c>
      <c r="AH289" s="195">
        <f t="shared" si="92"/>
        <v>20</v>
      </c>
      <c r="AI289" s="195"/>
      <c r="AJ289" s="195"/>
      <c r="AK289" s="195"/>
      <c r="AL289" s="195"/>
      <c r="AM289" s="195"/>
      <c r="AN289" s="195"/>
      <c r="AO289" s="195"/>
      <c r="AP289" s="195"/>
      <c r="AQ289" s="195"/>
      <c r="AR289" s="195"/>
      <c r="AS289" s="195"/>
      <c r="AT289" s="195"/>
      <c r="AU289" s="195"/>
      <c r="AV289" s="195"/>
      <c r="AW289" s="195"/>
      <c r="AX289" s="195"/>
      <c r="AY289" s="195"/>
      <c r="AZ289" s="195"/>
      <c r="BA289" s="195"/>
      <c r="BB289" s="195"/>
      <c r="BC289" s="195"/>
      <c r="BD289" s="195"/>
      <c r="BE289" s="195"/>
      <c r="BF289" s="195"/>
      <c r="BG289" s="195"/>
      <c r="BH289" s="195"/>
      <c r="BI289" s="195"/>
      <c r="BJ289" s="195"/>
      <c r="BK289" s="195"/>
      <c r="BL289" s="195"/>
      <c r="BM289" s="195"/>
    </row>
    <row r="290" spans="1:65" ht="1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t="s">
        <v>810</v>
      </c>
      <c r="AB290" s="195">
        <v>3</v>
      </c>
      <c r="AC290" s="195">
        <f t="shared" si="87"/>
        <v>70</v>
      </c>
      <c r="AD290" s="195">
        <f t="shared" si="88"/>
        <v>10</v>
      </c>
      <c r="AE290" s="195">
        <f t="shared" si="89"/>
        <v>20</v>
      </c>
      <c r="AF290" s="195">
        <f t="shared" si="90"/>
        <v>60</v>
      </c>
      <c r="AG290" s="195">
        <f t="shared" si="91"/>
        <v>10</v>
      </c>
      <c r="AH290" s="195">
        <f t="shared" si="92"/>
        <v>20</v>
      </c>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c r="BD290" s="195"/>
      <c r="BE290" s="195"/>
      <c r="BF290" s="195"/>
      <c r="BG290" s="195"/>
      <c r="BH290" s="195"/>
      <c r="BI290" s="195"/>
      <c r="BJ290" s="195"/>
      <c r="BK290" s="195"/>
      <c r="BL290" s="195"/>
      <c r="BM290" s="195"/>
    </row>
    <row r="291" spans="1:65" ht="1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t="s">
        <v>812</v>
      </c>
      <c r="AB291" s="195">
        <v>3</v>
      </c>
      <c r="AC291" s="195">
        <f t="shared" si="87"/>
        <v>70</v>
      </c>
      <c r="AD291" s="195">
        <f t="shared" si="88"/>
        <v>10</v>
      </c>
      <c r="AE291" s="195">
        <f t="shared" si="89"/>
        <v>20</v>
      </c>
      <c r="AF291" s="195">
        <f t="shared" si="90"/>
        <v>60</v>
      </c>
      <c r="AG291" s="195">
        <f t="shared" si="91"/>
        <v>10</v>
      </c>
      <c r="AH291" s="195">
        <f t="shared" si="92"/>
        <v>20</v>
      </c>
      <c r="AI291" s="195"/>
      <c r="AJ291" s="195"/>
      <c r="AK291" s="195"/>
      <c r="AL291" s="195"/>
      <c r="AM291" s="195"/>
      <c r="AN291" s="195"/>
      <c r="AO291" s="195"/>
      <c r="AP291" s="195"/>
      <c r="AQ291" s="195"/>
      <c r="AR291" s="195"/>
      <c r="AS291" s="195"/>
      <c r="AT291" s="195"/>
      <c r="AU291" s="195"/>
      <c r="AV291" s="195"/>
      <c r="AW291" s="195"/>
      <c r="AX291" s="195"/>
      <c r="AY291" s="195"/>
      <c r="AZ291" s="195"/>
      <c r="BA291" s="195"/>
      <c r="BB291" s="195"/>
      <c r="BC291" s="195"/>
      <c r="BD291" s="195"/>
      <c r="BE291" s="195"/>
      <c r="BF291" s="195"/>
      <c r="BG291" s="195"/>
      <c r="BH291" s="195"/>
      <c r="BI291" s="195"/>
      <c r="BJ291" s="195"/>
      <c r="BK291" s="195"/>
      <c r="BL291" s="195"/>
      <c r="BM291" s="195"/>
    </row>
    <row r="292" spans="1:65" ht="1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t="s">
        <v>814</v>
      </c>
      <c r="AB292" s="195">
        <v>3</v>
      </c>
      <c r="AC292" s="195">
        <f aca="true" t="shared" si="93" ref="AC292:AC323">VLOOKUP(AB292,$AA$199:$AD$202,2)</f>
        <v>70</v>
      </c>
      <c r="AD292" s="195">
        <f aca="true" t="shared" si="94" ref="AD292:AD323">VLOOKUP(AC292,$AA$199:$AD$202,3)</f>
        <v>10</v>
      </c>
      <c r="AE292" s="195">
        <f aca="true" t="shared" si="95" ref="AE292:AE323">VLOOKUP(AD292,$AA$199:$AD$202,4)</f>
        <v>20</v>
      </c>
      <c r="AF292" s="195">
        <f aca="true" t="shared" si="96" ref="AF292:AF323">VLOOKUP($AB292,$AF$199:$AI$202,2)</f>
        <v>60</v>
      </c>
      <c r="AG292" s="195">
        <f aca="true" t="shared" si="97" ref="AG292:AG323">VLOOKUP($AB292,$AF$199:$AI$202,3)</f>
        <v>10</v>
      </c>
      <c r="AH292" s="195">
        <f aca="true" t="shared" si="98" ref="AH292:AH323">VLOOKUP($AB292,$AF$199:$AI$202,4)</f>
        <v>20</v>
      </c>
      <c r="AI292" s="195"/>
      <c r="AJ292" s="195"/>
      <c r="AK292" s="195"/>
      <c r="AL292" s="195"/>
      <c r="AM292" s="195"/>
      <c r="AN292" s="195"/>
      <c r="AO292" s="195"/>
      <c r="AP292" s="195"/>
      <c r="AQ292" s="195"/>
      <c r="AR292" s="195"/>
      <c r="AS292" s="195"/>
      <c r="AT292" s="195"/>
      <c r="AU292" s="195"/>
      <c r="AV292" s="195"/>
      <c r="AW292" s="195"/>
      <c r="AX292" s="195"/>
      <c r="AY292" s="195"/>
      <c r="AZ292" s="195"/>
      <c r="BA292" s="195"/>
      <c r="BB292" s="195"/>
      <c r="BC292" s="195"/>
      <c r="BD292" s="195"/>
      <c r="BE292" s="195"/>
      <c r="BF292" s="195"/>
      <c r="BG292" s="195"/>
      <c r="BH292" s="195"/>
      <c r="BI292" s="195"/>
      <c r="BJ292" s="195"/>
      <c r="BK292" s="195"/>
      <c r="BL292" s="195"/>
      <c r="BM292" s="195"/>
    </row>
    <row r="293" spans="1:65" ht="1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t="s">
        <v>815</v>
      </c>
      <c r="AB293" s="195">
        <v>4</v>
      </c>
      <c r="AC293" s="195">
        <f t="shared" si="93"/>
        <v>50</v>
      </c>
      <c r="AD293" s="195">
        <f t="shared" si="94"/>
        <v>10</v>
      </c>
      <c r="AE293" s="195">
        <f t="shared" si="95"/>
        <v>20</v>
      </c>
      <c r="AF293" s="195">
        <f t="shared" si="96"/>
        <v>50</v>
      </c>
      <c r="AG293" s="195">
        <f t="shared" si="97"/>
        <v>10</v>
      </c>
      <c r="AH293" s="195">
        <f t="shared" si="98"/>
        <v>20</v>
      </c>
      <c r="AI293" s="195"/>
      <c r="AJ293" s="195"/>
      <c r="AK293" s="195"/>
      <c r="AL293" s="195"/>
      <c r="AM293" s="195"/>
      <c r="AN293" s="195"/>
      <c r="AO293" s="195"/>
      <c r="AP293" s="195"/>
      <c r="AQ293" s="195"/>
      <c r="AR293" s="195"/>
      <c r="AS293" s="195"/>
      <c r="AT293" s="195"/>
      <c r="AU293" s="195"/>
      <c r="AV293" s="195"/>
      <c r="AW293" s="195"/>
      <c r="AX293" s="195"/>
      <c r="AY293" s="195"/>
      <c r="AZ293" s="195"/>
      <c r="BA293" s="195"/>
      <c r="BB293" s="195"/>
      <c r="BC293" s="195"/>
      <c r="BD293" s="195"/>
      <c r="BE293" s="195"/>
      <c r="BF293" s="195"/>
      <c r="BG293" s="195"/>
      <c r="BH293" s="195"/>
      <c r="BI293" s="195"/>
      <c r="BJ293" s="195"/>
      <c r="BK293" s="195"/>
      <c r="BL293" s="195"/>
      <c r="BM293" s="195"/>
    </row>
    <row r="294" spans="1:65" ht="1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c r="AA294" s="195" t="s">
        <v>817</v>
      </c>
      <c r="AB294" s="195">
        <v>3</v>
      </c>
      <c r="AC294" s="195">
        <f t="shared" si="93"/>
        <v>70</v>
      </c>
      <c r="AD294" s="195">
        <f t="shared" si="94"/>
        <v>10</v>
      </c>
      <c r="AE294" s="195">
        <f t="shared" si="95"/>
        <v>20</v>
      </c>
      <c r="AF294" s="195">
        <f t="shared" si="96"/>
        <v>60</v>
      </c>
      <c r="AG294" s="195">
        <f t="shared" si="97"/>
        <v>10</v>
      </c>
      <c r="AH294" s="195">
        <f t="shared" si="98"/>
        <v>20</v>
      </c>
      <c r="AI294" s="195"/>
      <c r="AJ294" s="195"/>
      <c r="AK294" s="195"/>
      <c r="AL294" s="195"/>
      <c r="AM294" s="195"/>
      <c r="AN294" s="195"/>
      <c r="AO294" s="195"/>
      <c r="AP294" s="195"/>
      <c r="AQ294" s="195"/>
      <c r="AR294" s="195"/>
      <c r="AS294" s="195"/>
      <c r="AT294" s="195"/>
      <c r="AU294" s="195"/>
      <c r="AV294" s="195"/>
      <c r="AW294" s="195"/>
      <c r="AX294" s="195"/>
      <c r="AY294" s="195"/>
      <c r="AZ294" s="195"/>
      <c r="BA294" s="195"/>
      <c r="BB294" s="195"/>
      <c r="BC294" s="195"/>
      <c r="BD294" s="195"/>
      <c r="BE294" s="195"/>
      <c r="BF294" s="195"/>
      <c r="BG294" s="195"/>
      <c r="BH294" s="195"/>
      <c r="BI294" s="195"/>
      <c r="BJ294" s="195"/>
      <c r="BK294" s="195"/>
      <c r="BL294" s="195"/>
      <c r="BM294" s="195"/>
    </row>
    <row r="295" spans="1:65" ht="1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t="s">
        <v>818</v>
      </c>
      <c r="AB295" s="195">
        <v>4</v>
      </c>
      <c r="AC295" s="195">
        <f t="shared" si="93"/>
        <v>50</v>
      </c>
      <c r="AD295" s="195">
        <f t="shared" si="94"/>
        <v>10</v>
      </c>
      <c r="AE295" s="195">
        <f t="shared" si="95"/>
        <v>20</v>
      </c>
      <c r="AF295" s="195">
        <f t="shared" si="96"/>
        <v>50</v>
      </c>
      <c r="AG295" s="195">
        <f t="shared" si="97"/>
        <v>10</v>
      </c>
      <c r="AH295" s="195">
        <f t="shared" si="98"/>
        <v>20</v>
      </c>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c r="BD295" s="195"/>
      <c r="BE295" s="195"/>
      <c r="BF295" s="195"/>
      <c r="BG295" s="195"/>
      <c r="BH295" s="195"/>
      <c r="BI295" s="195"/>
      <c r="BJ295" s="195"/>
      <c r="BK295" s="195"/>
      <c r="BL295" s="195"/>
      <c r="BM295" s="195"/>
    </row>
    <row r="296" spans="1:65" ht="1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c r="AA296" s="195" t="s">
        <v>819</v>
      </c>
      <c r="AB296" s="195">
        <v>4</v>
      </c>
      <c r="AC296" s="195">
        <f t="shared" si="93"/>
        <v>50</v>
      </c>
      <c r="AD296" s="195">
        <f t="shared" si="94"/>
        <v>10</v>
      </c>
      <c r="AE296" s="195">
        <f t="shared" si="95"/>
        <v>20</v>
      </c>
      <c r="AF296" s="195">
        <f t="shared" si="96"/>
        <v>50</v>
      </c>
      <c r="AG296" s="195">
        <f t="shared" si="97"/>
        <v>10</v>
      </c>
      <c r="AH296" s="195">
        <f t="shared" si="98"/>
        <v>20</v>
      </c>
      <c r="AI296" s="195"/>
      <c r="AJ296" s="195"/>
      <c r="AK296" s="195"/>
      <c r="AL296" s="195"/>
      <c r="AM296" s="195"/>
      <c r="AN296" s="195"/>
      <c r="AO296" s="195"/>
      <c r="AP296" s="195"/>
      <c r="AQ296" s="195"/>
      <c r="AR296" s="195"/>
      <c r="AS296" s="195"/>
      <c r="AT296" s="195"/>
      <c r="AU296" s="195"/>
      <c r="AV296" s="195"/>
      <c r="AW296" s="195"/>
      <c r="AX296" s="195"/>
      <c r="AY296" s="195"/>
      <c r="AZ296" s="195"/>
      <c r="BA296" s="195"/>
      <c r="BB296" s="195"/>
      <c r="BC296" s="195"/>
      <c r="BD296" s="195"/>
      <c r="BE296" s="195"/>
      <c r="BF296" s="195"/>
      <c r="BG296" s="195"/>
      <c r="BH296" s="195"/>
      <c r="BI296" s="195"/>
      <c r="BJ296" s="195"/>
      <c r="BK296" s="195"/>
      <c r="BL296" s="195"/>
      <c r="BM296" s="195"/>
    </row>
    <row r="297" spans="1:65" ht="1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t="s">
        <v>820</v>
      </c>
      <c r="AB297" s="195">
        <v>4</v>
      </c>
      <c r="AC297" s="195">
        <f t="shared" si="93"/>
        <v>50</v>
      </c>
      <c r="AD297" s="195">
        <f t="shared" si="94"/>
        <v>10</v>
      </c>
      <c r="AE297" s="195">
        <f t="shared" si="95"/>
        <v>20</v>
      </c>
      <c r="AF297" s="195">
        <f t="shared" si="96"/>
        <v>50</v>
      </c>
      <c r="AG297" s="195">
        <f t="shared" si="97"/>
        <v>10</v>
      </c>
      <c r="AH297" s="195">
        <f t="shared" si="98"/>
        <v>20</v>
      </c>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c r="BD297" s="195"/>
      <c r="BE297" s="195"/>
      <c r="BF297" s="195"/>
      <c r="BG297" s="195"/>
      <c r="BH297" s="195"/>
      <c r="BI297" s="195"/>
      <c r="BJ297" s="195"/>
      <c r="BK297" s="195"/>
      <c r="BL297" s="195"/>
      <c r="BM297" s="195"/>
    </row>
    <row r="298" spans="1:65" ht="1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t="s">
        <v>821</v>
      </c>
      <c r="AB298" s="195">
        <v>2</v>
      </c>
      <c r="AC298" s="195">
        <f t="shared" si="93"/>
        <v>90</v>
      </c>
      <c r="AD298" s="195">
        <f t="shared" si="94"/>
        <v>10</v>
      </c>
      <c r="AE298" s="195">
        <f t="shared" si="95"/>
        <v>20</v>
      </c>
      <c r="AF298" s="195">
        <f t="shared" si="96"/>
        <v>70</v>
      </c>
      <c r="AG298" s="195">
        <f t="shared" si="97"/>
        <v>10</v>
      </c>
      <c r="AH298" s="195">
        <f t="shared" si="98"/>
        <v>20</v>
      </c>
      <c r="AI298" s="195"/>
      <c r="AJ298" s="195"/>
      <c r="AK298" s="195"/>
      <c r="AL298" s="195"/>
      <c r="AM298" s="195"/>
      <c r="AN298" s="195"/>
      <c r="AO298" s="195"/>
      <c r="AP298" s="195"/>
      <c r="AQ298" s="195"/>
      <c r="AR298" s="195"/>
      <c r="AS298" s="195"/>
      <c r="AT298" s="195"/>
      <c r="AU298" s="195"/>
      <c r="AV298" s="195"/>
      <c r="AW298" s="195"/>
      <c r="AX298" s="195"/>
      <c r="AY298" s="195"/>
      <c r="AZ298" s="195"/>
      <c r="BA298" s="195"/>
      <c r="BB298" s="195"/>
      <c r="BC298" s="195"/>
      <c r="BD298" s="195"/>
      <c r="BE298" s="195"/>
      <c r="BF298" s="195"/>
      <c r="BG298" s="195"/>
      <c r="BH298" s="195"/>
      <c r="BI298" s="195"/>
      <c r="BJ298" s="195"/>
      <c r="BK298" s="195"/>
      <c r="BL298" s="195"/>
      <c r="BM298" s="195"/>
    </row>
    <row r="299" spans="1:65" ht="1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t="s">
        <v>822</v>
      </c>
      <c r="AB299" s="195">
        <v>4</v>
      </c>
      <c r="AC299" s="195">
        <f t="shared" si="93"/>
        <v>50</v>
      </c>
      <c r="AD299" s="195">
        <f t="shared" si="94"/>
        <v>10</v>
      </c>
      <c r="AE299" s="195">
        <f t="shared" si="95"/>
        <v>20</v>
      </c>
      <c r="AF299" s="195">
        <f t="shared" si="96"/>
        <v>50</v>
      </c>
      <c r="AG299" s="195">
        <f t="shared" si="97"/>
        <v>10</v>
      </c>
      <c r="AH299" s="195">
        <f t="shared" si="98"/>
        <v>20</v>
      </c>
      <c r="AI299" s="195"/>
      <c r="AJ299" s="195"/>
      <c r="AK299" s="195"/>
      <c r="AL299" s="195"/>
      <c r="AM299" s="195"/>
      <c r="AN299" s="195"/>
      <c r="AO299" s="195"/>
      <c r="AP299" s="195"/>
      <c r="AQ299" s="195"/>
      <c r="AR299" s="195"/>
      <c r="AS299" s="195"/>
      <c r="AT299" s="195"/>
      <c r="AU299" s="195"/>
      <c r="AV299" s="195"/>
      <c r="AW299" s="195"/>
      <c r="AX299" s="195"/>
      <c r="AY299" s="195"/>
      <c r="AZ299" s="195"/>
      <c r="BA299" s="195"/>
      <c r="BB299" s="195"/>
      <c r="BC299" s="195"/>
      <c r="BD299" s="195"/>
      <c r="BE299" s="195"/>
      <c r="BF299" s="195"/>
      <c r="BG299" s="195"/>
      <c r="BH299" s="195"/>
      <c r="BI299" s="195"/>
      <c r="BJ299" s="195"/>
      <c r="BK299" s="195"/>
      <c r="BL299" s="195"/>
      <c r="BM299" s="195"/>
    </row>
    <row r="300" spans="1:65" ht="1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c r="AA300" s="195" t="s">
        <v>823</v>
      </c>
      <c r="AB300" s="195">
        <v>1</v>
      </c>
      <c r="AC300" s="195">
        <f t="shared" si="93"/>
        <v>115</v>
      </c>
      <c r="AD300" s="195">
        <f t="shared" si="94"/>
        <v>10</v>
      </c>
      <c r="AE300" s="195">
        <f t="shared" si="95"/>
        <v>20</v>
      </c>
      <c r="AF300" s="195">
        <f t="shared" si="96"/>
        <v>95</v>
      </c>
      <c r="AG300" s="195">
        <f t="shared" si="97"/>
        <v>10</v>
      </c>
      <c r="AH300" s="195">
        <f t="shared" si="98"/>
        <v>20</v>
      </c>
      <c r="AI300" s="195"/>
      <c r="AJ300" s="195"/>
      <c r="AK300" s="195"/>
      <c r="AL300" s="195"/>
      <c r="AM300" s="195"/>
      <c r="AN300" s="195"/>
      <c r="AO300" s="195"/>
      <c r="AP300" s="195"/>
      <c r="AQ300" s="195"/>
      <c r="AR300" s="195"/>
      <c r="AS300" s="195"/>
      <c r="AT300" s="195"/>
      <c r="AU300" s="195"/>
      <c r="AV300" s="195"/>
      <c r="AW300" s="195"/>
      <c r="AX300" s="195"/>
      <c r="AY300" s="195"/>
      <c r="AZ300" s="195"/>
      <c r="BA300" s="195"/>
      <c r="BB300" s="195"/>
      <c r="BC300" s="195"/>
      <c r="BD300" s="195"/>
      <c r="BE300" s="195"/>
      <c r="BF300" s="195"/>
      <c r="BG300" s="195"/>
      <c r="BH300" s="195"/>
      <c r="BI300" s="195"/>
      <c r="BJ300" s="195"/>
      <c r="BK300" s="195"/>
      <c r="BL300" s="195"/>
      <c r="BM300" s="195"/>
    </row>
    <row r="301" spans="1:65" ht="1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c r="AA301" s="195" t="s">
        <v>824</v>
      </c>
      <c r="AB301" s="195">
        <v>3</v>
      </c>
      <c r="AC301" s="195">
        <f t="shared" si="93"/>
        <v>70</v>
      </c>
      <c r="AD301" s="195">
        <f t="shared" si="94"/>
        <v>10</v>
      </c>
      <c r="AE301" s="195">
        <f t="shared" si="95"/>
        <v>20</v>
      </c>
      <c r="AF301" s="195">
        <f t="shared" si="96"/>
        <v>60</v>
      </c>
      <c r="AG301" s="195">
        <f t="shared" si="97"/>
        <v>10</v>
      </c>
      <c r="AH301" s="195">
        <f t="shared" si="98"/>
        <v>20</v>
      </c>
      <c r="AI301" s="195"/>
      <c r="AJ301" s="195"/>
      <c r="AK301" s="195"/>
      <c r="AL301" s="195"/>
      <c r="AM301" s="195"/>
      <c r="AN301" s="195"/>
      <c r="AO301" s="195"/>
      <c r="AP301" s="195"/>
      <c r="AQ301" s="195"/>
      <c r="AR301" s="195"/>
      <c r="AS301" s="195"/>
      <c r="AT301" s="195"/>
      <c r="AU301" s="195"/>
      <c r="AV301" s="195"/>
      <c r="AW301" s="195"/>
      <c r="AX301" s="195"/>
      <c r="AY301" s="195"/>
      <c r="AZ301" s="195"/>
      <c r="BA301" s="195"/>
      <c r="BB301" s="195"/>
      <c r="BC301" s="195"/>
      <c r="BD301" s="195"/>
      <c r="BE301" s="195"/>
      <c r="BF301" s="195"/>
      <c r="BG301" s="195"/>
      <c r="BH301" s="195"/>
      <c r="BI301" s="195"/>
      <c r="BJ301" s="195"/>
      <c r="BK301" s="195"/>
      <c r="BL301" s="195"/>
      <c r="BM301" s="195"/>
    </row>
    <row r="302" spans="1:65" ht="1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c r="AA302" s="195" t="s">
        <v>825</v>
      </c>
      <c r="AB302" s="195">
        <v>2</v>
      </c>
      <c r="AC302" s="195">
        <f t="shared" si="93"/>
        <v>90</v>
      </c>
      <c r="AD302" s="195">
        <f t="shared" si="94"/>
        <v>10</v>
      </c>
      <c r="AE302" s="195">
        <f t="shared" si="95"/>
        <v>20</v>
      </c>
      <c r="AF302" s="195">
        <f t="shared" si="96"/>
        <v>70</v>
      </c>
      <c r="AG302" s="195">
        <f t="shared" si="97"/>
        <v>10</v>
      </c>
      <c r="AH302" s="195">
        <f t="shared" si="98"/>
        <v>20</v>
      </c>
      <c r="AI302" s="195"/>
      <c r="AJ302" s="195"/>
      <c r="AK302" s="195"/>
      <c r="AL302" s="195"/>
      <c r="AM302" s="195"/>
      <c r="AN302" s="195"/>
      <c r="AO302" s="195"/>
      <c r="AP302" s="195"/>
      <c r="AQ302" s="195"/>
      <c r="AR302" s="195"/>
      <c r="AS302" s="195"/>
      <c r="AT302" s="195"/>
      <c r="AU302" s="195"/>
      <c r="AV302" s="195"/>
      <c r="AW302" s="195"/>
      <c r="AX302" s="195"/>
      <c r="AY302" s="195"/>
      <c r="AZ302" s="195"/>
      <c r="BA302" s="195"/>
      <c r="BB302" s="195"/>
      <c r="BC302" s="195"/>
      <c r="BD302" s="195"/>
      <c r="BE302" s="195"/>
      <c r="BF302" s="195"/>
      <c r="BG302" s="195"/>
      <c r="BH302" s="195"/>
      <c r="BI302" s="195"/>
      <c r="BJ302" s="195"/>
      <c r="BK302" s="195"/>
      <c r="BL302" s="195"/>
      <c r="BM302" s="195"/>
    </row>
    <row r="303" spans="1:65" ht="1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c r="AA303" s="195" t="s">
        <v>826</v>
      </c>
      <c r="AB303" s="195">
        <v>2</v>
      </c>
      <c r="AC303" s="195">
        <f t="shared" si="93"/>
        <v>90</v>
      </c>
      <c r="AD303" s="195">
        <f t="shared" si="94"/>
        <v>10</v>
      </c>
      <c r="AE303" s="195">
        <f t="shared" si="95"/>
        <v>20</v>
      </c>
      <c r="AF303" s="195">
        <f t="shared" si="96"/>
        <v>70</v>
      </c>
      <c r="AG303" s="195">
        <f t="shared" si="97"/>
        <v>10</v>
      </c>
      <c r="AH303" s="195">
        <f t="shared" si="98"/>
        <v>20</v>
      </c>
      <c r="AI303" s="195"/>
      <c r="AJ303" s="195"/>
      <c r="AK303" s="195"/>
      <c r="AL303" s="195"/>
      <c r="AM303" s="195"/>
      <c r="AN303" s="195"/>
      <c r="AO303" s="195"/>
      <c r="AP303" s="195"/>
      <c r="AQ303" s="195"/>
      <c r="AR303" s="195"/>
      <c r="AS303" s="195"/>
      <c r="AT303" s="195"/>
      <c r="AU303" s="195"/>
      <c r="AV303" s="195"/>
      <c r="AW303" s="195"/>
      <c r="AX303" s="195"/>
      <c r="AY303" s="195"/>
      <c r="AZ303" s="195"/>
      <c r="BA303" s="195"/>
      <c r="BB303" s="195"/>
      <c r="BC303" s="195"/>
      <c r="BD303" s="195"/>
      <c r="BE303" s="195"/>
      <c r="BF303" s="195"/>
      <c r="BG303" s="195"/>
      <c r="BH303" s="195"/>
      <c r="BI303" s="195"/>
      <c r="BJ303" s="195"/>
      <c r="BK303" s="195"/>
      <c r="BL303" s="195"/>
      <c r="BM303" s="195"/>
    </row>
    <row r="304" spans="1:65" ht="1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c r="AA304" s="195" t="s">
        <v>827</v>
      </c>
      <c r="AB304" s="195">
        <v>3</v>
      </c>
      <c r="AC304" s="195">
        <f t="shared" si="93"/>
        <v>70</v>
      </c>
      <c r="AD304" s="195">
        <f t="shared" si="94"/>
        <v>10</v>
      </c>
      <c r="AE304" s="195">
        <f t="shared" si="95"/>
        <v>20</v>
      </c>
      <c r="AF304" s="195">
        <f t="shared" si="96"/>
        <v>60</v>
      </c>
      <c r="AG304" s="195">
        <f t="shared" si="97"/>
        <v>10</v>
      </c>
      <c r="AH304" s="195">
        <f t="shared" si="98"/>
        <v>20</v>
      </c>
      <c r="AI304" s="195"/>
      <c r="AJ304" s="195"/>
      <c r="AK304" s="195"/>
      <c r="AL304" s="195"/>
      <c r="AM304" s="195"/>
      <c r="AN304" s="195"/>
      <c r="AO304" s="195"/>
      <c r="AP304" s="195"/>
      <c r="AQ304" s="195"/>
      <c r="AR304" s="195"/>
      <c r="AS304" s="195"/>
      <c r="AT304" s="195"/>
      <c r="AU304" s="195"/>
      <c r="AV304" s="195"/>
      <c r="AW304" s="195"/>
      <c r="AX304" s="195"/>
      <c r="AY304" s="195"/>
      <c r="AZ304" s="195"/>
      <c r="BA304" s="195"/>
      <c r="BB304" s="195"/>
      <c r="BC304" s="195"/>
      <c r="BD304" s="195"/>
      <c r="BE304" s="195"/>
      <c r="BF304" s="195"/>
      <c r="BG304" s="195"/>
      <c r="BH304" s="195"/>
      <c r="BI304" s="195"/>
      <c r="BJ304" s="195"/>
      <c r="BK304" s="195"/>
      <c r="BL304" s="195"/>
      <c r="BM304" s="195"/>
    </row>
    <row r="305" spans="1:65" ht="1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t="s">
        <v>828</v>
      </c>
      <c r="AB305" s="195">
        <v>1</v>
      </c>
      <c r="AC305" s="195">
        <f t="shared" si="93"/>
        <v>115</v>
      </c>
      <c r="AD305" s="195">
        <f t="shared" si="94"/>
        <v>10</v>
      </c>
      <c r="AE305" s="195">
        <f t="shared" si="95"/>
        <v>20</v>
      </c>
      <c r="AF305" s="195">
        <f t="shared" si="96"/>
        <v>95</v>
      </c>
      <c r="AG305" s="195">
        <f t="shared" si="97"/>
        <v>10</v>
      </c>
      <c r="AH305" s="195">
        <f t="shared" si="98"/>
        <v>20</v>
      </c>
      <c r="AI305" s="195"/>
      <c r="AJ305" s="195"/>
      <c r="AK305" s="195"/>
      <c r="AL305" s="195"/>
      <c r="AM305" s="195"/>
      <c r="AN305" s="195"/>
      <c r="AO305" s="195"/>
      <c r="AP305" s="195"/>
      <c r="AQ305" s="195"/>
      <c r="AR305" s="195"/>
      <c r="AS305" s="195"/>
      <c r="AT305" s="195"/>
      <c r="AU305" s="195"/>
      <c r="AV305" s="195"/>
      <c r="AW305" s="195"/>
      <c r="AX305" s="195"/>
      <c r="AY305" s="195"/>
      <c r="AZ305" s="195"/>
      <c r="BA305" s="195"/>
      <c r="BB305" s="195"/>
      <c r="BC305" s="195"/>
      <c r="BD305" s="195"/>
      <c r="BE305" s="195"/>
      <c r="BF305" s="195"/>
      <c r="BG305" s="195"/>
      <c r="BH305" s="195"/>
      <c r="BI305" s="195"/>
      <c r="BJ305" s="195"/>
      <c r="BK305" s="195"/>
      <c r="BL305" s="195"/>
      <c r="BM305" s="195"/>
    </row>
    <row r="306" spans="1:65" ht="1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c r="AA306" s="195" t="s">
        <v>829</v>
      </c>
      <c r="AB306" s="195">
        <v>3</v>
      </c>
      <c r="AC306" s="195">
        <f t="shared" si="93"/>
        <v>70</v>
      </c>
      <c r="AD306" s="195">
        <f t="shared" si="94"/>
        <v>10</v>
      </c>
      <c r="AE306" s="195">
        <f t="shared" si="95"/>
        <v>20</v>
      </c>
      <c r="AF306" s="195">
        <f t="shared" si="96"/>
        <v>60</v>
      </c>
      <c r="AG306" s="195">
        <f t="shared" si="97"/>
        <v>10</v>
      </c>
      <c r="AH306" s="195">
        <f t="shared" si="98"/>
        <v>20</v>
      </c>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c r="BD306" s="195"/>
      <c r="BE306" s="195"/>
      <c r="BF306" s="195"/>
      <c r="BG306" s="195"/>
      <c r="BH306" s="195"/>
      <c r="BI306" s="195"/>
      <c r="BJ306" s="195"/>
      <c r="BK306" s="195"/>
      <c r="BL306" s="195"/>
      <c r="BM306" s="195"/>
    </row>
    <row r="307" spans="1:65" ht="1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t="s">
        <v>830</v>
      </c>
      <c r="AB307" s="195">
        <v>2</v>
      </c>
      <c r="AC307" s="195">
        <f t="shared" si="93"/>
        <v>90</v>
      </c>
      <c r="AD307" s="195">
        <f t="shared" si="94"/>
        <v>10</v>
      </c>
      <c r="AE307" s="195">
        <f t="shared" si="95"/>
        <v>20</v>
      </c>
      <c r="AF307" s="195">
        <f t="shared" si="96"/>
        <v>70</v>
      </c>
      <c r="AG307" s="195">
        <f t="shared" si="97"/>
        <v>10</v>
      </c>
      <c r="AH307" s="195">
        <f t="shared" si="98"/>
        <v>20</v>
      </c>
      <c r="AI307" s="195"/>
      <c r="AJ307" s="195"/>
      <c r="AK307" s="195"/>
      <c r="AL307" s="195"/>
      <c r="AM307" s="195"/>
      <c r="AN307" s="195"/>
      <c r="AO307" s="195"/>
      <c r="AP307" s="195"/>
      <c r="AQ307" s="195"/>
      <c r="AR307" s="195"/>
      <c r="AS307" s="195"/>
      <c r="AT307" s="195"/>
      <c r="AU307" s="195"/>
      <c r="AV307" s="195"/>
      <c r="AW307" s="195"/>
      <c r="AX307" s="195"/>
      <c r="AY307" s="195"/>
      <c r="AZ307" s="195"/>
      <c r="BA307" s="195"/>
      <c r="BB307" s="195"/>
      <c r="BC307" s="195"/>
      <c r="BD307" s="195"/>
      <c r="BE307" s="195"/>
      <c r="BF307" s="195"/>
      <c r="BG307" s="195"/>
      <c r="BH307" s="195"/>
      <c r="BI307" s="195"/>
      <c r="BJ307" s="195"/>
      <c r="BK307" s="195"/>
      <c r="BL307" s="195"/>
      <c r="BM307" s="195"/>
    </row>
    <row r="308" spans="1:65" ht="1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t="s">
        <v>831</v>
      </c>
      <c r="AB308" s="195">
        <v>3</v>
      </c>
      <c r="AC308" s="195">
        <f t="shared" si="93"/>
        <v>70</v>
      </c>
      <c r="AD308" s="195">
        <f t="shared" si="94"/>
        <v>10</v>
      </c>
      <c r="AE308" s="195">
        <f t="shared" si="95"/>
        <v>20</v>
      </c>
      <c r="AF308" s="195">
        <f t="shared" si="96"/>
        <v>60</v>
      </c>
      <c r="AG308" s="195">
        <f t="shared" si="97"/>
        <v>10</v>
      </c>
      <c r="AH308" s="195">
        <f t="shared" si="98"/>
        <v>20</v>
      </c>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c r="BD308" s="195"/>
      <c r="BE308" s="195"/>
      <c r="BF308" s="195"/>
      <c r="BG308" s="195"/>
      <c r="BH308" s="195"/>
      <c r="BI308" s="195"/>
      <c r="BJ308" s="195"/>
      <c r="BK308" s="195"/>
      <c r="BL308" s="195"/>
      <c r="BM308" s="195"/>
    </row>
    <row r="309" spans="1:65" ht="1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t="s">
        <v>832</v>
      </c>
      <c r="AB309" s="195">
        <v>4</v>
      </c>
      <c r="AC309" s="195">
        <f t="shared" si="93"/>
        <v>50</v>
      </c>
      <c r="AD309" s="195">
        <f t="shared" si="94"/>
        <v>10</v>
      </c>
      <c r="AE309" s="195">
        <f t="shared" si="95"/>
        <v>20</v>
      </c>
      <c r="AF309" s="195">
        <f t="shared" si="96"/>
        <v>50</v>
      </c>
      <c r="AG309" s="195">
        <f t="shared" si="97"/>
        <v>10</v>
      </c>
      <c r="AH309" s="195">
        <f t="shared" si="98"/>
        <v>20</v>
      </c>
      <c r="AI309" s="195"/>
      <c r="AJ309" s="195"/>
      <c r="AK309" s="195"/>
      <c r="AL309" s="195"/>
      <c r="AM309" s="195"/>
      <c r="AN309" s="195"/>
      <c r="AO309" s="195"/>
      <c r="AP309" s="195"/>
      <c r="AQ309" s="195"/>
      <c r="AR309" s="195"/>
      <c r="AS309" s="195"/>
      <c r="AT309" s="195"/>
      <c r="AU309" s="195"/>
      <c r="AV309" s="195"/>
      <c r="AW309" s="195"/>
      <c r="AX309" s="195"/>
      <c r="AY309" s="195"/>
      <c r="AZ309" s="195"/>
      <c r="BA309" s="195"/>
      <c r="BB309" s="195"/>
      <c r="BC309" s="195"/>
      <c r="BD309" s="195"/>
      <c r="BE309" s="195"/>
      <c r="BF309" s="195"/>
      <c r="BG309" s="195"/>
      <c r="BH309" s="195"/>
      <c r="BI309" s="195"/>
      <c r="BJ309" s="195"/>
      <c r="BK309" s="195"/>
      <c r="BL309" s="195"/>
      <c r="BM309" s="195"/>
    </row>
    <row r="310" spans="1:65" ht="1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t="s">
        <v>833</v>
      </c>
      <c r="AB310" s="195">
        <v>4</v>
      </c>
      <c r="AC310" s="195">
        <f t="shared" si="93"/>
        <v>50</v>
      </c>
      <c r="AD310" s="195">
        <f t="shared" si="94"/>
        <v>10</v>
      </c>
      <c r="AE310" s="195">
        <f t="shared" si="95"/>
        <v>20</v>
      </c>
      <c r="AF310" s="195">
        <f t="shared" si="96"/>
        <v>50</v>
      </c>
      <c r="AG310" s="195">
        <f t="shared" si="97"/>
        <v>10</v>
      </c>
      <c r="AH310" s="195">
        <f t="shared" si="98"/>
        <v>20</v>
      </c>
      <c r="AI310" s="195"/>
      <c r="AJ310" s="195"/>
      <c r="AK310" s="195"/>
      <c r="AL310" s="195"/>
      <c r="AM310" s="195"/>
      <c r="AN310" s="195"/>
      <c r="AO310" s="195"/>
      <c r="AP310" s="195"/>
      <c r="AQ310" s="195"/>
      <c r="AR310" s="195"/>
      <c r="AS310" s="195"/>
      <c r="AT310" s="195"/>
      <c r="AU310" s="195"/>
      <c r="AV310" s="195"/>
      <c r="AW310" s="195"/>
      <c r="AX310" s="195"/>
      <c r="AY310" s="195"/>
      <c r="AZ310" s="195"/>
      <c r="BA310" s="195"/>
      <c r="BB310" s="195"/>
      <c r="BC310" s="195"/>
      <c r="BD310" s="195"/>
      <c r="BE310" s="195"/>
      <c r="BF310" s="195"/>
      <c r="BG310" s="195"/>
      <c r="BH310" s="195"/>
      <c r="BI310" s="195"/>
      <c r="BJ310" s="195"/>
      <c r="BK310" s="195"/>
      <c r="BL310" s="195"/>
      <c r="BM310" s="195"/>
    </row>
    <row r="311" spans="1:65" ht="1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c r="AA311" s="195" t="s">
        <v>834</v>
      </c>
      <c r="AB311" s="195">
        <v>4</v>
      </c>
      <c r="AC311" s="195">
        <f t="shared" si="93"/>
        <v>50</v>
      </c>
      <c r="AD311" s="195">
        <f t="shared" si="94"/>
        <v>10</v>
      </c>
      <c r="AE311" s="195">
        <f t="shared" si="95"/>
        <v>20</v>
      </c>
      <c r="AF311" s="195">
        <f t="shared" si="96"/>
        <v>50</v>
      </c>
      <c r="AG311" s="195">
        <f t="shared" si="97"/>
        <v>10</v>
      </c>
      <c r="AH311" s="195">
        <f t="shared" si="98"/>
        <v>20</v>
      </c>
      <c r="AI311" s="195"/>
      <c r="AJ311" s="195"/>
      <c r="AK311" s="195"/>
      <c r="AL311" s="195"/>
      <c r="AM311" s="195"/>
      <c r="AN311" s="195"/>
      <c r="AO311" s="195"/>
      <c r="AP311" s="195"/>
      <c r="AQ311" s="195"/>
      <c r="AR311" s="195"/>
      <c r="AS311" s="195"/>
      <c r="AT311" s="195"/>
      <c r="AU311" s="195"/>
      <c r="AV311" s="195"/>
      <c r="AW311" s="195"/>
      <c r="AX311" s="195"/>
      <c r="AY311" s="195"/>
      <c r="AZ311" s="195"/>
      <c r="BA311" s="195"/>
      <c r="BB311" s="195"/>
      <c r="BC311" s="195"/>
      <c r="BD311" s="195"/>
      <c r="BE311" s="195"/>
      <c r="BF311" s="195"/>
      <c r="BG311" s="195"/>
      <c r="BH311" s="195"/>
      <c r="BI311" s="195"/>
      <c r="BJ311" s="195"/>
      <c r="BK311" s="195"/>
      <c r="BL311" s="195"/>
      <c r="BM311" s="195"/>
    </row>
    <row r="312" spans="1:65" ht="1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c r="AA312" s="195" t="s">
        <v>835</v>
      </c>
      <c r="AB312" s="195">
        <v>3</v>
      </c>
      <c r="AC312" s="195">
        <f t="shared" si="93"/>
        <v>70</v>
      </c>
      <c r="AD312" s="195">
        <f t="shared" si="94"/>
        <v>10</v>
      </c>
      <c r="AE312" s="195">
        <f t="shared" si="95"/>
        <v>20</v>
      </c>
      <c r="AF312" s="195">
        <f t="shared" si="96"/>
        <v>60</v>
      </c>
      <c r="AG312" s="195">
        <f t="shared" si="97"/>
        <v>10</v>
      </c>
      <c r="AH312" s="195">
        <f t="shared" si="98"/>
        <v>20</v>
      </c>
      <c r="AI312" s="195"/>
      <c r="AJ312" s="195"/>
      <c r="AK312" s="195"/>
      <c r="AL312" s="195"/>
      <c r="AM312" s="195"/>
      <c r="AN312" s="195"/>
      <c r="AO312" s="195"/>
      <c r="AP312" s="195"/>
      <c r="AQ312" s="195"/>
      <c r="AR312" s="195"/>
      <c r="AS312" s="195"/>
      <c r="AT312" s="195"/>
      <c r="AU312" s="195"/>
      <c r="AV312" s="195"/>
      <c r="AW312" s="195"/>
      <c r="AX312" s="195"/>
      <c r="AY312" s="195"/>
      <c r="AZ312" s="195"/>
      <c r="BA312" s="195"/>
      <c r="BB312" s="195"/>
      <c r="BC312" s="195"/>
      <c r="BD312" s="195"/>
      <c r="BE312" s="195"/>
      <c r="BF312" s="195"/>
      <c r="BG312" s="195"/>
      <c r="BH312" s="195"/>
      <c r="BI312" s="195"/>
      <c r="BJ312" s="195"/>
      <c r="BK312" s="195"/>
      <c r="BL312" s="195"/>
      <c r="BM312" s="195"/>
    </row>
    <row r="313" spans="1:65" ht="1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c r="AA313" s="195" t="s">
        <v>836</v>
      </c>
      <c r="AB313" s="195">
        <v>2</v>
      </c>
      <c r="AC313" s="195">
        <f t="shared" si="93"/>
        <v>90</v>
      </c>
      <c r="AD313" s="195">
        <f t="shared" si="94"/>
        <v>10</v>
      </c>
      <c r="AE313" s="195">
        <f t="shared" si="95"/>
        <v>20</v>
      </c>
      <c r="AF313" s="195">
        <f t="shared" si="96"/>
        <v>70</v>
      </c>
      <c r="AG313" s="195">
        <f t="shared" si="97"/>
        <v>10</v>
      </c>
      <c r="AH313" s="195">
        <f t="shared" si="98"/>
        <v>20</v>
      </c>
      <c r="AI313" s="195"/>
      <c r="AJ313" s="195"/>
      <c r="AK313" s="195"/>
      <c r="AL313" s="195"/>
      <c r="AM313" s="195"/>
      <c r="AN313" s="195"/>
      <c r="AO313" s="195"/>
      <c r="AP313" s="195"/>
      <c r="AQ313" s="195"/>
      <c r="AR313" s="195"/>
      <c r="AS313" s="195"/>
      <c r="AT313" s="195"/>
      <c r="AU313" s="195"/>
      <c r="AV313" s="195"/>
      <c r="AW313" s="195"/>
      <c r="AX313" s="195"/>
      <c r="AY313" s="195"/>
      <c r="AZ313" s="195"/>
      <c r="BA313" s="195"/>
      <c r="BB313" s="195"/>
      <c r="BC313" s="195"/>
      <c r="BD313" s="195"/>
      <c r="BE313" s="195"/>
      <c r="BF313" s="195"/>
      <c r="BG313" s="195"/>
      <c r="BH313" s="195"/>
      <c r="BI313" s="195"/>
      <c r="BJ313" s="195"/>
      <c r="BK313" s="195"/>
      <c r="BL313" s="195"/>
      <c r="BM313" s="195"/>
    </row>
    <row r="314" spans="1:65" ht="1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c r="AA314" s="195" t="s">
        <v>837</v>
      </c>
      <c r="AB314" s="195">
        <v>2</v>
      </c>
      <c r="AC314" s="195">
        <f t="shared" si="93"/>
        <v>90</v>
      </c>
      <c r="AD314" s="195">
        <f t="shared" si="94"/>
        <v>10</v>
      </c>
      <c r="AE314" s="195">
        <f t="shared" si="95"/>
        <v>20</v>
      </c>
      <c r="AF314" s="195">
        <f t="shared" si="96"/>
        <v>70</v>
      </c>
      <c r="AG314" s="195">
        <f t="shared" si="97"/>
        <v>10</v>
      </c>
      <c r="AH314" s="195">
        <f t="shared" si="98"/>
        <v>20</v>
      </c>
      <c r="AI314" s="195"/>
      <c r="AJ314" s="195"/>
      <c r="AK314" s="195"/>
      <c r="AL314" s="195"/>
      <c r="AM314" s="195"/>
      <c r="AN314" s="195"/>
      <c r="AO314" s="195"/>
      <c r="AP314" s="195"/>
      <c r="AQ314" s="195"/>
      <c r="AR314" s="195"/>
      <c r="AS314" s="195"/>
      <c r="AT314" s="195"/>
      <c r="AU314" s="195"/>
      <c r="AV314" s="195"/>
      <c r="AW314" s="195"/>
      <c r="AX314" s="195"/>
      <c r="AY314" s="195"/>
      <c r="AZ314" s="195"/>
      <c r="BA314" s="195"/>
      <c r="BB314" s="195"/>
      <c r="BC314" s="195"/>
      <c r="BD314" s="195"/>
      <c r="BE314" s="195"/>
      <c r="BF314" s="195"/>
      <c r="BG314" s="195"/>
      <c r="BH314" s="195"/>
      <c r="BI314" s="195"/>
      <c r="BJ314" s="195"/>
      <c r="BK314" s="195"/>
      <c r="BL314" s="195"/>
      <c r="BM314" s="195"/>
    </row>
    <row r="315" spans="1:65" ht="1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c r="AA315" s="195" t="s">
        <v>838</v>
      </c>
      <c r="AB315" s="195">
        <v>1</v>
      </c>
      <c r="AC315" s="195">
        <f t="shared" si="93"/>
        <v>115</v>
      </c>
      <c r="AD315" s="195">
        <f t="shared" si="94"/>
        <v>10</v>
      </c>
      <c r="AE315" s="195">
        <f t="shared" si="95"/>
        <v>20</v>
      </c>
      <c r="AF315" s="195">
        <f t="shared" si="96"/>
        <v>95</v>
      </c>
      <c r="AG315" s="195">
        <f t="shared" si="97"/>
        <v>10</v>
      </c>
      <c r="AH315" s="195">
        <f t="shared" si="98"/>
        <v>20</v>
      </c>
      <c r="AI315" s="195"/>
      <c r="AJ315" s="195"/>
      <c r="AK315" s="195"/>
      <c r="AL315" s="195"/>
      <c r="AM315" s="195"/>
      <c r="AN315" s="195"/>
      <c r="AO315" s="195"/>
      <c r="AP315" s="195"/>
      <c r="AQ315" s="195"/>
      <c r="AR315" s="195"/>
      <c r="AS315" s="195"/>
      <c r="AT315" s="195"/>
      <c r="AU315" s="195"/>
      <c r="AV315" s="195"/>
      <c r="AW315" s="195"/>
      <c r="AX315" s="195"/>
      <c r="AY315" s="195"/>
      <c r="AZ315" s="195"/>
      <c r="BA315" s="195"/>
      <c r="BB315" s="195"/>
      <c r="BC315" s="195"/>
      <c r="BD315" s="195"/>
      <c r="BE315" s="195"/>
      <c r="BF315" s="195"/>
      <c r="BG315" s="195"/>
      <c r="BH315" s="195"/>
      <c r="BI315" s="195"/>
      <c r="BJ315" s="195"/>
      <c r="BK315" s="195"/>
      <c r="BL315" s="195"/>
      <c r="BM315" s="195"/>
    </row>
    <row r="316" spans="1:65" ht="1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c r="AA316" s="195" t="s">
        <v>839</v>
      </c>
      <c r="AB316" s="195">
        <v>1</v>
      </c>
      <c r="AC316" s="195">
        <f t="shared" si="93"/>
        <v>115</v>
      </c>
      <c r="AD316" s="195">
        <f t="shared" si="94"/>
        <v>10</v>
      </c>
      <c r="AE316" s="195">
        <f t="shared" si="95"/>
        <v>20</v>
      </c>
      <c r="AF316" s="195">
        <f t="shared" si="96"/>
        <v>95</v>
      </c>
      <c r="AG316" s="195">
        <f t="shared" si="97"/>
        <v>10</v>
      </c>
      <c r="AH316" s="195">
        <f t="shared" si="98"/>
        <v>20</v>
      </c>
      <c r="AI316" s="195"/>
      <c r="AJ316" s="195"/>
      <c r="AK316" s="195"/>
      <c r="AL316" s="195"/>
      <c r="AM316" s="195"/>
      <c r="AN316" s="195"/>
      <c r="AO316" s="195"/>
      <c r="AP316" s="195"/>
      <c r="AQ316" s="195"/>
      <c r="AR316" s="195"/>
      <c r="AS316" s="195"/>
      <c r="AT316" s="195"/>
      <c r="AU316" s="195"/>
      <c r="AV316" s="195"/>
      <c r="AW316" s="195"/>
      <c r="AX316" s="195"/>
      <c r="AY316" s="195"/>
      <c r="AZ316" s="195"/>
      <c r="BA316" s="195"/>
      <c r="BB316" s="195"/>
      <c r="BC316" s="195"/>
      <c r="BD316" s="195"/>
      <c r="BE316" s="195"/>
      <c r="BF316" s="195"/>
      <c r="BG316" s="195"/>
      <c r="BH316" s="195"/>
      <c r="BI316" s="195"/>
      <c r="BJ316" s="195"/>
      <c r="BK316" s="195"/>
      <c r="BL316" s="195"/>
      <c r="BM316" s="195"/>
    </row>
    <row r="317" spans="1:65" ht="1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c r="AA317" s="195" t="s">
        <v>840</v>
      </c>
      <c r="AB317" s="195">
        <v>3</v>
      </c>
      <c r="AC317" s="195">
        <f t="shared" si="93"/>
        <v>70</v>
      </c>
      <c r="AD317" s="195">
        <f t="shared" si="94"/>
        <v>10</v>
      </c>
      <c r="AE317" s="195">
        <f t="shared" si="95"/>
        <v>20</v>
      </c>
      <c r="AF317" s="195">
        <f t="shared" si="96"/>
        <v>60</v>
      </c>
      <c r="AG317" s="195">
        <f t="shared" si="97"/>
        <v>10</v>
      </c>
      <c r="AH317" s="195">
        <f t="shared" si="98"/>
        <v>20</v>
      </c>
      <c r="AI317" s="195"/>
      <c r="AJ317" s="195"/>
      <c r="AK317" s="195"/>
      <c r="AL317" s="195"/>
      <c r="AM317" s="195"/>
      <c r="AN317" s="195"/>
      <c r="AO317" s="195"/>
      <c r="AP317" s="195"/>
      <c r="AQ317" s="195"/>
      <c r="AR317" s="195"/>
      <c r="AS317" s="195"/>
      <c r="AT317" s="195"/>
      <c r="AU317" s="195"/>
      <c r="AV317" s="195"/>
      <c r="AW317" s="195"/>
      <c r="AX317" s="195"/>
      <c r="AY317" s="195"/>
      <c r="AZ317" s="195"/>
      <c r="BA317" s="195"/>
      <c r="BB317" s="195"/>
      <c r="BC317" s="195"/>
      <c r="BD317" s="195"/>
      <c r="BE317" s="195"/>
      <c r="BF317" s="195"/>
      <c r="BG317" s="195"/>
      <c r="BH317" s="195"/>
      <c r="BI317" s="195"/>
      <c r="BJ317" s="195"/>
      <c r="BK317" s="195"/>
      <c r="BL317" s="195"/>
      <c r="BM317" s="195"/>
    </row>
    <row r="318" spans="1:65" ht="1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t="s">
        <v>841</v>
      </c>
      <c r="AB318" s="195">
        <v>2</v>
      </c>
      <c r="AC318" s="195">
        <f t="shared" si="93"/>
        <v>90</v>
      </c>
      <c r="AD318" s="195">
        <f t="shared" si="94"/>
        <v>10</v>
      </c>
      <c r="AE318" s="195">
        <f t="shared" si="95"/>
        <v>20</v>
      </c>
      <c r="AF318" s="195">
        <f t="shared" si="96"/>
        <v>70</v>
      </c>
      <c r="AG318" s="195">
        <f t="shared" si="97"/>
        <v>10</v>
      </c>
      <c r="AH318" s="195">
        <f t="shared" si="98"/>
        <v>20</v>
      </c>
      <c r="AI318" s="195"/>
      <c r="AJ318" s="195"/>
      <c r="AK318" s="195"/>
      <c r="AL318" s="195"/>
      <c r="AM318" s="195"/>
      <c r="AN318" s="195"/>
      <c r="AO318" s="195"/>
      <c r="AP318" s="195"/>
      <c r="AQ318" s="195"/>
      <c r="AR318" s="195"/>
      <c r="AS318" s="195"/>
      <c r="AT318" s="195"/>
      <c r="AU318" s="195"/>
      <c r="AV318" s="195"/>
      <c r="AW318" s="195"/>
      <c r="AX318" s="195"/>
      <c r="AY318" s="195"/>
      <c r="AZ318" s="195"/>
      <c r="BA318" s="195"/>
      <c r="BB318" s="195"/>
      <c r="BC318" s="195"/>
      <c r="BD318" s="195"/>
      <c r="BE318" s="195"/>
      <c r="BF318" s="195"/>
      <c r="BG318" s="195"/>
      <c r="BH318" s="195"/>
      <c r="BI318" s="195"/>
      <c r="BJ318" s="195"/>
      <c r="BK318" s="195"/>
      <c r="BL318" s="195"/>
      <c r="BM318" s="195"/>
    </row>
    <row r="319" spans="1:65" ht="1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c r="Z319" s="195"/>
      <c r="AA319" s="195" t="s">
        <v>842</v>
      </c>
      <c r="AB319" s="195">
        <v>4</v>
      </c>
      <c r="AC319" s="195">
        <f t="shared" si="93"/>
        <v>50</v>
      </c>
      <c r="AD319" s="195">
        <f t="shared" si="94"/>
        <v>10</v>
      </c>
      <c r="AE319" s="195">
        <f t="shared" si="95"/>
        <v>20</v>
      </c>
      <c r="AF319" s="195">
        <f t="shared" si="96"/>
        <v>50</v>
      </c>
      <c r="AG319" s="195">
        <f t="shared" si="97"/>
        <v>10</v>
      </c>
      <c r="AH319" s="195">
        <f t="shared" si="98"/>
        <v>20</v>
      </c>
      <c r="AI319" s="195"/>
      <c r="AJ319" s="195"/>
      <c r="AK319" s="195"/>
      <c r="AL319" s="195"/>
      <c r="AM319" s="195"/>
      <c r="AN319" s="195"/>
      <c r="AO319" s="195"/>
      <c r="AP319" s="195"/>
      <c r="AQ319" s="195"/>
      <c r="AR319" s="195"/>
      <c r="AS319" s="195"/>
      <c r="AT319" s="195"/>
      <c r="AU319" s="195"/>
      <c r="AV319" s="195"/>
      <c r="AW319" s="195"/>
      <c r="AX319" s="195"/>
      <c r="AY319" s="195"/>
      <c r="AZ319" s="195"/>
      <c r="BA319" s="195"/>
      <c r="BB319" s="195"/>
      <c r="BC319" s="195"/>
      <c r="BD319" s="195"/>
      <c r="BE319" s="195"/>
      <c r="BF319" s="195"/>
      <c r="BG319" s="195"/>
      <c r="BH319" s="195"/>
      <c r="BI319" s="195"/>
      <c r="BJ319" s="195"/>
      <c r="BK319" s="195"/>
      <c r="BL319" s="195"/>
      <c r="BM319" s="195"/>
    </row>
    <row r="320" spans="1:65" ht="1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c r="Z320" s="195"/>
      <c r="AA320" s="195" t="s">
        <v>843</v>
      </c>
      <c r="AB320" s="195">
        <v>4</v>
      </c>
      <c r="AC320" s="195">
        <f t="shared" si="93"/>
        <v>50</v>
      </c>
      <c r="AD320" s="195">
        <f t="shared" si="94"/>
        <v>10</v>
      </c>
      <c r="AE320" s="195">
        <f t="shared" si="95"/>
        <v>20</v>
      </c>
      <c r="AF320" s="195">
        <f t="shared" si="96"/>
        <v>50</v>
      </c>
      <c r="AG320" s="195">
        <f t="shared" si="97"/>
        <v>10</v>
      </c>
      <c r="AH320" s="195">
        <f t="shared" si="98"/>
        <v>20</v>
      </c>
      <c r="AI320" s="195"/>
      <c r="AJ320" s="195"/>
      <c r="AK320" s="195"/>
      <c r="AL320" s="195"/>
      <c r="AM320" s="195"/>
      <c r="AN320" s="195"/>
      <c r="AO320" s="195"/>
      <c r="AP320" s="195"/>
      <c r="AQ320" s="195"/>
      <c r="AR320" s="195"/>
      <c r="AS320" s="195"/>
      <c r="AT320" s="195"/>
      <c r="AU320" s="195"/>
      <c r="AV320" s="195"/>
      <c r="AW320" s="195"/>
      <c r="AX320" s="195"/>
      <c r="AY320" s="195"/>
      <c r="AZ320" s="195"/>
      <c r="BA320" s="195"/>
      <c r="BB320" s="195"/>
      <c r="BC320" s="195"/>
      <c r="BD320" s="195"/>
      <c r="BE320" s="195"/>
      <c r="BF320" s="195"/>
      <c r="BG320" s="195"/>
      <c r="BH320" s="195"/>
      <c r="BI320" s="195"/>
      <c r="BJ320" s="195"/>
      <c r="BK320" s="195"/>
      <c r="BL320" s="195"/>
      <c r="BM320" s="195"/>
    </row>
    <row r="321" spans="1:65" ht="1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c r="AA321" s="195" t="s">
        <v>844</v>
      </c>
      <c r="AB321" s="195">
        <v>2</v>
      </c>
      <c r="AC321" s="195">
        <f t="shared" si="93"/>
        <v>90</v>
      </c>
      <c r="AD321" s="195">
        <f t="shared" si="94"/>
        <v>10</v>
      </c>
      <c r="AE321" s="195">
        <f t="shared" si="95"/>
        <v>20</v>
      </c>
      <c r="AF321" s="195">
        <f t="shared" si="96"/>
        <v>70</v>
      </c>
      <c r="AG321" s="195">
        <f t="shared" si="97"/>
        <v>10</v>
      </c>
      <c r="AH321" s="195">
        <f t="shared" si="98"/>
        <v>20</v>
      </c>
      <c r="AI321" s="195"/>
      <c r="AJ321" s="195"/>
      <c r="AK321" s="195"/>
      <c r="AL321" s="195"/>
      <c r="AM321" s="195"/>
      <c r="AN321" s="195"/>
      <c r="AO321" s="195"/>
      <c r="AP321" s="195"/>
      <c r="AQ321" s="195"/>
      <c r="AR321" s="195"/>
      <c r="AS321" s="195"/>
      <c r="AT321" s="195"/>
      <c r="AU321" s="195"/>
      <c r="AV321" s="195"/>
      <c r="AW321" s="195"/>
      <c r="AX321" s="195"/>
      <c r="AY321" s="195"/>
      <c r="AZ321" s="195"/>
      <c r="BA321" s="195"/>
      <c r="BB321" s="195"/>
      <c r="BC321" s="195"/>
      <c r="BD321" s="195"/>
      <c r="BE321" s="195"/>
      <c r="BF321" s="195"/>
      <c r="BG321" s="195"/>
      <c r="BH321" s="195"/>
      <c r="BI321" s="195"/>
      <c r="BJ321" s="195"/>
      <c r="BK321" s="195"/>
      <c r="BL321" s="195"/>
      <c r="BM321" s="195"/>
    </row>
    <row r="322" spans="1:65" ht="1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c r="AA322" s="195" t="s">
        <v>845</v>
      </c>
      <c r="AB322" s="195">
        <v>2</v>
      </c>
      <c r="AC322" s="195">
        <f t="shared" si="93"/>
        <v>90</v>
      </c>
      <c r="AD322" s="195">
        <f t="shared" si="94"/>
        <v>10</v>
      </c>
      <c r="AE322" s="195">
        <f t="shared" si="95"/>
        <v>20</v>
      </c>
      <c r="AF322" s="195">
        <f t="shared" si="96"/>
        <v>70</v>
      </c>
      <c r="AG322" s="195">
        <f t="shared" si="97"/>
        <v>10</v>
      </c>
      <c r="AH322" s="195">
        <f t="shared" si="98"/>
        <v>20</v>
      </c>
      <c r="AI322" s="195"/>
      <c r="AJ322" s="195"/>
      <c r="AK322" s="195"/>
      <c r="AL322" s="195"/>
      <c r="AM322" s="195"/>
      <c r="AN322" s="195"/>
      <c r="AO322" s="195"/>
      <c r="AP322" s="195"/>
      <c r="AQ322" s="195"/>
      <c r="AR322" s="195"/>
      <c r="AS322" s="195"/>
      <c r="AT322" s="195"/>
      <c r="AU322" s="195"/>
      <c r="AV322" s="195"/>
      <c r="AW322" s="195"/>
      <c r="AX322" s="195"/>
      <c r="AY322" s="195"/>
      <c r="AZ322" s="195"/>
      <c r="BA322" s="195"/>
      <c r="BB322" s="195"/>
      <c r="BC322" s="195"/>
      <c r="BD322" s="195"/>
      <c r="BE322" s="195"/>
      <c r="BF322" s="195"/>
      <c r="BG322" s="195"/>
      <c r="BH322" s="195"/>
      <c r="BI322" s="195"/>
      <c r="BJ322" s="195"/>
      <c r="BK322" s="195"/>
      <c r="BL322" s="195"/>
      <c r="BM322" s="195"/>
    </row>
    <row r="323" spans="1:65" ht="1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c r="Z323" s="195"/>
      <c r="AA323" s="195" t="s">
        <v>846</v>
      </c>
      <c r="AB323" s="195">
        <v>4</v>
      </c>
      <c r="AC323" s="195">
        <f t="shared" si="93"/>
        <v>50</v>
      </c>
      <c r="AD323" s="195">
        <f t="shared" si="94"/>
        <v>10</v>
      </c>
      <c r="AE323" s="195">
        <f t="shared" si="95"/>
        <v>20</v>
      </c>
      <c r="AF323" s="195">
        <f t="shared" si="96"/>
        <v>50</v>
      </c>
      <c r="AG323" s="195">
        <f t="shared" si="97"/>
        <v>10</v>
      </c>
      <c r="AH323" s="195">
        <f t="shared" si="98"/>
        <v>20</v>
      </c>
      <c r="AI323" s="195"/>
      <c r="AJ323" s="195"/>
      <c r="AK323" s="195"/>
      <c r="AL323" s="195"/>
      <c r="AM323" s="195"/>
      <c r="AN323" s="195"/>
      <c r="AO323" s="195"/>
      <c r="AP323" s="195"/>
      <c r="AQ323" s="195"/>
      <c r="AR323" s="195"/>
      <c r="AS323" s="195"/>
      <c r="AT323" s="195"/>
      <c r="AU323" s="195"/>
      <c r="AV323" s="195"/>
      <c r="AW323" s="195"/>
      <c r="AX323" s="195"/>
      <c r="AY323" s="195"/>
      <c r="AZ323" s="195"/>
      <c r="BA323" s="195"/>
      <c r="BB323" s="195"/>
      <c r="BC323" s="195"/>
      <c r="BD323" s="195"/>
      <c r="BE323" s="195"/>
      <c r="BF323" s="195"/>
      <c r="BG323" s="195"/>
      <c r="BH323" s="195"/>
      <c r="BI323" s="195"/>
      <c r="BJ323" s="195"/>
      <c r="BK323" s="195"/>
      <c r="BL323" s="195"/>
      <c r="BM323" s="195"/>
    </row>
    <row r="324" spans="1:65" ht="1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c r="AA324" s="195" t="s">
        <v>847</v>
      </c>
      <c r="AB324" s="195">
        <v>3</v>
      </c>
      <c r="AC324" s="195">
        <f aca="true" t="shared" si="99" ref="AC324:AC355">VLOOKUP(AB324,$AA$199:$AD$202,2)</f>
        <v>70</v>
      </c>
      <c r="AD324" s="195">
        <f aca="true" t="shared" si="100" ref="AD324:AD355">VLOOKUP(AC324,$AA$199:$AD$202,3)</f>
        <v>10</v>
      </c>
      <c r="AE324" s="195">
        <f aca="true" t="shared" si="101" ref="AE324:AE355">VLOOKUP(AD324,$AA$199:$AD$202,4)</f>
        <v>20</v>
      </c>
      <c r="AF324" s="195">
        <f aca="true" t="shared" si="102" ref="AF324:AF355">VLOOKUP($AB324,$AF$199:$AI$202,2)</f>
        <v>60</v>
      </c>
      <c r="AG324" s="195">
        <f aca="true" t="shared" si="103" ref="AG324:AG355">VLOOKUP($AB324,$AF$199:$AI$202,3)</f>
        <v>10</v>
      </c>
      <c r="AH324" s="195">
        <f aca="true" t="shared" si="104" ref="AH324:AH355">VLOOKUP($AB324,$AF$199:$AI$202,4)</f>
        <v>20</v>
      </c>
      <c r="AI324" s="195"/>
      <c r="AJ324" s="195"/>
      <c r="AK324" s="195"/>
      <c r="AL324" s="195"/>
      <c r="AM324" s="195"/>
      <c r="AN324" s="195"/>
      <c r="AO324" s="195"/>
      <c r="AP324" s="195"/>
      <c r="AQ324" s="195"/>
      <c r="AR324" s="195"/>
      <c r="AS324" s="195"/>
      <c r="AT324" s="195"/>
      <c r="AU324" s="195"/>
      <c r="AV324" s="195"/>
      <c r="AW324" s="195"/>
      <c r="AX324" s="195"/>
      <c r="AY324" s="195"/>
      <c r="AZ324" s="195"/>
      <c r="BA324" s="195"/>
      <c r="BB324" s="195"/>
      <c r="BC324" s="195"/>
      <c r="BD324" s="195"/>
      <c r="BE324" s="195"/>
      <c r="BF324" s="195"/>
      <c r="BG324" s="195"/>
      <c r="BH324" s="195"/>
      <c r="BI324" s="195"/>
      <c r="BJ324" s="195"/>
      <c r="BK324" s="195"/>
      <c r="BL324" s="195"/>
      <c r="BM324" s="195"/>
    </row>
    <row r="325" spans="1:65" ht="1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c r="AA325" s="195" t="s">
        <v>848</v>
      </c>
      <c r="AB325" s="195">
        <v>4</v>
      </c>
      <c r="AC325" s="195">
        <f t="shared" si="99"/>
        <v>50</v>
      </c>
      <c r="AD325" s="195">
        <f t="shared" si="100"/>
        <v>10</v>
      </c>
      <c r="AE325" s="195">
        <f t="shared" si="101"/>
        <v>20</v>
      </c>
      <c r="AF325" s="195">
        <f t="shared" si="102"/>
        <v>50</v>
      </c>
      <c r="AG325" s="195">
        <f t="shared" si="103"/>
        <v>10</v>
      </c>
      <c r="AH325" s="195">
        <f t="shared" si="104"/>
        <v>20</v>
      </c>
      <c r="AI325" s="195"/>
      <c r="AJ325" s="195"/>
      <c r="AK325" s="195"/>
      <c r="AL325" s="195"/>
      <c r="AM325" s="195"/>
      <c r="AN325" s="195"/>
      <c r="AO325" s="195"/>
      <c r="AP325" s="195"/>
      <c r="AQ325" s="195"/>
      <c r="AR325" s="195"/>
      <c r="AS325" s="195"/>
      <c r="AT325" s="195"/>
      <c r="AU325" s="195"/>
      <c r="AV325" s="195"/>
      <c r="AW325" s="195"/>
      <c r="AX325" s="195"/>
      <c r="AY325" s="195"/>
      <c r="AZ325" s="195"/>
      <c r="BA325" s="195"/>
      <c r="BB325" s="195"/>
      <c r="BC325" s="195"/>
      <c r="BD325" s="195"/>
      <c r="BE325" s="195"/>
      <c r="BF325" s="195"/>
      <c r="BG325" s="195"/>
      <c r="BH325" s="195"/>
      <c r="BI325" s="195"/>
      <c r="BJ325" s="195"/>
      <c r="BK325" s="195"/>
      <c r="BL325" s="195"/>
      <c r="BM325" s="195"/>
    </row>
    <row r="326" spans="1:65" ht="1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c r="AA326" s="195" t="s">
        <v>849</v>
      </c>
      <c r="AB326" s="195">
        <v>4</v>
      </c>
      <c r="AC326" s="195">
        <f t="shared" si="99"/>
        <v>50</v>
      </c>
      <c r="AD326" s="195">
        <f t="shared" si="100"/>
        <v>10</v>
      </c>
      <c r="AE326" s="195">
        <f t="shared" si="101"/>
        <v>20</v>
      </c>
      <c r="AF326" s="195">
        <f t="shared" si="102"/>
        <v>50</v>
      </c>
      <c r="AG326" s="195">
        <f t="shared" si="103"/>
        <v>10</v>
      </c>
      <c r="AH326" s="195">
        <f t="shared" si="104"/>
        <v>20</v>
      </c>
      <c r="AI326" s="195"/>
      <c r="AJ326" s="195"/>
      <c r="AK326" s="195"/>
      <c r="AL326" s="195"/>
      <c r="AM326" s="195"/>
      <c r="AN326" s="195"/>
      <c r="AO326" s="195"/>
      <c r="AP326" s="195"/>
      <c r="AQ326" s="195"/>
      <c r="AR326" s="195"/>
      <c r="AS326" s="195"/>
      <c r="AT326" s="195"/>
      <c r="AU326" s="195"/>
      <c r="AV326" s="195"/>
      <c r="AW326" s="195"/>
      <c r="AX326" s="195"/>
      <c r="AY326" s="195"/>
      <c r="AZ326" s="195"/>
      <c r="BA326" s="195"/>
      <c r="BB326" s="195"/>
      <c r="BC326" s="195"/>
      <c r="BD326" s="195"/>
      <c r="BE326" s="195"/>
      <c r="BF326" s="195"/>
      <c r="BG326" s="195"/>
      <c r="BH326" s="195"/>
      <c r="BI326" s="195"/>
      <c r="BJ326" s="195"/>
      <c r="BK326" s="195"/>
      <c r="BL326" s="195"/>
      <c r="BM326" s="195"/>
    </row>
    <row r="327" spans="1:65" ht="1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c r="AA327" s="195" t="s">
        <v>850</v>
      </c>
      <c r="AB327" s="195">
        <v>3</v>
      </c>
      <c r="AC327" s="195">
        <f t="shared" si="99"/>
        <v>70</v>
      </c>
      <c r="AD327" s="195">
        <f t="shared" si="100"/>
        <v>10</v>
      </c>
      <c r="AE327" s="195">
        <f t="shared" si="101"/>
        <v>20</v>
      </c>
      <c r="AF327" s="195">
        <f t="shared" si="102"/>
        <v>60</v>
      </c>
      <c r="AG327" s="195">
        <f t="shared" si="103"/>
        <v>10</v>
      </c>
      <c r="AH327" s="195">
        <f t="shared" si="104"/>
        <v>20</v>
      </c>
      <c r="AI327" s="195"/>
      <c r="AJ327" s="195"/>
      <c r="AK327" s="195"/>
      <c r="AL327" s="195"/>
      <c r="AM327" s="195"/>
      <c r="AN327" s="195"/>
      <c r="AO327" s="195"/>
      <c r="AP327" s="195"/>
      <c r="AQ327" s="195"/>
      <c r="AR327" s="195"/>
      <c r="AS327" s="195"/>
      <c r="AT327" s="195"/>
      <c r="AU327" s="195"/>
      <c r="AV327" s="195"/>
      <c r="AW327" s="195"/>
      <c r="AX327" s="195"/>
      <c r="AY327" s="195"/>
      <c r="AZ327" s="195"/>
      <c r="BA327" s="195"/>
      <c r="BB327" s="195"/>
      <c r="BC327" s="195"/>
      <c r="BD327" s="195"/>
      <c r="BE327" s="195"/>
      <c r="BF327" s="195"/>
      <c r="BG327" s="195"/>
      <c r="BH327" s="195"/>
      <c r="BI327" s="195"/>
      <c r="BJ327" s="195"/>
      <c r="BK327" s="195"/>
      <c r="BL327" s="195"/>
      <c r="BM327" s="195"/>
    </row>
    <row r="328" spans="1:65" ht="1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c r="AA328" s="195" t="s">
        <v>851</v>
      </c>
      <c r="AB328" s="195">
        <v>1</v>
      </c>
      <c r="AC328" s="195">
        <f t="shared" si="99"/>
        <v>115</v>
      </c>
      <c r="AD328" s="195">
        <f t="shared" si="100"/>
        <v>10</v>
      </c>
      <c r="AE328" s="195">
        <f t="shared" si="101"/>
        <v>20</v>
      </c>
      <c r="AF328" s="195">
        <f t="shared" si="102"/>
        <v>95</v>
      </c>
      <c r="AG328" s="195">
        <f t="shared" si="103"/>
        <v>10</v>
      </c>
      <c r="AH328" s="195">
        <f t="shared" si="104"/>
        <v>20</v>
      </c>
      <c r="AI328" s="195"/>
      <c r="AJ328" s="195"/>
      <c r="AK328" s="195"/>
      <c r="AL328" s="195"/>
      <c r="AM328" s="195"/>
      <c r="AN328" s="195"/>
      <c r="AO328" s="195"/>
      <c r="AP328" s="195"/>
      <c r="AQ328" s="195"/>
      <c r="AR328" s="195"/>
      <c r="AS328" s="195"/>
      <c r="AT328" s="195"/>
      <c r="AU328" s="195"/>
      <c r="AV328" s="195"/>
      <c r="AW328" s="195"/>
      <c r="AX328" s="195"/>
      <c r="AY328" s="195"/>
      <c r="AZ328" s="195"/>
      <c r="BA328" s="195"/>
      <c r="BB328" s="195"/>
      <c r="BC328" s="195"/>
      <c r="BD328" s="195"/>
      <c r="BE328" s="195"/>
      <c r="BF328" s="195"/>
      <c r="BG328" s="195"/>
      <c r="BH328" s="195"/>
      <c r="BI328" s="195"/>
      <c r="BJ328" s="195"/>
      <c r="BK328" s="195"/>
      <c r="BL328" s="195"/>
      <c r="BM328" s="195"/>
    </row>
    <row r="329" spans="1:65" ht="1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c r="AA329" s="195" t="s">
        <v>852</v>
      </c>
      <c r="AB329" s="195">
        <v>2</v>
      </c>
      <c r="AC329" s="195">
        <f t="shared" si="99"/>
        <v>90</v>
      </c>
      <c r="AD329" s="195">
        <f t="shared" si="100"/>
        <v>10</v>
      </c>
      <c r="AE329" s="195">
        <f t="shared" si="101"/>
        <v>20</v>
      </c>
      <c r="AF329" s="195">
        <f t="shared" si="102"/>
        <v>70</v>
      </c>
      <c r="AG329" s="195">
        <f t="shared" si="103"/>
        <v>10</v>
      </c>
      <c r="AH329" s="195">
        <f t="shared" si="104"/>
        <v>20</v>
      </c>
      <c r="AI329" s="195"/>
      <c r="AJ329" s="195"/>
      <c r="AK329" s="195"/>
      <c r="AL329" s="195"/>
      <c r="AM329" s="195"/>
      <c r="AN329" s="195"/>
      <c r="AO329" s="195"/>
      <c r="AP329" s="195"/>
      <c r="AQ329" s="195"/>
      <c r="AR329" s="195"/>
      <c r="AS329" s="195"/>
      <c r="AT329" s="195"/>
      <c r="AU329" s="195"/>
      <c r="AV329" s="195"/>
      <c r="AW329" s="195"/>
      <c r="AX329" s="195"/>
      <c r="AY329" s="195"/>
      <c r="AZ329" s="195"/>
      <c r="BA329" s="195"/>
      <c r="BB329" s="195"/>
      <c r="BC329" s="195"/>
      <c r="BD329" s="195"/>
      <c r="BE329" s="195"/>
      <c r="BF329" s="195"/>
      <c r="BG329" s="195"/>
      <c r="BH329" s="195"/>
      <c r="BI329" s="195"/>
      <c r="BJ329" s="195"/>
      <c r="BK329" s="195"/>
      <c r="BL329" s="195"/>
      <c r="BM329" s="195"/>
    </row>
    <row r="330" spans="1:65" ht="1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c r="AA330" s="195" t="s">
        <v>853</v>
      </c>
      <c r="AB330" s="195">
        <v>2</v>
      </c>
      <c r="AC330" s="195">
        <f t="shared" si="99"/>
        <v>90</v>
      </c>
      <c r="AD330" s="195">
        <f t="shared" si="100"/>
        <v>10</v>
      </c>
      <c r="AE330" s="195">
        <f t="shared" si="101"/>
        <v>20</v>
      </c>
      <c r="AF330" s="195">
        <f t="shared" si="102"/>
        <v>70</v>
      </c>
      <c r="AG330" s="195">
        <f t="shared" si="103"/>
        <v>10</v>
      </c>
      <c r="AH330" s="195">
        <f t="shared" si="104"/>
        <v>20</v>
      </c>
      <c r="AI330" s="195"/>
      <c r="AJ330" s="195"/>
      <c r="AK330" s="195"/>
      <c r="AL330" s="195"/>
      <c r="AM330" s="195"/>
      <c r="AN330" s="195"/>
      <c r="AO330" s="195"/>
      <c r="AP330" s="195"/>
      <c r="AQ330" s="195"/>
      <c r="AR330" s="195"/>
      <c r="AS330" s="195"/>
      <c r="AT330" s="195"/>
      <c r="AU330" s="195"/>
      <c r="AV330" s="195"/>
      <c r="AW330" s="195"/>
      <c r="AX330" s="195"/>
      <c r="AY330" s="195"/>
      <c r="AZ330" s="195"/>
      <c r="BA330" s="195"/>
      <c r="BB330" s="195"/>
      <c r="BC330" s="195"/>
      <c r="BD330" s="195"/>
      <c r="BE330" s="195"/>
      <c r="BF330" s="195"/>
      <c r="BG330" s="195"/>
      <c r="BH330" s="195"/>
      <c r="BI330" s="195"/>
      <c r="BJ330" s="195"/>
      <c r="BK330" s="195"/>
      <c r="BL330" s="195"/>
      <c r="BM330" s="195"/>
    </row>
    <row r="331" spans="1:65" ht="1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t="s">
        <v>899</v>
      </c>
      <c r="AB331" s="195">
        <v>4</v>
      </c>
      <c r="AC331" s="195">
        <f t="shared" si="99"/>
        <v>50</v>
      </c>
      <c r="AD331" s="195">
        <f t="shared" si="100"/>
        <v>10</v>
      </c>
      <c r="AE331" s="195">
        <f t="shared" si="101"/>
        <v>20</v>
      </c>
      <c r="AF331" s="195">
        <f t="shared" si="102"/>
        <v>50</v>
      </c>
      <c r="AG331" s="195">
        <f t="shared" si="103"/>
        <v>10</v>
      </c>
      <c r="AH331" s="195">
        <f t="shared" si="104"/>
        <v>20</v>
      </c>
      <c r="AI331" s="195"/>
      <c r="AJ331" s="195"/>
      <c r="AK331" s="195"/>
      <c r="AL331" s="195"/>
      <c r="AM331" s="195"/>
      <c r="AN331" s="195"/>
      <c r="AO331" s="195"/>
      <c r="AP331" s="195"/>
      <c r="AQ331" s="195"/>
      <c r="AR331" s="195"/>
      <c r="AS331" s="195"/>
      <c r="AT331" s="195"/>
      <c r="AU331" s="195"/>
      <c r="AV331" s="195"/>
      <c r="AW331" s="195"/>
      <c r="AX331" s="195"/>
      <c r="AY331" s="195"/>
      <c r="AZ331" s="195"/>
      <c r="BA331" s="195"/>
      <c r="BB331" s="195"/>
      <c r="BC331" s="195"/>
      <c r="BD331" s="195"/>
      <c r="BE331" s="195"/>
      <c r="BF331" s="195"/>
      <c r="BG331" s="195"/>
      <c r="BH331" s="195"/>
      <c r="BI331" s="195"/>
      <c r="BJ331" s="195"/>
      <c r="BK331" s="195"/>
      <c r="BL331" s="195"/>
      <c r="BM331" s="195"/>
    </row>
    <row r="332" spans="1:65" ht="1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c r="AA332" s="195" t="s">
        <v>900</v>
      </c>
      <c r="AB332" s="195">
        <v>4</v>
      </c>
      <c r="AC332" s="195">
        <f t="shared" si="99"/>
        <v>50</v>
      </c>
      <c r="AD332" s="195">
        <f t="shared" si="100"/>
        <v>10</v>
      </c>
      <c r="AE332" s="195">
        <f t="shared" si="101"/>
        <v>20</v>
      </c>
      <c r="AF332" s="195">
        <f t="shared" si="102"/>
        <v>50</v>
      </c>
      <c r="AG332" s="195">
        <f t="shared" si="103"/>
        <v>10</v>
      </c>
      <c r="AH332" s="195">
        <f t="shared" si="104"/>
        <v>20</v>
      </c>
      <c r="AI332" s="195"/>
      <c r="AJ332" s="195"/>
      <c r="AK332" s="195"/>
      <c r="AL332" s="195"/>
      <c r="AM332" s="195"/>
      <c r="AN332" s="195"/>
      <c r="AO332" s="195"/>
      <c r="AP332" s="195"/>
      <c r="AQ332" s="195"/>
      <c r="AR332" s="195"/>
      <c r="AS332" s="195"/>
      <c r="AT332" s="195"/>
      <c r="AU332" s="195"/>
      <c r="AV332" s="195"/>
      <c r="AW332" s="195"/>
      <c r="AX332" s="195"/>
      <c r="AY332" s="195"/>
      <c r="AZ332" s="195"/>
      <c r="BA332" s="195"/>
      <c r="BB332" s="195"/>
      <c r="BC332" s="195"/>
      <c r="BD332" s="195"/>
      <c r="BE332" s="195"/>
      <c r="BF332" s="195"/>
      <c r="BG332" s="195"/>
      <c r="BH332" s="195"/>
      <c r="BI332" s="195"/>
      <c r="BJ332" s="195"/>
      <c r="BK332" s="195"/>
      <c r="BL332" s="195"/>
      <c r="BM332" s="195"/>
    </row>
    <row r="333" spans="1:65" ht="1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c r="AA333" s="195" t="s">
        <v>901</v>
      </c>
      <c r="AB333" s="195">
        <v>2</v>
      </c>
      <c r="AC333" s="195">
        <f t="shared" si="99"/>
        <v>90</v>
      </c>
      <c r="AD333" s="195">
        <f t="shared" si="100"/>
        <v>10</v>
      </c>
      <c r="AE333" s="195">
        <f t="shared" si="101"/>
        <v>20</v>
      </c>
      <c r="AF333" s="195">
        <f t="shared" si="102"/>
        <v>70</v>
      </c>
      <c r="AG333" s="195">
        <f t="shared" si="103"/>
        <v>10</v>
      </c>
      <c r="AH333" s="195">
        <f t="shared" si="104"/>
        <v>20</v>
      </c>
      <c r="AI333" s="195"/>
      <c r="AJ333" s="195"/>
      <c r="AK333" s="195"/>
      <c r="AL333" s="195"/>
      <c r="AM333" s="195"/>
      <c r="AN333" s="195"/>
      <c r="AO333" s="195"/>
      <c r="AP333" s="195"/>
      <c r="AQ333" s="195"/>
      <c r="AR333" s="195"/>
      <c r="AS333" s="195"/>
      <c r="AT333" s="195"/>
      <c r="AU333" s="195"/>
      <c r="AV333" s="195"/>
      <c r="AW333" s="195"/>
      <c r="AX333" s="195"/>
      <c r="AY333" s="195"/>
      <c r="AZ333" s="195"/>
      <c r="BA333" s="195"/>
      <c r="BB333" s="195"/>
      <c r="BC333" s="195"/>
      <c r="BD333" s="195"/>
      <c r="BE333" s="195"/>
      <c r="BF333" s="195"/>
      <c r="BG333" s="195"/>
      <c r="BH333" s="195"/>
      <c r="BI333" s="195"/>
      <c r="BJ333" s="195"/>
      <c r="BK333" s="195"/>
      <c r="BL333" s="195"/>
      <c r="BM333" s="195"/>
    </row>
    <row r="334" spans="1:65" ht="1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c r="AA334" s="195" t="s">
        <v>903</v>
      </c>
      <c r="AB334" s="195">
        <v>3</v>
      </c>
      <c r="AC334" s="195">
        <f t="shared" si="99"/>
        <v>70</v>
      </c>
      <c r="AD334" s="195">
        <f t="shared" si="100"/>
        <v>10</v>
      </c>
      <c r="AE334" s="195">
        <f t="shared" si="101"/>
        <v>20</v>
      </c>
      <c r="AF334" s="195">
        <f t="shared" si="102"/>
        <v>60</v>
      </c>
      <c r="AG334" s="195">
        <f t="shared" si="103"/>
        <v>10</v>
      </c>
      <c r="AH334" s="195">
        <f t="shared" si="104"/>
        <v>20</v>
      </c>
      <c r="AI334" s="195"/>
      <c r="AJ334" s="195"/>
      <c r="AK334" s="195"/>
      <c r="AL334" s="195"/>
      <c r="AM334" s="195"/>
      <c r="AN334" s="195"/>
      <c r="AO334" s="195"/>
      <c r="AP334" s="195"/>
      <c r="AQ334" s="195"/>
      <c r="AR334" s="195"/>
      <c r="AS334" s="195"/>
      <c r="AT334" s="195"/>
      <c r="AU334" s="195"/>
      <c r="AV334" s="195"/>
      <c r="AW334" s="195"/>
      <c r="AX334" s="195"/>
      <c r="AY334" s="195"/>
      <c r="AZ334" s="195"/>
      <c r="BA334" s="195"/>
      <c r="BB334" s="195"/>
      <c r="BC334" s="195"/>
      <c r="BD334" s="195"/>
      <c r="BE334" s="195"/>
      <c r="BF334" s="195"/>
      <c r="BG334" s="195"/>
      <c r="BH334" s="195"/>
      <c r="BI334" s="195"/>
      <c r="BJ334" s="195"/>
      <c r="BK334" s="195"/>
      <c r="BL334" s="195"/>
      <c r="BM334" s="195"/>
    </row>
    <row r="335" spans="1:65" ht="1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c r="AA335" s="195" t="s">
        <v>904</v>
      </c>
      <c r="AB335" s="195">
        <v>2</v>
      </c>
      <c r="AC335" s="195">
        <f t="shared" si="99"/>
        <v>90</v>
      </c>
      <c r="AD335" s="195">
        <f t="shared" si="100"/>
        <v>10</v>
      </c>
      <c r="AE335" s="195">
        <f t="shared" si="101"/>
        <v>20</v>
      </c>
      <c r="AF335" s="195">
        <f t="shared" si="102"/>
        <v>70</v>
      </c>
      <c r="AG335" s="195">
        <f t="shared" si="103"/>
        <v>10</v>
      </c>
      <c r="AH335" s="195">
        <f t="shared" si="104"/>
        <v>20</v>
      </c>
      <c r="AI335" s="195"/>
      <c r="AJ335" s="195"/>
      <c r="AK335" s="195"/>
      <c r="AL335" s="195"/>
      <c r="AM335" s="195"/>
      <c r="AN335" s="195"/>
      <c r="AO335" s="195"/>
      <c r="AP335" s="195"/>
      <c r="AQ335" s="195"/>
      <c r="AR335" s="195"/>
      <c r="AS335" s="195"/>
      <c r="AT335" s="195"/>
      <c r="AU335" s="195"/>
      <c r="AV335" s="195"/>
      <c r="AW335" s="195"/>
      <c r="AX335" s="195"/>
      <c r="AY335" s="195"/>
      <c r="AZ335" s="195"/>
      <c r="BA335" s="195"/>
      <c r="BB335" s="195"/>
      <c r="BC335" s="195"/>
      <c r="BD335" s="195"/>
      <c r="BE335" s="195"/>
      <c r="BF335" s="195"/>
      <c r="BG335" s="195"/>
      <c r="BH335" s="195"/>
      <c r="BI335" s="195"/>
      <c r="BJ335" s="195"/>
      <c r="BK335" s="195"/>
      <c r="BL335" s="195"/>
      <c r="BM335" s="195"/>
    </row>
    <row r="336" spans="1:65" ht="1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c r="Z336" s="195"/>
      <c r="AA336" s="195" t="s">
        <v>905</v>
      </c>
      <c r="AB336" s="195">
        <v>4</v>
      </c>
      <c r="AC336" s="195">
        <f t="shared" si="99"/>
        <v>50</v>
      </c>
      <c r="AD336" s="195">
        <f t="shared" si="100"/>
        <v>10</v>
      </c>
      <c r="AE336" s="195">
        <f t="shared" si="101"/>
        <v>20</v>
      </c>
      <c r="AF336" s="195">
        <f t="shared" si="102"/>
        <v>50</v>
      </c>
      <c r="AG336" s="195">
        <f t="shared" si="103"/>
        <v>10</v>
      </c>
      <c r="AH336" s="195">
        <f t="shared" si="104"/>
        <v>20</v>
      </c>
      <c r="AI336" s="195"/>
      <c r="AJ336" s="195"/>
      <c r="AK336" s="195"/>
      <c r="AL336" s="195"/>
      <c r="AM336" s="195"/>
      <c r="AN336" s="195"/>
      <c r="AO336" s="195"/>
      <c r="AP336" s="195"/>
      <c r="AQ336" s="195"/>
      <c r="AR336" s="195"/>
      <c r="AS336" s="195"/>
      <c r="AT336" s="195"/>
      <c r="AU336" s="195"/>
      <c r="AV336" s="195"/>
      <c r="AW336" s="195"/>
      <c r="AX336" s="195"/>
      <c r="AY336" s="195"/>
      <c r="AZ336" s="195"/>
      <c r="BA336" s="195"/>
      <c r="BB336" s="195"/>
      <c r="BC336" s="195"/>
      <c r="BD336" s="195"/>
      <c r="BE336" s="195"/>
      <c r="BF336" s="195"/>
      <c r="BG336" s="195"/>
      <c r="BH336" s="195"/>
      <c r="BI336" s="195"/>
      <c r="BJ336" s="195"/>
      <c r="BK336" s="195"/>
      <c r="BL336" s="195"/>
      <c r="BM336" s="195"/>
    </row>
    <row r="337" spans="1:34" ht="15">
      <c r="A337" s="195"/>
      <c r="B337" s="195"/>
      <c r="C337" s="195"/>
      <c r="D337" s="195"/>
      <c r="E337" s="195"/>
      <c r="F337" s="195"/>
      <c r="G337" s="195"/>
      <c r="H337" s="195"/>
      <c r="I337" s="195"/>
      <c r="J337" s="195"/>
      <c r="K337" s="195"/>
      <c r="AA337" s="197" t="s">
        <v>906</v>
      </c>
      <c r="AB337" s="197">
        <v>1</v>
      </c>
      <c r="AC337" s="197">
        <f t="shared" si="99"/>
        <v>115</v>
      </c>
      <c r="AD337" s="197">
        <f t="shared" si="100"/>
        <v>10</v>
      </c>
      <c r="AE337" s="197">
        <f t="shared" si="101"/>
        <v>20</v>
      </c>
      <c r="AF337" s="197">
        <f t="shared" si="102"/>
        <v>95</v>
      </c>
      <c r="AG337" s="197">
        <f t="shared" si="103"/>
        <v>10</v>
      </c>
      <c r="AH337" s="197">
        <f t="shared" si="104"/>
        <v>20</v>
      </c>
    </row>
    <row r="338" spans="1:34" ht="15">
      <c r="A338" s="195"/>
      <c r="B338" s="195"/>
      <c r="C338" s="195"/>
      <c r="D338" s="195"/>
      <c r="E338" s="195"/>
      <c r="F338" s="195"/>
      <c r="G338" s="195"/>
      <c r="H338" s="195"/>
      <c r="I338" s="195"/>
      <c r="J338" s="195"/>
      <c r="K338" s="195"/>
      <c r="AA338" s="197" t="s">
        <v>907</v>
      </c>
      <c r="AB338" s="197">
        <v>4</v>
      </c>
      <c r="AC338" s="197">
        <f t="shared" si="99"/>
        <v>50</v>
      </c>
      <c r="AD338" s="197">
        <f t="shared" si="100"/>
        <v>10</v>
      </c>
      <c r="AE338" s="197">
        <f t="shared" si="101"/>
        <v>20</v>
      </c>
      <c r="AF338" s="197">
        <f t="shared" si="102"/>
        <v>50</v>
      </c>
      <c r="AG338" s="197">
        <f t="shared" si="103"/>
        <v>10</v>
      </c>
      <c r="AH338" s="197">
        <f t="shared" si="104"/>
        <v>20</v>
      </c>
    </row>
    <row r="339" spans="1:34" ht="15">
      <c r="A339" s="195"/>
      <c r="B339" s="195"/>
      <c r="C339" s="195"/>
      <c r="D339" s="195"/>
      <c r="E339" s="195"/>
      <c r="F339" s="195"/>
      <c r="G339" s="195"/>
      <c r="H339" s="195"/>
      <c r="I339" s="195"/>
      <c r="J339" s="195"/>
      <c r="K339" s="195"/>
      <c r="AA339" s="197" t="s">
        <v>908</v>
      </c>
      <c r="AB339" s="197">
        <v>2</v>
      </c>
      <c r="AC339" s="197">
        <f t="shared" si="99"/>
        <v>90</v>
      </c>
      <c r="AD339" s="197">
        <f t="shared" si="100"/>
        <v>10</v>
      </c>
      <c r="AE339" s="197">
        <f t="shared" si="101"/>
        <v>20</v>
      </c>
      <c r="AF339" s="197">
        <f t="shared" si="102"/>
        <v>70</v>
      </c>
      <c r="AG339" s="197">
        <f t="shared" si="103"/>
        <v>10</v>
      </c>
      <c r="AH339" s="197">
        <f t="shared" si="104"/>
        <v>20</v>
      </c>
    </row>
    <row r="340" spans="1:34" ht="15">
      <c r="A340" s="195"/>
      <c r="B340" s="195"/>
      <c r="C340" s="195"/>
      <c r="D340" s="195"/>
      <c r="E340" s="195"/>
      <c r="F340" s="195"/>
      <c r="G340" s="195"/>
      <c r="H340" s="195"/>
      <c r="I340" s="195"/>
      <c r="J340" s="195"/>
      <c r="K340" s="195"/>
      <c r="AA340" s="197" t="s">
        <v>912</v>
      </c>
      <c r="AB340" s="197">
        <v>4</v>
      </c>
      <c r="AC340" s="197">
        <f t="shared" si="99"/>
        <v>50</v>
      </c>
      <c r="AD340" s="197">
        <f t="shared" si="100"/>
        <v>10</v>
      </c>
      <c r="AE340" s="197">
        <f t="shared" si="101"/>
        <v>20</v>
      </c>
      <c r="AF340" s="197">
        <f t="shared" si="102"/>
        <v>50</v>
      </c>
      <c r="AG340" s="197">
        <f t="shared" si="103"/>
        <v>10</v>
      </c>
      <c r="AH340" s="197">
        <f t="shared" si="104"/>
        <v>20</v>
      </c>
    </row>
    <row r="341" spans="1:34" ht="15">
      <c r="A341" s="195"/>
      <c r="B341" s="195"/>
      <c r="C341" s="195"/>
      <c r="D341" s="195"/>
      <c r="E341" s="195"/>
      <c r="F341" s="195"/>
      <c r="G341" s="195"/>
      <c r="H341" s="195"/>
      <c r="I341" s="195"/>
      <c r="J341" s="195"/>
      <c r="K341" s="195"/>
      <c r="AA341" s="197" t="s">
        <v>913</v>
      </c>
      <c r="AB341" s="197">
        <v>3</v>
      </c>
      <c r="AC341" s="197">
        <f t="shared" si="99"/>
        <v>70</v>
      </c>
      <c r="AD341" s="197">
        <f t="shared" si="100"/>
        <v>10</v>
      </c>
      <c r="AE341" s="197">
        <f t="shared" si="101"/>
        <v>20</v>
      </c>
      <c r="AF341" s="197">
        <f t="shared" si="102"/>
        <v>60</v>
      </c>
      <c r="AG341" s="197">
        <f t="shared" si="103"/>
        <v>10</v>
      </c>
      <c r="AH341" s="197">
        <f t="shared" si="104"/>
        <v>20</v>
      </c>
    </row>
    <row r="342" spans="1:34" ht="15">
      <c r="A342" s="195"/>
      <c r="B342" s="195"/>
      <c r="C342" s="195"/>
      <c r="D342" s="195"/>
      <c r="E342" s="195"/>
      <c r="F342" s="195"/>
      <c r="G342" s="195"/>
      <c r="H342" s="195"/>
      <c r="I342" s="195"/>
      <c r="J342" s="195"/>
      <c r="K342" s="195"/>
      <c r="AA342" s="197" t="s">
        <v>914</v>
      </c>
      <c r="AB342" s="197">
        <v>2</v>
      </c>
      <c r="AC342" s="197">
        <f t="shared" si="99"/>
        <v>90</v>
      </c>
      <c r="AD342" s="197">
        <f t="shared" si="100"/>
        <v>10</v>
      </c>
      <c r="AE342" s="197">
        <f t="shared" si="101"/>
        <v>20</v>
      </c>
      <c r="AF342" s="197">
        <f t="shared" si="102"/>
        <v>70</v>
      </c>
      <c r="AG342" s="197">
        <f t="shared" si="103"/>
        <v>10</v>
      </c>
      <c r="AH342" s="197">
        <f t="shared" si="104"/>
        <v>20</v>
      </c>
    </row>
    <row r="343" spans="1:34" ht="15">
      <c r="A343" s="195"/>
      <c r="B343" s="195"/>
      <c r="C343" s="195"/>
      <c r="D343" s="195"/>
      <c r="E343" s="195"/>
      <c r="F343" s="195"/>
      <c r="G343" s="195"/>
      <c r="H343" s="195"/>
      <c r="I343" s="195"/>
      <c r="J343" s="195"/>
      <c r="K343" s="195"/>
      <c r="AA343" s="197" t="s">
        <v>915</v>
      </c>
      <c r="AB343" s="197">
        <v>3</v>
      </c>
      <c r="AC343" s="197">
        <f t="shared" si="99"/>
        <v>70</v>
      </c>
      <c r="AD343" s="197">
        <f t="shared" si="100"/>
        <v>10</v>
      </c>
      <c r="AE343" s="197">
        <f t="shared" si="101"/>
        <v>20</v>
      </c>
      <c r="AF343" s="197">
        <f t="shared" si="102"/>
        <v>60</v>
      </c>
      <c r="AG343" s="197">
        <f t="shared" si="103"/>
        <v>10</v>
      </c>
      <c r="AH343" s="197">
        <f t="shared" si="104"/>
        <v>20</v>
      </c>
    </row>
    <row r="344" spans="1:34" ht="15">
      <c r="A344" s="195"/>
      <c r="B344" s="195"/>
      <c r="C344" s="195"/>
      <c r="D344" s="195"/>
      <c r="E344" s="195"/>
      <c r="F344" s="195"/>
      <c r="G344" s="195"/>
      <c r="H344" s="195"/>
      <c r="I344" s="195"/>
      <c r="J344" s="195"/>
      <c r="K344" s="195"/>
      <c r="AA344" s="197" t="s">
        <v>916</v>
      </c>
      <c r="AB344" s="197">
        <v>3</v>
      </c>
      <c r="AC344" s="197">
        <f t="shared" si="99"/>
        <v>70</v>
      </c>
      <c r="AD344" s="197">
        <f t="shared" si="100"/>
        <v>10</v>
      </c>
      <c r="AE344" s="197">
        <f t="shared" si="101"/>
        <v>20</v>
      </c>
      <c r="AF344" s="197">
        <f t="shared" si="102"/>
        <v>60</v>
      </c>
      <c r="AG344" s="197">
        <f t="shared" si="103"/>
        <v>10</v>
      </c>
      <c r="AH344" s="197">
        <f t="shared" si="104"/>
        <v>20</v>
      </c>
    </row>
    <row r="345" spans="1:34" ht="15">
      <c r="A345" s="195"/>
      <c r="B345" s="195"/>
      <c r="C345" s="195"/>
      <c r="D345" s="195"/>
      <c r="E345" s="195"/>
      <c r="F345" s="195"/>
      <c r="G345" s="195"/>
      <c r="H345" s="195"/>
      <c r="I345" s="195"/>
      <c r="J345" s="195"/>
      <c r="K345" s="195"/>
      <c r="AA345" s="197" t="s">
        <v>917</v>
      </c>
      <c r="AB345" s="197">
        <v>3</v>
      </c>
      <c r="AC345" s="197">
        <f t="shared" si="99"/>
        <v>70</v>
      </c>
      <c r="AD345" s="197">
        <f t="shared" si="100"/>
        <v>10</v>
      </c>
      <c r="AE345" s="197">
        <f t="shared" si="101"/>
        <v>20</v>
      </c>
      <c r="AF345" s="197">
        <f t="shared" si="102"/>
        <v>60</v>
      </c>
      <c r="AG345" s="197">
        <f t="shared" si="103"/>
        <v>10</v>
      </c>
      <c r="AH345" s="197">
        <f t="shared" si="104"/>
        <v>20</v>
      </c>
    </row>
    <row r="346" spans="1:34" ht="15">
      <c r="A346" s="195"/>
      <c r="B346" s="195"/>
      <c r="C346" s="195"/>
      <c r="D346" s="195"/>
      <c r="E346" s="195"/>
      <c r="F346" s="195"/>
      <c r="G346" s="195"/>
      <c r="H346" s="195"/>
      <c r="I346" s="195"/>
      <c r="J346" s="195"/>
      <c r="K346" s="195"/>
      <c r="AA346" s="197" t="s">
        <v>918</v>
      </c>
      <c r="AB346" s="197">
        <v>4</v>
      </c>
      <c r="AC346" s="197">
        <f t="shared" si="99"/>
        <v>50</v>
      </c>
      <c r="AD346" s="197">
        <f t="shared" si="100"/>
        <v>10</v>
      </c>
      <c r="AE346" s="197">
        <f t="shared" si="101"/>
        <v>20</v>
      </c>
      <c r="AF346" s="197">
        <f t="shared" si="102"/>
        <v>50</v>
      </c>
      <c r="AG346" s="197">
        <f t="shared" si="103"/>
        <v>10</v>
      </c>
      <c r="AH346" s="197">
        <f t="shared" si="104"/>
        <v>20</v>
      </c>
    </row>
    <row r="347" spans="1:34" ht="15">
      <c r="A347" s="195"/>
      <c r="B347" s="195"/>
      <c r="C347" s="195"/>
      <c r="D347" s="195"/>
      <c r="E347" s="195"/>
      <c r="F347" s="195"/>
      <c r="G347" s="195"/>
      <c r="H347" s="195"/>
      <c r="I347" s="195"/>
      <c r="J347" s="195"/>
      <c r="K347" s="195"/>
      <c r="AA347" s="197" t="s">
        <v>919</v>
      </c>
      <c r="AB347" s="197">
        <v>3</v>
      </c>
      <c r="AC347" s="197">
        <f t="shared" si="99"/>
        <v>70</v>
      </c>
      <c r="AD347" s="197">
        <f t="shared" si="100"/>
        <v>10</v>
      </c>
      <c r="AE347" s="197">
        <f t="shared" si="101"/>
        <v>20</v>
      </c>
      <c r="AF347" s="197">
        <f t="shared" si="102"/>
        <v>60</v>
      </c>
      <c r="AG347" s="197">
        <f t="shared" si="103"/>
        <v>10</v>
      </c>
      <c r="AH347" s="197">
        <f t="shared" si="104"/>
        <v>20</v>
      </c>
    </row>
    <row r="348" spans="1:34" ht="15">
      <c r="A348" s="195"/>
      <c r="B348" s="195"/>
      <c r="C348" s="195"/>
      <c r="D348" s="195"/>
      <c r="E348" s="195"/>
      <c r="F348" s="195"/>
      <c r="G348" s="195"/>
      <c r="H348" s="195"/>
      <c r="I348" s="195"/>
      <c r="J348" s="195"/>
      <c r="K348" s="195"/>
      <c r="AA348" s="197" t="s">
        <v>920</v>
      </c>
      <c r="AB348" s="197">
        <v>4</v>
      </c>
      <c r="AC348" s="197">
        <f t="shared" si="99"/>
        <v>50</v>
      </c>
      <c r="AD348" s="197">
        <f t="shared" si="100"/>
        <v>10</v>
      </c>
      <c r="AE348" s="197">
        <f t="shared" si="101"/>
        <v>20</v>
      </c>
      <c r="AF348" s="197">
        <f t="shared" si="102"/>
        <v>50</v>
      </c>
      <c r="AG348" s="197">
        <f t="shared" si="103"/>
        <v>10</v>
      </c>
      <c r="AH348" s="197">
        <f t="shared" si="104"/>
        <v>20</v>
      </c>
    </row>
    <row r="349" spans="1:34" ht="15">
      <c r="A349" s="195"/>
      <c r="B349" s="195"/>
      <c r="C349" s="195"/>
      <c r="D349" s="195"/>
      <c r="E349" s="195"/>
      <c r="F349" s="195"/>
      <c r="G349" s="195"/>
      <c r="H349" s="195"/>
      <c r="I349" s="195"/>
      <c r="J349" s="195"/>
      <c r="K349" s="195"/>
      <c r="AA349" s="197" t="s">
        <v>921</v>
      </c>
      <c r="AB349" s="197">
        <v>4</v>
      </c>
      <c r="AC349" s="197">
        <f t="shared" si="99"/>
        <v>50</v>
      </c>
      <c r="AD349" s="197">
        <f t="shared" si="100"/>
        <v>10</v>
      </c>
      <c r="AE349" s="197">
        <f t="shared" si="101"/>
        <v>20</v>
      </c>
      <c r="AF349" s="197">
        <f t="shared" si="102"/>
        <v>50</v>
      </c>
      <c r="AG349" s="197">
        <f t="shared" si="103"/>
        <v>10</v>
      </c>
      <c r="AH349" s="197">
        <f t="shared" si="104"/>
        <v>20</v>
      </c>
    </row>
    <row r="350" spans="1:34" ht="15">
      <c r="A350" s="195"/>
      <c r="B350" s="195"/>
      <c r="C350" s="195"/>
      <c r="D350" s="195"/>
      <c r="E350" s="195"/>
      <c r="F350" s="195"/>
      <c r="G350" s="195"/>
      <c r="H350" s="195"/>
      <c r="I350" s="195"/>
      <c r="J350" s="195"/>
      <c r="K350" s="195"/>
      <c r="AA350" s="197" t="s">
        <v>922</v>
      </c>
      <c r="AB350" s="197">
        <v>4</v>
      </c>
      <c r="AC350" s="197">
        <f t="shared" si="99"/>
        <v>50</v>
      </c>
      <c r="AD350" s="197">
        <f t="shared" si="100"/>
        <v>10</v>
      </c>
      <c r="AE350" s="197">
        <f t="shared" si="101"/>
        <v>20</v>
      </c>
      <c r="AF350" s="197">
        <f t="shared" si="102"/>
        <v>50</v>
      </c>
      <c r="AG350" s="197">
        <f t="shared" si="103"/>
        <v>10</v>
      </c>
      <c r="AH350" s="197">
        <f t="shared" si="104"/>
        <v>20</v>
      </c>
    </row>
    <row r="351" spans="1:34" ht="15">
      <c r="A351" s="195"/>
      <c r="B351" s="195"/>
      <c r="C351" s="195"/>
      <c r="D351" s="195"/>
      <c r="E351" s="195"/>
      <c r="F351" s="195"/>
      <c r="G351" s="195"/>
      <c r="H351" s="195"/>
      <c r="I351" s="195"/>
      <c r="J351" s="195"/>
      <c r="K351" s="195"/>
      <c r="AA351" s="197" t="s">
        <v>923</v>
      </c>
      <c r="AB351" s="197">
        <v>2</v>
      </c>
      <c r="AC351" s="197">
        <f t="shared" si="99"/>
        <v>90</v>
      </c>
      <c r="AD351" s="197">
        <f t="shared" si="100"/>
        <v>10</v>
      </c>
      <c r="AE351" s="197">
        <f t="shared" si="101"/>
        <v>20</v>
      </c>
      <c r="AF351" s="197">
        <f t="shared" si="102"/>
        <v>70</v>
      </c>
      <c r="AG351" s="197">
        <f t="shared" si="103"/>
        <v>10</v>
      </c>
      <c r="AH351" s="197">
        <f t="shared" si="104"/>
        <v>20</v>
      </c>
    </row>
    <row r="352" spans="1:34" ht="15">
      <c r="A352" s="195"/>
      <c r="B352" s="195"/>
      <c r="C352" s="195"/>
      <c r="D352" s="195"/>
      <c r="E352" s="195"/>
      <c r="F352" s="195"/>
      <c r="G352" s="195"/>
      <c r="H352" s="195"/>
      <c r="I352" s="195"/>
      <c r="J352" s="195"/>
      <c r="K352" s="195"/>
      <c r="AA352" s="197" t="s">
        <v>924</v>
      </c>
      <c r="AB352" s="197">
        <v>4</v>
      </c>
      <c r="AC352" s="197">
        <f t="shared" si="99"/>
        <v>50</v>
      </c>
      <c r="AD352" s="197">
        <f t="shared" si="100"/>
        <v>10</v>
      </c>
      <c r="AE352" s="197">
        <f t="shared" si="101"/>
        <v>20</v>
      </c>
      <c r="AF352" s="197">
        <f t="shared" si="102"/>
        <v>50</v>
      </c>
      <c r="AG352" s="197">
        <f t="shared" si="103"/>
        <v>10</v>
      </c>
      <c r="AH352" s="197">
        <f t="shared" si="104"/>
        <v>20</v>
      </c>
    </row>
    <row r="353" spans="1:34" ht="15">
      <c r="A353" s="195"/>
      <c r="B353" s="195"/>
      <c r="C353" s="195"/>
      <c r="D353" s="195"/>
      <c r="E353" s="195"/>
      <c r="F353" s="195"/>
      <c r="G353" s="195"/>
      <c r="H353" s="195"/>
      <c r="I353" s="195"/>
      <c r="J353" s="195"/>
      <c r="K353" s="195"/>
      <c r="AA353" s="197" t="s">
        <v>925</v>
      </c>
      <c r="AB353" s="197">
        <v>1</v>
      </c>
      <c r="AC353" s="197">
        <f t="shared" si="99"/>
        <v>115</v>
      </c>
      <c r="AD353" s="197">
        <f t="shared" si="100"/>
        <v>10</v>
      </c>
      <c r="AE353" s="197">
        <f t="shared" si="101"/>
        <v>20</v>
      </c>
      <c r="AF353" s="197">
        <f t="shared" si="102"/>
        <v>95</v>
      </c>
      <c r="AG353" s="197">
        <f t="shared" si="103"/>
        <v>10</v>
      </c>
      <c r="AH353" s="197">
        <f t="shared" si="104"/>
        <v>20</v>
      </c>
    </row>
    <row r="354" spans="1:34" ht="15">
      <c r="A354" s="195"/>
      <c r="B354" s="195"/>
      <c r="C354" s="195"/>
      <c r="D354" s="195"/>
      <c r="E354" s="195"/>
      <c r="F354" s="195"/>
      <c r="G354" s="195"/>
      <c r="H354" s="195"/>
      <c r="I354" s="195"/>
      <c r="J354" s="195"/>
      <c r="K354" s="195"/>
      <c r="AA354" s="197" t="s">
        <v>934</v>
      </c>
      <c r="AB354" s="197">
        <v>3</v>
      </c>
      <c r="AC354" s="197">
        <f t="shared" si="99"/>
        <v>70</v>
      </c>
      <c r="AD354" s="197">
        <f t="shared" si="100"/>
        <v>10</v>
      </c>
      <c r="AE354" s="197">
        <f t="shared" si="101"/>
        <v>20</v>
      </c>
      <c r="AF354" s="197">
        <f t="shared" si="102"/>
        <v>60</v>
      </c>
      <c r="AG354" s="197">
        <f t="shared" si="103"/>
        <v>10</v>
      </c>
      <c r="AH354" s="197">
        <f t="shared" si="104"/>
        <v>20</v>
      </c>
    </row>
    <row r="355" spans="1:34" ht="15">
      <c r="A355" s="195"/>
      <c r="B355" s="195"/>
      <c r="C355" s="195"/>
      <c r="D355" s="195"/>
      <c r="E355" s="195"/>
      <c r="F355" s="195"/>
      <c r="G355" s="195"/>
      <c r="H355" s="195"/>
      <c r="I355" s="195"/>
      <c r="J355" s="195"/>
      <c r="K355" s="195"/>
      <c r="AA355" s="197" t="s">
        <v>935</v>
      </c>
      <c r="AB355" s="197">
        <v>2</v>
      </c>
      <c r="AC355" s="197">
        <f t="shared" si="99"/>
        <v>90</v>
      </c>
      <c r="AD355" s="197">
        <f t="shared" si="100"/>
        <v>10</v>
      </c>
      <c r="AE355" s="197">
        <f t="shared" si="101"/>
        <v>20</v>
      </c>
      <c r="AF355" s="197">
        <f t="shared" si="102"/>
        <v>70</v>
      </c>
      <c r="AG355" s="197">
        <f t="shared" si="103"/>
        <v>10</v>
      </c>
      <c r="AH355" s="197">
        <f t="shared" si="104"/>
        <v>20</v>
      </c>
    </row>
    <row r="356" spans="1:34" ht="15">
      <c r="A356" s="195"/>
      <c r="B356" s="195"/>
      <c r="C356" s="195"/>
      <c r="D356" s="195"/>
      <c r="E356" s="195"/>
      <c r="F356" s="195"/>
      <c r="G356" s="195"/>
      <c r="H356" s="195"/>
      <c r="I356" s="195"/>
      <c r="J356" s="195"/>
      <c r="K356" s="195"/>
      <c r="AA356" s="197" t="s">
        <v>936</v>
      </c>
      <c r="AB356" s="197">
        <v>2</v>
      </c>
      <c r="AC356" s="197">
        <f aca="true" t="shared" si="105" ref="AC356:AC376">VLOOKUP(AB356,$AA$199:$AD$202,2)</f>
        <v>90</v>
      </c>
      <c r="AD356" s="197">
        <f aca="true" t="shared" si="106" ref="AD356:AD376">VLOOKUP(AC356,$AA$199:$AD$202,3)</f>
        <v>10</v>
      </c>
      <c r="AE356" s="197">
        <f aca="true" t="shared" si="107" ref="AE356:AE376">VLOOKUP(AD356,$AA$199:$AD$202,4)</f>
        <v>20</v>
      </c>
      <c r="AF356" s="197">
        <f aca="true" t="shared" si="108" ref="AF356:AF376">VLOOKUP($AB356,$AF$199:$AI$202,2)</f>
        <v>70</v>
      </c>
      <c r="AG356" s="197">
        <f aca="true" t="shared" si="109" ref="AG356:AG376">VLOOKUP($AB356,$AF$199:$AI$202,3)</f>
        <v>10</v>
      </c>
      <c r="AH356" s="197">
        <f aca="true" t="shared" si="110" ref="AH356:AH376">VLOOKUP($AB356,$AF$199:$AI$202,4)</f>
        <v>20</v>
      </c>
    </row>
    <row r="357" spans="1:34" ht="15">
      <c r="A357" s="195"/>
      <c r="B357" s="195"/>
      <c r="C357" s="195"/>
      <c r="D357" s="195"/>
      <c r="E357" s="195"/>
      <c r="F357" s="195"/>
      <c r="G357" s="195"/>
      <c r="H357" s="195"/>
      <c r="I357" s="195"/>
      <c r="J357" s="195"/>
      <c r="K357" s="195"/>
      <c r="AA357" s="197" t="s">
        <v>937</v>
      </c>
      <c r="AB357" s="197">
        <v>3</v>
      </c>
      <c r="AC357" s="197">
        <f t="shared" si="105"/>
        <v>70</v>
      </c>
      <c r="AD357" s="197">
        <f t="shared" si="106"/>
        <v>10</v>
      </c>
      <c r="AE357" s="197">
        <f t="shared" si="107"/>
        <v>20</v>
      </c>
      <c r="AF357" s="197">
        <f t="shared" si="108"/>
        <v>60</v>
      </c>
      <c r="AG357" s="197">
        <f t="shared" si="109"/>
        <v>10</v>
      </c>
      <c r="AH357" s="197">
        <f t="shared" si="110"/>
        <v>20</v>
      </c>
    </row>
    <row r="358" spans="1:34" ht="15">
      <c r="A358" s="195"/>
      <c r="B358" s="195"/>
      <c r="C358" s="195"/>
      <c r="D358" s="195"/>
      <c r="E358" s="195"/>
      <c r="F358" s="195"/>
      <c r="G358" s="195"/>
      <c r="H358" s="195"/>
      <c r="I358" s="195"/>
      <c r="J358" s="195"/>
      <c r="K358" s="195"/>
      <c r="AA358" s="197" t="s">
        <v>938</v>
      </c>
      <c r="AB358" s="197">
        <v>1</v>
      </c>
      <c r="AC358" s="197">
        <f t="shared" si="105"/>
        <v>115</v>
      </c>
      <c r="AD358" s="197">
        <f t="shared" si="106"/>
        <v>10</v>
      </c>
      <c r="AE358" s="197">
        <f t="shared" si="107"/>
        <v>20</v>
      </c>
      <c r="AF358" s="197">
        <f t="shared" si="108"/>
        <v>95</v>
      </c>
      <c r="AG358" s="197">
        <f t="shared" si="109"/>
        <v>10</v>
      </c>
      <c r="AH358" s="197">
        <f t="shared" si="110"/>
        <v>20</v>
      </c>
    </row>
    <row r="359" spans="1:34" ht="15">
      <c r="A359" s="195"/>
      <c r="B359" s="195"/>
      <c r="C359" s="195"/>
      <c r="D359" s="195"/>
      <c r="E359" s="195"/>
      <c r="F359" s="195"/>
      <c r="G359" s="195"/>
      <c r="H359" s="195"/>
      <c r="I359" s="195"/>
      <c r="J359" s="195"/>
      <c r="K359" s="195"/>
      <c r="AA359" s="197" t="s">
        <v>939</v>
      </c>
      <c r="AB359" s="197">
        <v>3</v>
      </c>
      <c r="AC359" s="197">
        <f t="shared" si="105"/>
        <v>70</v>
      </c>
      <c r="AD359" s="197">
        <f t="shared" si="106"/>
        <v>10</v>
      </c>
      <c r="AE359" s="197">
        <f t="shared" si="107"/>
        <v>20</v>
      </c>
      <c r="AF359" s="197">
        <f t="shared" si="108"/>
        <v>60</v>
      </c>
      <c r="AG359" s="197">
        <f t="shared" si="109"/>
        <v>10</v>
      </c>
      <c r="AH359" s="197">
        <f t="shared" si="110"/>
        <v>20</v>
      </c>
    </row>
    <row r="360" spans="1:34" ht="15">
      <c r="A360" s="195"/>
      <c r="B360" s="195"/>
      <c r="C360" s="195"/>
      <c r="D360" s="195"/>
      <c r="E360" s="195"/>
      <c r="F360" s="195"/>
      <c r="G360" s="195"/>
      <c r="H360" s="195"/>
      <c r="I360" s="195"/>
      <c r="J360" s="195"/>
      <c r="K360" s="195"/>
      <c r="AA360" s="197" t="s">
        <v>940</v>
      </c>
      <c r="AB360" s="197">
        <v>2</v>
      </c>
      <c r="AC360" s="197">
        <f t="shared" si="105"/>
        <v>90</v>
      </c>
      <c r="AD360" s="197">
        <f t="shared" si="106"/>
        <v>10</v>
      </c>
      <c r="AE360" s="197">
        <f t="shared" si="107"/>
        <v>20</v>
      </c>
      <c r="AF360" s="197">
        <f t="shared" si="108"/>
        <v>70</v>
      </c>
      <c r="AG360" s="197">
        <f t="shared" si="109"/>
        <v>10</v>
      </c>
      <c r="AH360" s="197">
        <f t="shared" si="110"/>
        <v>20</v>
      </c>
    </row>
    <row r="361" spans="1:34" ht="15">
      <c r="A361" s="195"/>
      <c r="B361" s="195"/>
      <c r="C361" s="195"/>
      <c r="D361" s="195"/>
      <c r="E361" s="195"/>
      <c r="F361" s="195"/>
      <c r="G361" s="195"/>
      <c r="H361" s="195"/>
      <c r="I361" s="195"/>
      <c r="J361" s="195"/>
      <c r="K361" s="195"/>
      <c r="AA361" s="197" t="s">
        <v>941</v>
      </c>
      <c r="AB361" s="197">
        <v>3</v>
      </c>
      <c r="AC361" s="197">
        <f t="shared" si="105"/>
        <v>70</v>
      </c>
      <c r="AD361" s="197">
        <f t="shared" si="106"/>
        <v>10</v>
      </c>
      <c r="AE361" s="197">
        <f t="shared" si="107"/>
        <v>20</v>
      </c>
      <c r="AF361" s="197">
        <f t="shared" si="108"/>
        <v>60</v>
      </c>
      <c r="AG361" s="197">
        <f t="shared" si="109"/>
        <v>10</v>
      </c>
      <c r="AH361" s="197">
        <f t="shared" si="110"/>
        <v>20</v>
      </c>
    </row>
    <row r="362" spans="1:34" ht="15">
      <c r="A362" s="195"/>
      <c r="B362" s="195"/>
      <c r="C362" s="195"/>
      <c r="D362" s="195"/>
      <c r="E362" s="195"/>
      <c r="F362" s="195"/>
      <c r="G362" s="195"/>
      <c r="H362" s="195"/>
      <c r="I362" s="195"/>
      <c r="J362" s="195"/>
      <c r="K362" s="195"/>
      <c r="AA362" s="197" t="s">
        <v>942</v>
      </c>
      <c r="AB362" s="197">
        <v>4</v>
      </c>
      <c r="AC362" s="197">
        <f t="shared" si="105"/>
        <v>50</v>
      </c>
      <c r="AD362" s="197">
        <f t="shared" si="106"/>
        <v>10</v>
      </c>
      <c r="AE362" s="197">
        <f t="shared" si="107"/>
        <v>20</v>
      </c>
      <c r="AF362" s="197">
        <f t="shared" si="108"/>
        <v>50</v>
      </c>
      <c r="AG362" s="197">
        <f t="shared" si="109"/>
        <v>10</v>
      </c>
      <c r="AH362" s="197">
        <f t="shared" si="110"/>
        <v>20</v>
      </c>
    </row>
    <row r="363" spans="1:34" ht="15">
      <c r="A363" s="195"/>
      <c r="B363" s="195"/>
      <c r="C363" s="195"/>
      <c r="D363" s="195"/>
      <c r="E363" s="195"/>
      <c r="F363" s="195"/>
      <c r="G363" s="195"/>
      <c r="H363" s="195"/>
      <c r="I363" s="195"/>
      <c r="J363" s="195"/>
      <c r="K363" s="195"/>
      <c r="AA363" s="197" t="s">
        <v>943</v>
      </c>
      <c r="AB363" s="197">
        <v>4</v>
      </c>
      <c r="AC363" s="197">
        <f t="shared" si="105"/>
        <v>50</v>
      </c>
      <c r="AD363" s="197">
        <f t="shared" si="106"/>
        <v>10</v>
      </c>
      <c r="AE363" s="197">
        <f t="shared" si="107"/>
        <v>20</v>
      </c>
      <c r="AF363" s="197">
        <f t="shared" si="108"/>
        <v>50</v>
      </c>
      <c r="AG363" s="197">
        <f t="shared" si="109"/>
        <v>10</v>
      </c>
      <c r="AH363" s="197">
        <f t="shared" si="110"/>
        <v>20</v>
      </c>
    </row>
    <row r="364" spans="1:34" ht="15">
      <c r="A364" s="195"/>
      <c r="B364" s="195"/>
      <c r="C364" s="195"/>
      <c r="D364" s="195"/>
      <c r="E364" s="195"/>
      <c r="F364" s="195"/>
      <c r="G364" s="195"/>
      <c r="H364" s="195"/>
      <c r="I364" s="195"/>
      <c r="J364" s="195"/>
      <c r="K364" s="195"/>
      <c r="AA364" s="197" t="s">
        <v>944</v>
      </c>
      <c r="AB364" s="197">
        <v>4</v>
      </c>
      <c r="AC364" s="197">
        <f t="shared" si="105"/>
        <v>50</v>
      </c>
      <c r="AD364" s="197">
        <f t="shared" si="106"/>
        <v>10</v>
      </c>
      <c r="AE364" s="197">
        <f t="shared" si="107"/>
        <v>20</v>
      </c>
      <c r="AF364" s="197">
        <f t="shared" si="108"/>
        <v>50</v>
      </c>
      <c r="AG364" s="197">
        <f t="shared" si="109"/>
        <v>10</v>
      </c>
      <c r="AH364" s="197">
        <f t="shared" si="110"/>
        <v>20</v>
      </c>
    </row>
    <row r="365" spans="1:34" ht="15">
      <c r="A365" s="195"/>
      <c r="B365" s="195"/>
      <c r="C365" s="195"/>
      <c r="D365" s="195"/>
      <c r="E365" s="195"/>
      <c r="F365" s="195"/>
      <c r="G365" s="195"/>
      <c r="H365" s="195"/>
      <c r="I365" s="195"/>
      <c r="J365" s="195"/>
      <c r="K365" s="195"/>
      <c r="AA365" s="197" t="s">
        <v>945</v>
      </c>
      <c r="AB365" s="197">
        <v>3</v>
      </c>
      <c r="AC365" s="197">
        <f t="shared" si="105"/>
        <v>70</v>
      </c>
      <c r="AD365" s="197">
        <f t="shared" si="106"/>
        <v>10</v>
      </c>
      <c r="AE365" s="197">
        <f t="shared" si="107"/>
        <v>20</v>
      </c>
      <c r="AF365" s="197">
        <f t="shared" si="108"/>
        <v>60</v>
      </c>
      <c r="AG365" s="197">
        <f t="shared" si="109"/>
        <v>10</v>
      </c>
      <c r="AH365" s="197">
        <f t="shared" si="110"/>
        <v>20</v>
      </c>
    </row>
    <row r="366" spans="1:34" ht="15">
      <c r="A366" s="195"/>
      <c r="B366" s="195"/>
      <c r="C366" s="195"/>
      <c r="D366" s="195"/>
      <c r="E366" s="195"/>
      <c r="F366" s="195"/>
      <c r="G366" s="195"/>
      <c r="H366" s="195"/>
      <c r="I366" s="195"/>
      <c r="J366" s="195"/>
      <c r="K366" s="195"/>
      <c r="AA366" s="197" t="s">
        <v>946</v>
      </c>
      <c r="AB366" s="197">
        <v>2</v>
      </c>
      <c r="AC366" s="197">
        <f t="shared" si="105"/>
        <v>90</v>
      </c>
      <c r="AD366" s="197">
        <f t="shared" si="106"/>
        <v>10</v>
      </c>
      <c r="AE366" s="197">
        <f t="shared" si="107"/>
        <v>20</v>
      </c>
      <c r="AF366" s="197">
        <f t="shared" si="108"/>
        <v>70</v>
      </c>
      <c r="AG366" s="197">
        <f t="shared" si="109"/>
        <v>10</v>
      </c>
      <c r="AH366" s="197">
        <f t="shared" si="110"/>
        <v>20</v>
      </c>
    </row>
    <row r="367" spans="1:34" ht="15">
      <c r="A367" s="195"/>
      <c r="B367" s="195"/>
      <c r="C367" s="195"/>
      <c r="D367" s="195"/>
      <c r="E367" s="195"/>
      <c r="F367" s="195"/>
      <c r="G367" s="195"/>
      <c r="H367" s="195"/>
      <c r="I367" s="195"/>
      <c r="J367" s="195"/>
      <c r="K367" s="195"/>
      <c r="AA367" s="197" t="s">
        <v>947</v>
      </c>
      <c r="AB367" s="197">
        <v>2</v>
      </c>
      <c r="AC367" s="197">
        <f t="shared" si="105"/>
        <v>90</v>
      </c>
      <c r="AD367" s="197">
        <f t="shared" si="106"/>
        <v>10</v>
      </c>
      <c r="AE367" s="197">
        <f t="shared" si="107"/>
        <v>20</v>
      </c>
      <c r="AF367" s="197">
        <f t="shared" si="108"/>
        <v>70</v>
      </c>
      <c r="AG367" s="197">
        <f t="shared" si="109"/>
        <v>10</v>
      </c>
      <c r="AH367" s="197">
        <f t="shared" si="110"/>
        <v>20</v>
      </c>
    </row>
    <row r="368" spans="1:34" ht="15">
      <c r="A368" s="195"/>
      <c r="B368" s="195"/>
      <c r="C368" s="195"/>
      <c r="D368" s="195"/>
      <c r="E368" s="195"/>
      <c r="F368" s="195"/>
      <c r="G368" s="195"/>
      <c r="H368" s="195"/>
      <c r="I368" s="195"/>
      <c r="J368" s="195"/>
      <c r="K368" s="195"/>
      <c r="AA368" s="197" t="s">
        <v>948</v>
      </c>
      <c r="AB368" s="197">
        <v>1</v>
      </c>
      <c r="AC368" s="197">
        <f t="shared" si="105"/>
        <v>115</v>
      </c>
      <c r="AD368" s="197">
        <f t="shared" si="106"/>
        <v>10</v>
      </c>
      <c r="AE368" s="197">
        <f t="shared" si="107"/>
        <v>20</v>
      </c>
      <c r="AF368" s="197">
        <f t="shared" si="108"/>
        <v>95</v>
      </c>
      <c r="AG368" s="197">
        <f t="shared" si="109"/>
        <v>10</v>
      </c>
      <c r="AH368" s="197">
        <f t="shared" si="110"/>
        <v>20</v>
      </c>
    </row>
    <row r="369" spans="1:34" ht="15">
      <c r="A369" s="195"/>
      <c r="B369" s="195"/>
      <c r="C369" s="195"/>
      <c r="D369" s="195"/>
      <c r="E369" s="195"/>
      <c r="F369" s="195"/>
      <c r="G369" s="195"/>
      <c r="H369" s="195"/>
      <c r="I369" s="195"/>
      <c r="J369" s="195"/>
      <c r="K369" s="195"/>
      <c r="AA369" s="197" t="s">
        <v>949</v>
      </c>
      <c r="AB369" s="197">
        <v>1</v>
      </c>
      <c r="AC369" s="197">
        <f t="shared" si="105"/>
        <v>115</v>
      </c>
      <c r="AD369" s="197">
        <f t="shared" si="106"/>
        <v>10</v>
      </c>
      <c r="AE369" s="197">
        <f t="shared" si="107"/>
        <v>20</v>
      </c>
      <c r="AF369" s="197">
        <f t="shared" si="108"/>
        <v>95</v>
      </c>
      <c r="AG369" s="197">
        <f t="shared" si="109"/>
        <v>10</v>
      </c>
      <c r="AH369" s="197">
        <f t="shared" si="110"/>
        <v>20</v>
      </c>
    </row>
    <row r="370" spans="1:34" ht="15">
      <c r="A370" s="195"/>
      <c r="B370" s="195"/>
      <c r="C370" s="195"/>
      <c r="D370" s="195"/>
      <c r="E370" s="195"/>
      <c r="F370" s="195"/>
      <c r="G370" s="195"/>
      <c r="H370" s="195"/>
      <c r="I370" s="195"/>
      <c r="J370" s="195"/>
      <c r="K370" s="195"/>
      <c r="AA370" s="197" t="s">
        <v>950</v>
      </c>
      <c r="AB370" s="197">
        <v>3</v>
      </c>
      <c r="AC370" s="197">
        <f t="shared" si="105"/>
        <v>70</v>
      </c>
      <c r="AD370" s="197">
        <f t="shared" si="106"/>
        <v>10</v>
      </c>
      <c r="AE370" s="197">
        <f t="shared" si="107"/>
        <v>20</v>
      </c>
      <c r="AF370" s="197">
        <f t="shared" si="108"/>
        <v>60</v>
      </c>
      <c r="AG370" s="197">
        <f t="shared" si="109"/>
        <v>10</v>
      </c>
      <c r="AH370" s="197">
        <f t="shared" si="110"/>
        <v>20</v>
      </c>
    </row>
    <row r="371" spans="1:34" ht="15">
      <c r="A371" s="195"/>
      <c r="B371" s="195"/>
      <c r="C371" s="195"/>
      <c r="D371" s="195"/>
      <c r="E371" s="195"/>
      <c r="F371" s="195"/>
      <c r="G371" s="195"/>
      <c r="H371" s="195"/>
      <c r="I371" s="195"/>
      <c r="J371" s="195"/>
      <c r="K371" s="195"/>
      <c r="AA371" s="197" t="s">
        <v>951</v>
      </c>
      <c r="AB371" s="197">
        <v>2</v>
      </c>
      <c r="AC371" s="197">
        <f t="shared" si="105"/>
        <v>90</v>
      </c>
      <c r="AD371" s="197">
        <f t="shared" si="106"/>
        <v>10</v>
      </c>
      <c r="AE371" s="197">
        <f t="shared" si="107"/>
        <v>20</v>
      </c>
      <c r="AF371" s="197">
        <f t="shared" si="108"/>
        <v>70</v>
      </c>
      <c r="AG371" s="197">
        <f t="shared" si="109"/>
        <v>10</v>
      </c>
      <c r="AH371" s="197">
        <f t="shared" si="110"/>
        <v>20</v>
      </c>
    </row>
    <row r="372" spans="1:34" ht="15">
      <c r="A372" s="195"/>
      <c r="B372" s="195"/>
      <c r="C372" s="195"/>
      <c r="D372" s="195"/>
      <c r="E372" s="195"/>
      <c r="F372" s="195"/>
      <c r="G372" s="195"/>
      <c r="H372" s="195"/>
      <c r="I372" s="195"/>
      <c r="J372" s="195"/>
      <c r="K372" s="195"/>
      <c r="AA372" s="197" t="s">
        <v>952</v>
      </c>
      <c r="AB372" s="197">
        <v>4</v>
      </c>
      <c r="AC372" s="197">
        <f t="shared" si="105"/>
        <v>50</v>
      </c>
      <c r="AD372" s="197">
        <f t="shared" si="106"/>
        <v>10</v>
      </c>
      <c r="AE372" s="197">
        <f t="shared" si="107"/>
        <v>20</v>
      </c>
      <c r="AF372" s="197">
        <f t="shared" si="108"/>
        <v>50</v>
      </c>
      <c r="AG372" s="197">
        <f t="shared" si="109"/>
        <v>10</v>
      </c>
      <c r="AH372" s="197">
        <f t="shared" si="110"/>
        <v>20</v>
      </c>
    </row>
    <row r="373" spans="1:34" ht="15">
      <c r="A373" s="195"/>
      <c r="B373" s="195"/>
      <c r="C373" s="195"/>
      <c r="D373" s="195"/>
      <c r="E373" s="195"/>
      <c r="F373" s="195"/>
      <c r="G373" s="195"/>
      <c r="H373" s="195"/>
      <c r="I373" s="195"/>
      <c r="J373" s="195"/>
      <c r="K373" s="195"/>
      <c r="AA373" s="197" t="s">
        <v>953</v>
      </c>
      <c r="AB373" s="197">
        <v>3</v>
      </c>
      <c r="AC373" s="197">
        <f t="shared" si="105"/>
        <v>70</v>
      </c>
      <c r="AD373" s="197">
        <f t="shared" si="106"/>
        <v>10</v>
      </c>
      <c r="AE373" s="197">
        <f t="shared" si="107"/>
        <v>20</v>
      </c>
      <c r="AF373" s="197">
        <f t="shared" si="108"/>
        <v>60</v>
      </c>
      <c r="AG373" s="197">
        <f t="shared" si="109"/>
        <v>10</v>
      </c>
      <c r="AH373" s="197">
        <f t="shared" si="110"/>
        <v>20</v>
      </c>
    </row>
    <row r="374" spans="1:34" ht="15">
      <c r="A374" s="195"/>
      <c r="B374" s="195"/>
      <c r="C374" s="195"/>
      <c r="D374" s="195"/>
      <c r="E374" s="195"/>
      <c r="F374" s="195"/>
      <c r="G374" s="195"/>
      <c r="H374" s="195"/>
      <c r="I374" s="195"/>
      <c r="J374" s="195"/>
      <c r="K374" s="195"/>
      <c r="AA374" s="197" t="s">
        <v>954</v>
      </c>
      <c r="AB374" s="197">
        <v>3</v>
      </c>
      <c r="AC374" s="197">
        <f t="shared" si="105"/>
        <v>70</v>
      </c>
      <c r="AD374" s="197">
        <f t="shared" si="106"/>
        <v>10</v>
      </c>
      <c r="AE374" s="197">
        <f t="shared" si="107"/>
        <v>20</v>
      </c>
      <c r="AF374" s="197">
        <f t="shared" si="108"/>
        <v>60</v>
      </c>
      <c r="AG374" s="197">
        <f t="shared" si="109"/>
        <v>10</v>
      </c>
      <c r="AH374" s="197">
        <f t="shared" si="110"/>
        <v>20</v>
      </c>
    </row>
    <row r="375" spans="1:34" ht="15">
      <c r="A375" s="195"/>
      <c r="B375" s="195"/>
      <c r="C375" s="195"/>
      <c r="D375" s="195"/>
      <c r="E375" s="195"/>
      <c r="F375" s="195"/>
      <c r="G375" s="195"/>
      <c r="H375" s="195"/>
      <c r="I375" s="195"/>
      <c r="J375" s="195"/>
      <c r="K375" s="195"/>
      <c r="AA375" s="197" t="s">
        <v>955</v>
      </c>
      <c r="AB375" s="197">
        <v>4</v>
      </c>
      <c r="AC375" s="197">
        <f t="shared" si="105"/>
        <v>50</v>
      </c>
      <c r="AD375" s="197">
        <f t="shared" si="106"/>
        <v>10</v>
      </c>
      <c r="AE375" s="197">
        <f t="shared" si="107"/>
        <v>20</v>
      </c>
      <c r="AF375" s="197">
        <f t="shared" si="108"/>
        <v>50</v>
      </c>
      <c r="AG375" s="197">
        <f t="shared" si="109"/>
        <v>10</v>
      </c>
      <c r="AH375" s="197">
        <f t="shared" si="110"/>
        <v>20</v>
      </c>
    </row>
    <row r="376" spans="1:34" ht="15">
      <c r="A376" s="195"/>
      <c r="B376" s="195"/>
      <c r="C376" s="195"/>
      <c r="D376" s="195"/>
      <c r="E376" s="195"/>
      <c r="F376" s="195"/>
      <c r="G376" s="195"/>
      <c r="H376" s="195"/>
      <c r="I376" s="195"/>
      <c r="J376" s="195"/>
      <c r="K376" s="195"/>
      <c r="AA376" s="197" t="s">
        <v>956</v>
      </c>
      <c r="AB376" s="197">
        <v>3</v>
      </c>
      <c r="AC376" s="197">
        <f t="shared" si="105"/>
        <v>70</v>
      </c>
      <c r="AD376" s="197">
        <f t="shared" si="106"/>
        <v>10</v>
      </c>
      <c r="AE376" s="197">
        <f t="shared" si="107"/>
        <v>20</v>
      </c>
      <c r="AF376" s="197">
        <f t="shared" si="108"/>
        <v>60</v>
      </c>
      <c r="AG376" s="197">
        <f t="shared" si="109"/>
        <v>10</v>
      </c>
      <c r="AH376" s="197">
        <f t="shared" si="110"/>
        <v>20</v>
      </c>
    </row>
    <row r="377" spans="1:11" ht="15">
      <c r="A377" s="195"/>
      <c r="B377" s="195"/>
      <c r="C377" s="195"/>
      <c r="D377" s="195"/>
      <c r="E377" s="195"/>
      <c r="F377" s="195"/>
      <c r="G377" s="195"/>
      <c r="H377" s="195"/>
      <c r="I377" s="195"/>
      <c r="J377" s="195"/>
      <c r="K377" s="195"/>
    </row>
    <row r="378" spans="1:11" ht="15">
      <c r="A378" s="195"/>
      <c r="B378" s="195"/>
      <c r="C378" s="195"/>
      <c r="D378" s="195"/>
      <c r="E378" s="195"/>
      <c r="F378" s="195"/>
      <c r="G378" s="195"/>
      <c r="H378" s="195"/>
      <c r="I378" s="195"/>
      <c r="J378" s="195"/>
      <c r="K378" s="195"/>
    </row>
    <row r="379" spans="1:11" ht="15">
      <c r="A379" s="195"/>
      <c r="B379" s="195"/>
      <c r="C379" s="195"/>
      <c r="D379" s="195"/>
      <c r="E379" s="195"/>
      <c r="F379" s="195"/>
      <c r="G379" s="195"/>
      <c r="H379" s="195"/>
      <c r="I379" s="195"/>
      <c r="J379" s="195"/>
      <c r="K379" s="195"/>
    </row>
    <row r="380" spans="1:11" ht="15">
      <c r="A380" s="195"/>
      <c r="B380" s="195"/>
      <c r="C380" s="195"/>
      <c r="D380" s="195"/>
      <c r="E380" s="195"/>
      <c r="F380" s="195"/>
      <c r="G380" s="195"/>
      <c r="H380" s="195"/>
      <c r="I380" s="195"/>
      <c r="J380" s="195"/>
      <c r="K380" s="195"/>
    </row>
    <row r="381" spans="1:11" ht="15">
      <c r="A381" s="195"/>
      <c r="B381" s="195"/>
      <c r="C381" s="195"/>
      <c r="D381" s="195"/>
      <c r="E381" s="195"/>
      <c r="F381" s="195"/>
      <c r="G381" s="195"/>
      <c r="H381" s="195"/>
      <c r="I381" s="195"/>
      <c r="J381" s="195"/>
      <c r="K381" s="195"/>
    </row>
    <row r="382" spans="1:11" ht="15">
      <c r="A382" s="195"/>
      <c r="B382" s="195"/>
      <c r="C382" s="195"/>
      <c r="D382" s="195"/>
      <c r="E382" s="195"/>
      <c r="F382" s="195"/>
      <c r="G382" s="195"/>
      <c r="H382" s="195"/>
      <c r="I382" s="195"/>
      <c r="J382" s="195"/>
      <c r="K382" s="195"/>
    </row>
    <row r="383" spans="1:11" ht="15">
      <c r="A383" s="195"/>
      <c r="B383" s="195"/>
      <c r="C383" s="195"/>
      <c r="D383" s="195"/>
      <c r="E383" s="195"/>
      <c r="F383" s="195"/>
      <c r="G383" s="195"/>
      <c r="H383" s="195"/>
      <c r="I383" s="195"/>
      <c r="J383" s="195"/>
      <c r="K383" s="195"/>
    </row>
    <row r="384" spans="1:11" ht="15">
      <c r="A384" s="195"/>
      <c r="B384" s="195"/>
      <c r="C384" s="195"/>
      <c r="D384" s="195"/>
      <c r="E384" s="195"/>
      <c r="F384" s="195"/>
      <c r="G384" s="195"/>
      <c r="H384" s="195"/>
      <c r="I384" s="195"/>
      <c r="J384" s="195"/>
      <c r="K384" s="195"/>
    </row>
    <row r="385" spans="1:11" ht="15">
      <c r="A385" s="195"/>
      <c r="B385" s="195"/>
      <c r="C385" s="195"/>
      <c r="D385" s="195"/>
      <c r="E385" s="195"/>
      <c r="F385" s="195"/>
      <c r="G385" s="195"/>
      <c r="H385" s="195"/>
      <c r="I385" s="195"/>
      <c r="J385" s="195"/>
      <c r="K385" s="195"/>
    </row>
    <row r="386" spans="1:11" ht="15">
      <c r="A386" s="195"/>
      <c r="B386" s="195"/>
      <c r="C386" s="195"/>
      <c r="D386" s="195"/>
      <c r="E386" s="195"/>
      <c r="F386" s="195"/>
      <c r="G386" s="195"/>
      <c r="H386" s="195"/>
      <c r="I386" s="195"/>
      <c r="J386" s="195"/>
      <c r="K386" s="195"/>
    </row>
    <row r="387" spans="1:11" ht="15">
      <c r="A387" s="195"/>
      <c r="B387" s="195"/>
      <c r="C387" s="195"/>
      <c r="D387" s="195"/>
      <c r="E387" s="195"/>
      <c r="F387" s="195"/>
      <c r="G387" s="195"/>
      <c r="H387" s="195"/>
      <c r="I387" s="195"/>
      <c r="J387" s="195"/>
      <c r="K387" s="195"/>
    </row>
    <row r="388" spans="1:11" ht="15">
      <c r="A388" s="195"/>
      <c r="B388" s="195"/>
      <c r="C388" s="195"/>
      <c r="D388" s="195"/>
      <c r="E388" s="195"/>
      <c r="F388" s="195"/>
      <c r="G388" s="195"/>
      <c r="H388" s="195"/>
      <c r="I388" s="195"/>
      <c r="J388" s="195"/>
      <c r="K388" s="195"/>
    </row>
    <row r="389" spans="1:11" ht="15">
      <c r="A389" s="195"/>
      <c r="B389" s="195"/>
      <c r="C389" s="195"/>
      <c r="D389" s="195"/>
      <c r="E389" s="195"/>
      <c r="F389" s="195"/>
      <c r="G389" s="195"/>
      <c r="H389" s="195"/>
      <c r="I389" s="195"/>
      <c r="J389" s="195"/>
      <c r="K389" s="195"/>
    </row>
    <row r="390" spans="1:11" ht="15">
      <c r="A390" s="195"/>
      <c r="B390" s="195"/>
      <c r="C390" s="195"/>
      <c r="D390" s="195"/>
      <c r="E390" s="195"/>
      <c r="F390" s="195"/>
      <c r="G390" s="195"/>
      <c r="H390" s="195"/>
      <c r="I390" s="195"/>
      <c r="J390" s="195"/>
      <c r="K390" s="195"/>
    </row>
    <row r="391" spans="1:11" ht="15">
      <c r="A391" s="195"/>
      <c r="B391" s="195"/>
      <c r="C391" s="195"/>
      <c r="D391" s="195"/>
      <c r="E391" s="195"/>
      <c r="F391" s="195"/>
      <c r="G391" s="195"/>
      <c r="H391" s="195"/>
      <c r="I391" s="195"/>
      <c r="J391" s="195"/>
      <c r="K391" s="195"/>
    </row>
    <row r="392" spans="1:11" ht="15">
      <c r="A392" s="195"/>
      <c r="B392" s="195"/>
      <c r="C392" s="195"/>
      <c r="D392" s="195"/>
      <c r="E392" s="195"/>
      <c r="F392" s="195"/>
      <c r="G392" s="195"/>
      <c r="H392" s="195"/>
      <c r="I392" s="195"/>
      <c r="J392" s="195"/>
      <c r="K392" s="195"/>
    </row>
    <row r="393" spans="1:11" ht="15">
      <c r="A393" s="195"/>
      <c r="B393" s="195"/>
      <c r="C393" s="195"/>
      <c r="D393" s="195"/>
      <c r="E393" s="195"/>
      <c r="F393" s="195"/>
      <c r="G393" s="195"/>
      <c r="H393" s="195"/>
      <c r="I393" s="195"/>
      <c r="J393" s="195"/>
      <c r="K393" s="195"/>
    </row>
    <row r="394" spans="1:11" ht="15">
      <c r="A394" s="195"/>
      <c r="B394" s="195"/>
      <c r="C394" s="195"/>
      <c r="D394" s="195"/>
      <c r="E394" s="195"/>
      <c r="F394" s="195"/>
      <c r="G394" s="195"/>
      <c r="H394" s="195"/>
      <c r="I394" s="195"/>
      <c r="J394" s="195"/>
      <c r="K394" s="195"/>
    </row>
    <row r="395" spans="1:11" ht="15">
      <c r="A395" s="195"/>
      <c r="B395" s="195"/>
      <c r="C395" s="195"/>
      <c r="D395" s="195"/>
      <c r="E395" s="195"/>
      <c r="F395" s="195"/>
      <c r="G395" s="195"/>
      <c r="H395" s="195"/>
      <c r="I395" s="195"/>
      <c r="J395" s="195"/>
      <c r="K395" s="195"/>
    </row>
    <row r="396" spans="1:11" ht="15">
      <c r="A396" s="195"/>
      <c r="B396" s="195"/>
      <c r="C396" s="195"/>
      <c r="D396" s="195"/>
      <c r="E396" s="195"/>
      <c r="F396" s="195"/>
      <c r="G396" s="195"/>
      <c r="H396" s="195"/>
      <c r="I396" s="195"/>
      <c r="J396" s="195"/>
      <c r="K396" s="195"/>
    </row>
    <row r="397" spans="1:11" ht="15">
      <c r="A397" s="195"/>
      <c r="B397" s="195"/>
      <c r="C397" s="195"/>
      <c r="D397" s="195"/>
      <c r="E397" s="195"/>
      <c r="F397" s="195"/>
      <c r="G397" s="195"/>
      <c r="H397" s="195"/>
      <c r="I397" s="195"/>
      <c r="J397" s="195"/>
      <c r="K397" s="195"/>
    </row>
    <row r="398" spans="1:11" ht="15">
      <c r="A398" s="195"/>
      <c r="B398" s="195"/>
      <c r="C398" s="195"/>
      <c r="D398" s="195"/>
      <c r="E398" s="195"/>
      <c r="F398" s="195"/>
      <c r="G398" s="195"/>
      <c r="H398" s="195"/>
      <c r="I398" s="195"/>
      <c r="J398" s="195"/>
      <c r="K398" s="195"/>
    </row>
    <row r="399" spans="1:11" ht="15">
      <c r="A399" s="195"/>
      <c r="B399" s="195"/>
      <c r="C399" s="195"/>
      <c r="D399" s="195"/>
      <c r="E399" s="195"/>
      <c r="F399" s="195"/>
      <c r="G399" s="195"/>
      <c r="H399" s="195"/>
      <c r="I399" s="195"/>
      <c r="J399" s="195"/>
      <c r="K399" s="195"/>
    </row>
    <row r="400" spans="1:11" ht="15">
      <c r="A400" s="195"/>
      <c r="B400" s="195"/>
      <c r="C400" s="195"/>
      <c r="D400" s="195"/>
      <c r="E400" s="195"/>
      <c r="F400" s="195"/>
      <c r="G400" s="195"/>
      <c r="H400" s="195"/>
      <c r="I400" s="195"/>
      <c r="J400" s="195"/>
      <c r="K400" s="195"/>
    </row>
    <row r="401" spans="1:11" ht="15">
      <c r="A401" s="195"/>
      <c r="B401" s="195"/>
      <c r="C401" s="195"/>
      <c r="D401" s="195"/>
      <c r="E401" s="195"/>
      <c r="F401" s="195"/>
      <c r="G401" s="195"/>
      <c r="H401" s="195"/>
      <c r="I401" s="195"/>
      <c r="J401" s="195"/>
      <c r="K401" s="195"/>
    </row>
    <row r="402" spans="1:11" ht="15">
      <c r="A402" s="195"/>
      <c r="B402" s="195"/>
      <c r="C402" s="195"/>
      <c r="D402" s="195"/>
      <c r="E402" s="195"/>
      <c r="F402" s="195"/>
      <c r="G402" s="195"/>
      <c r="H402" s="195"/>
      <c r="I402" s="195"/>
      <c r="J402" s="195"/>
      <c r="K402" s="195"/>
    </row>
    <row r="403" spans="1:11" ht="15">
      <c r="A403" s="195"/>
      <c r="B403" s="195"/>
      <c r="C403" s="195"/>
      <c r="D403" s="195"/>
      <c r="E403" s="195"/>
      <c r="F403" s="195"/>
      <c r="G403" s="195"/>
      <c r="H403" s="195"/>
      <c r="I403" s="195"/>
      <c r="J403" s="195"/>
      <c r="K403" s="195"/>
    </row>
    <row r="404" spans="1:11" ht="15">
      <c r="A404" s="195"/>
      <c r="B404" s="195"/>
      <c r="C404" s="195"/>
      <c r="D404" s="195"/>
      <c r="E404" s="195"/>
      <c r="F404" s="195"/>
      <c r="G404" s="195"/>
      <c r="H404" s="195"/>
      <c r="I404" s="195"/>
      <c r="J404" s="195"/>
      <c r="K404" s="195"/>
    </row>
    <row r="405" spans="1:11" ht="15">
      <c r="A405" s="195"/>
      <c r="B405" s="195"/>
      <c r="C405" s="195"/>
      <c r="D405" s="195"/>
      <c r="E405" s="195"/>
      <c r="F405" s="195"/>
      <c r="G405" s="195"/>
      <c r="H405" s="195"/>
      <c r="I405" s="195"/>
      <c r="J405" s="195"/>
      <c r="K405" s="195"/>
    </row>
    <row r="406" spans="1:11" ht="15">
      <c r="A406" s="195"/>
      <c r="B406" s="195"/>
      <c r="C406" s="195"/>
      <c r="D406" s="195"/>
      <c r="E406" s="195"/>
      <c r="F406" s="195"/>
      <c r="G406" s="195"/>
      <c r="H406" s="195"/>
      <c r="I406" s="195"/>
      <c r="J406" s="195"/>
      <c r="K406" s="195"/>
    </row>
    <row r="407" spans="1:11" ht="15">
      <c r="A407" s="195"/>
      <c r="B407" s="195"/>
      <c r="C407" s="195"/>
      <c r="D407" s="195"/>
      <c r="E407" s="195"/>
      <c r="F407" s="195"/>
      <c r="G407" s="195"/>
      <c r="H407" s="195"/>
      <c r="I407" s="195"/>
      <c r="J407" s="195"/>
      <c r="K407" s="195"/>
    </row>
    <row r="408" spans="1:11" ht="15">
      <c r="A408" s="195"/>
      <c r="B408" s="195"/>
      <c r="C408" s="195"/>
      <c r="D408" s="195"/>
      <c r="E408" s="195"/>
      <c r="F408" s="195"/>
      <c r="G408" s="195"/>
      <c r="H408" s="195"/>
      <c r="I408" s="195"/>
      <c r="J408" s="195"/>
      <c r="K408" s="195"/>
    </row>
    <row r="409" spans="1:11" ht="15">
      <c r="A409" s="195"/>
      <c r="B409" s="195"/>
      <c r="C409" s="195"/>
      <c r="D409" s="195"/>
      <c r="E409" s="195"/>
      <c r="F409" s="195"/>
      <c r="G409" s="195"/>
      <c r="H409" s="195"/>
      <c r="I409" s="195"/>
      <c r="J409" s="195"/>
      <c r="K409" s="195"/>
    </row>
    <row r="410" spans="1:11" ht="15">
      <c r="A410" s="195"/>
      <c r="B410" s="195"/>
      <c r="C410" s="195"/>
      <c r="D410" s="195"/>
      <c r="E410" s="195"/>
      <c r="F410" s="195"/>
      <c r="G410" s="195"/>
      <c r="H410" s="195"/>
      <c r="I410" s="195"/>
      <c r="J410" s="195"/>
      <c r="K410" s="195"/>
    </row>
    <row r="411" spans="1:11" ht="15">
      <c r="A411" s="195"/>
      <c r="B411" s="195"/>
      <c r="C411" s="195"/>
      <c r="D411" s="195"/>
      <c r="E411" s="195"/>
      <c r="F411" s="195"/>
      <c r="G411" s="195"/>
      <c r="H411" s="195"/>
      <c r="I411" s="195"/>
      <c r="J411" s="195"/>
      <c r="K411" s="195"/>
    </row>
    <row r="412" spans="1:11" ht="15">
      <c r="A412" s="195"/>
      <c r="B412" s="195"/>
      <c r="C412" s="195"/>
      <c r="D412" s="195"/>
      <c r="E412" s="195"/>
      <c r="F412" s="195"/>
      <c r="G412" s="195"/>
      <c r="H412" s="195"/>
      <c r="I412" s="195"/>
      <c r="J412" s="195"/>
      <c r="K412" s="195"/>
    </row>
    <row r="413" spans="1:11" ht="15">
      <c r="A413" s="195"/>
      <c r="B413" s="195"/>
      <c r="C413" s="195"/>
      <c r="D413" s="195"/>
      <c r="E413" s="195"/>
      <c r="F413" s="195"/>
      <c r="G413" s="195"/>
      <c r="H413" s="195"/>
      <c r="I413" s="195"/>
      <c r="J413" s="195"/>
      <c r="K413" s="195"/>
    </row>
    <row r="414" spans="1:11" ht="15">
      <c r="A414" s="195"/>
      <c r="B414" s="195"/>
      <c r="C414" s="195"/>
      <c r="D414" s="195"/>
      <c r="E414" s="195"/>
      <c r="F414" s="195"/>
      <c r="G414" s="195"/>
      <c r="H414" s="195"/>
      <c r="I414" s="195"/>
      <c r="J414" s="195"/>
      <c r="K414" s="195"/>
    </row>
    <row r="415" spans="1:11" ht="15">
      <c r="A415" s="195"/>
      <c r="B415" s="195"/>
      <c r="C415" s="195"/>
      <c r="D415" s="195"/>
      <c r="E415" s="195"/>
      <c r="F415" s="195"/>
      <c r="G415" s="195"/>
      <c r="H415" s="195"/>
      <c r="I415" s="195"/>
      <c r="J415" s="195"/>
      <c r="K415" s="195"/>
    </row>
    <row r="416" spans="1:11" ht="15">
      <c r="A416" s="195"/>
      <c r="B416" s="195"/>
      <c r="C416" s="195"/>
      <c r="D416" s="195"/>
      <c r="E416" s="195"/>
      <c r="F416" s="195"/>
      <c r="G416" s="195"/>
      <c r="H416" s="195"/>
      <c r="I416" s="195"/>
      <c r="J416" s="195"/>
      <c r="K416" s="195"/>
    </row>
    <row r="417" spans="1:11" ht="15">
      <c r="A417" s="195"/>
      <c r="B417" s="195"/>
      <c r="C417" s="195"/>
      <c r="D417" s="195"/>
      <c r="E417" s="195"/>
      <c r="F417" s="195"/>
      <c r="G417" s="195"/>
      <c r="H417" s="195"/>
      <c r="I417" s="195"/>
      <c r="J417" s="195"/>
      <c r="K417" s="195"/>
    </row>
    <row r="418" spans="1:11" ht="15">
      <c r="A418" s="195"/>
      <c r="B418" s="195"/>
      <c r="C418" s="195"/>
      <c r="D418" s="195"/>
      <c r="E418" s="195"/>
      <c r="F418" s="195"/>
      <c r="G418" s="195"/>
      <c r="H418" s="195"/>
      <c r="I418" s="195"/>
      <c r="J418" s="195"/>
      <c r="K418" s="195"/>
    </row>
    <row r="419" spans="1:11" ht="15">
      <c r="A419" s="195"/>
      <c r="B419" s="195"/>
      <c r="C419" s="195"/>
      <c r="D419" s="195"/>
      <c r="E419" s="195"/>
      <c r="F419" s="195"/>
      <c r="G419" s="195"/>
      <c r="H419" s="195"/>
      <c r="I419" s="195"/>
      <c r="J419" s="195"/>
      <c r="K419" s="195"/>
    </row>
    <row r="420" spans="1:11" ht="15">
      <c r="A420" s="195"/>
      <c r="B420" s="195"/>
      <c r="C420" s="195"/>
      <c r="D420" s="195"/>
      <c r="E420" s="195"/>
      <c r="F420" s="195"/>
      <c r="G420" s="195"/>
      <c r="H420" s="195"/>
      <c r="I420" s="195"/>
      <c r="J420" s="195"/>
      <c r="K420" s="195"/>
    </row>
    <row r="421" spans="1:11" ht="15">
      <c r="A421" s="195"/>
      <c r="B421" s="195"/>
      <c r="C421" s="195"/>
      <c r="D421" s="195"/>
      <c r="E421" s="195"/>
      <c r="F421" s="195"/>
      <c r="G421" s="195"/>
      <c r="H421" s="195"/>
      <c r="I421" s="195"/>
      <c r="J421" s="195"/>
      <c r="K421" s="195"/>
    </row>
    <row r="422" spans="1:11" ht="15">
      <c r="A422" s="195"/>
      <c r="B422" s="195"/>
      <c r="C422" s="195"/>
      <c r="D422" s="195"/>
      <c r="E422" s="195"/>
      <c r="F422" s="195"/>
      <c r="G422" s="195"/>
      <c r="H422" s="195"/>
      <c r="I422" s="195"/>
      <c r="J422" s="195"/>
      <c r="K422" s="195"/>
    </row>
    <row r="423" spans="1:11" ht="15">
      <c r="A423" s="195"/>
      <c r="B423" s="195"/>
      <c r="C423" s="195"/>
      <c r="D423" s="195"/>
      <c r="E423" s="195"/>
      <c r="F423" s="195"/>
      <c r="G423" s="195"/>
      <c r="H423" s="195"/>
      <c r="I423" s="195"/>
      <c r="J423" s="195"/>
      <c r="K423" s="195"/>
    </row>
    <row r="424" spans="1:11" ht="15">
      <c r="A424" s="195"/>
      <c r="B424" s="195"/>
      <c r="C424" s="195"/>
      <c r="D424" s="195"/>
      <c r="E424" s="195"/>
      <c r="F424" s="195"/>
      <c r="G424" s="195"/>
      <c r="H424" s="195"/>
      <c r="I424" s="195"/>
      <c r="J424" s="195"/>
      <c r="K424" s="195"/>
    </row>
    <row r="425" spans="1:11" ht="15">
      <c r="A425" s="195"/>
      <c r="B425" s="195"/>
      <c r="C425" s="195"/>
      <c r="D425" s="195"/>
      <c r="E425" s="195"/>
      <c r="F425" s="195"/>
      <c r="G425" s="195"/>
      <c r="H425" s="195"/>
      <c r="I425" s="195"/>
      <c r="J425" s="195"/>
      <c r="K425" s="195"/>
    </row>
    <row r="426" spans="1:11" ht="15">
      <c r="A426" s="195"/>
      <c r="B426" s="195"/>
      <c r="C426" s="195"/>
      <c r="D426" s="195"/>
      <c r="E426" s="195"/>
      <c r="F426" s="195"/>
      <c r="G426" s="195"/>
      <c r="H426" s="195"/>
      <c r="I426" s="195"/>
      <c r="J426" s="195"/>
      <c r="K426" s="195"/>
    </row>
    <row r="427" spans="1:11" ht="15">
      <c r="A427" s="195"/>
      <c r="B427" s="195"/>
      <c r="C427" s="195"/>
      <c r="D427" s="195"/>
      <c r="E427" s="195"/>
      <c r="F427" s="195"/>
      <c r="G427" s="195"/>
      <c r="H427" s="195"/>
      <c r="I427" s="195"/>
      <c r="J427" s="195"/>
      <c r="K427" s="195"/>
    </row>
    <row r="428" spans="1:11" ht="15">
      <c r="A428" s="195"/>
      <c r="B428" s="195"/>
      <c r="C428" s="195"/>
      <c r="D428" s="195"/>
      <c r="E428" s="195"/>
      <c r="F428" s="195"/>
      <c r="G428" s="195"/>
      <c r="H428" s="195"/>
      <c r="I428" s="195"/>
      <c r="J428" s="195"/>
      <c r="K428" s="195"/>
    </row>
    <row r="429" spans="1:11" ht="15">
      <c r="A429" s="195"/>
      <c r="B429" s="195"/>
      <c r="C429" s="195"/>
      <c r="D429" s="195"/>
      <c r="E429" s="195"/>
      <c r="F429" s="195"/>
      <c r="G429" s="195"/>
      <c r="H429" s="195"/>
      <c r="I429" s="195"/>
      <c r="J429" s="195"/>
      <c r="K429" s="195"/>
    </row>
    <row r="430" spans="1:11" ht="15">
      <c r="A430" s="195"/>
      <c r="B430" s="195"/>
      <c r="C430" s="195"/>
      <c r="D430" s="195"/>
      <c r="E430" s="195"/>
      <c r="F430" s="195"/>
      <c r="G430" s="195"/>
      <c r="H430" s="195"/>
      <c r="I430" s="195"/>
      <c r="J430" s="195"/>
      <c r="K430" s="195"/>
    </row>
    <row r="431" spans="1:11" ht="15">
      <c r="A431" s="195"/>
      <c r="B431" s="195"/>
      <c r="C431" s="195"/>
      <c r="D431" s="195"/>
      <c r="E431" s="195"/>
      <c r="F431" s="195"/>
      <c r="G431" s="195"/>
      <c r="H431" s="195"/>
      <c r="I431" s="195"/>
      <c r="J431" s="195"/>
      <c r="K431" s="195"/>
    </row>
    <row r="432" spans="1:11" ht="15">
      <c r="A432" s="195"/>
      <c r="B432" s="195"/>
      <c r="C432" s="195"/>
      <c r="D432" s="195"/>
      <c r="E432" s="195"/>
      <c r="F432" s="195"/>
      <c r="G432" s="195"/>
      <c r="H432" s="195"/>
      <c r="I432" s="195"/>
      <c r="J432" s="195"/>
      <c r="K432" s="195"/>
    </row>
    <row r="433" spans="1:11" ht="15">
      <c r="A433" s="195"/>
      <c r="B433" s="195"/>
      <c r="C433" s="195"/>
      <c r="D433" s="195"/>
      <c r="E433" s="195"/>
      <c r="F433" s="195"/>
      <c r="G433" s="195"/>
      <c r="H433" s="195"/>
      <c r="I433" s="195"/>
      <c r="J433" s="195"/>
      <c r="K433" s="195"/>
    </row>
    <row r="434" spans="1:11" ht="15">
      <c r="A434" s="195"/>
      <c r="B434" s="195"/>
      <c r="C434" s="195"/>
      <c r="D434" s="195"/>
      <c r="E434" s="195"/>
      <c r="F434" s="195"/>
      <c r="G434" s="195"/>
      <c r="H434" s="195"/>
      <c r="I434" s="195"/>
      <c r="J434" s="195"/>
      <c r="K434" s="195"/>
    </row>
    <row r="435" spans="1:11" ht="15">
      <c r="A435" s="195"/>
      <c r="B435" s="195"/>
      <c r="C435" s="195"/>
      <c r="D435" s="195"/>
      <c r="E435" s="195"/>
      <c r="F435" s="195"/>
      <c r="G435" s="195"/>
      <c r="H435" s="195"/>
      <c r="I435" s="195"/>
      <c r="J435" s="195"/>
      <c r="K435" s="195"/>
    </row>
    <row r="436" spans="1:11" ht="15">
      <c r="A436" s="195"/>
      <c r="B436" s="195"/>
      <c r="C436" s="195"/>
      <c r="D436" s="195"/>
      <c r="E436" s="195"/>
      <c r="F436" s="195"/>
      <c r="G436" s="195"/>
      <c r="H436" s="195"/>
      <c r="I436" s="195"/>
      <c r="J436" s="195"/>
      <c r="K436" s="195"/>
    </row>
    <row r="437" spans="1:11" ht="15">
      <c r="A437" s="195"/>
      <c r="B437" s="195"/>
      <c r="C437" s="195"/>
      <c r="D437" s="195"/>
      <c r="E437" s="195"/>
      <c r="F437" s="195"/>
      <c r="G437" s="195"/>
      <c r="H437" s="195"/>
      <c r="I437" s="195"/>
      <c r="J437" s="195"/>
      <c r="K437" s="195"/>
    </row>
    <row r="438" spans="1:11" ht="15">
      <c r="A438" s="195"/>
      <c r="B438" s="195"/>
      <c r="C438" s="195"/>
      <c r="D438" s="195"/>
      <c r="E438" s="195"/>
      <c r="F438" s="195"/>
      <c r="G438" s="195"/>
      <c r="H438" s="195"/>
      <c r="I438" s="195"/>
      <c r="J438" s="195"/>
      <c r="K438" s="195"/>
    </row>
    <row r="439" spans="1:11" ht="15">
      <c r="A439" s="195"/>
      <c r="B439" s="195"/>
      <c r="C439" s="195"/>
      <c r="D439" s="195"/>
      <c r="E439" s="195"/>
      <c r="F439" s="195"/>
      <c r="G439" s="195"/>
      <c r="H439" s="195"/>
      <c r="I439" s="195"/>
      <c r="J439" s="195"/>
      <c r="K439" s="195"/>
    </row>
    <row r="440" spans="1:11" ht="15">
      <c r="A440" s="195"/>
      <c r="B440" s="195"/>
      <c r="C440" s="195"/>
      <c r="D440" s="195"/>
      <c r="E440" s="195"/>
      <c r="F440" s="195"/>
      <c r="G440" s="195"/>
      <c r="H440" s="195"/>
      <c r="I440" s="195"/>
      <c r="J440" s="195"/>
      <c r="K440" s="195"/>
    </row>
    <row r="441" spans="1:11" ht="15">
      <c r="A441" s="195"/>
      <c r="B441" s="195"/>
      <c r="C441" s="195"/>
      <c r="D441" s="195"/>
      <c r="E441" s="195"/>
      <c r="F441" s="195"/>
      <c r="G441" s="195"/>
      <c r="H441" s="195"/>
      <c r="I441" s="195"/>
      <c r="J441" s="195"/>
      <c r="K441" s="195"/>
    </row>
    <row r="442" spans="1:11" ht="15">
      <c r="A442" s="195"/>
      <c r="B442" s="195"/>
      <c r="C442" s="195"/>
      <c r="D442" s="195"/>
      <c r="E442" s="195"/>
      <c r="F442" s="195"/>
      <c r="G442" s="195"/>
      <c r="H442" s="195"/>
      <c r="I442" s="195"/>
      <c r="J442" s="195"/>
      <c r="K442" s="195"/>
    </row>
    <row r="443" spans="1:11" ht="15">
      <c r="A443" s="195"/>
      <c r="B443" s="195"/>
      <c r="C443" s="195"/>
      <c r="D443" s="195"/>
      <c r="E443" s="195"/>
      <c r="F443" s="195"/>
      <c r="G443" s="195"/>
      <c r="H443" s="195"/>
      <c r="I443" s="195"/>
      <c r="J443" s="195"/>
      <c r="K443" s="195"/>
    </row>
    <row r="444" spans="1:11" ht="15">
      <c r="A444" s="195" t="s">
        <v>1422</v>
      </c>
      <c r="B444" s="195"/>
      <c r="C444" s="195" t="s">
        <v>1423</v>
      </c>
      <c r="D444" s="195"/>
      <c r="E444" s="195"/>
      <c r="F444" s="195" t="s">
        <v>1424</v>
      </c>
      <c r="G444" s="195"/>
      <c r="H444" s="195"/>
      <c r="I444" s="195"/>
      <c r="J444" s="195"/>
      <c r="K444" s="195"/>
    </row>
    <row r="445" spans="1:11" ht="15">
      <c r="A445" s="195"/>
      <c r="B445" s="195"/>
      <c r="C445" s="195"/>
      <c r="D445" s="195"/>
      <c r="E445" s="195"/>
      <c r="F445" s="195"/>
      <c r="G445" s="195"/>
      <c r="H445" s="195"/>
      <c r="I445" s="195"/>
      <c r="J445" s="195"/>
      <c r="K445" s="195"/>
    </row>
    <row r="446" spans="1:11" ht="15">
      <c r="A446" s="195"/>
      <c r="B446" s="195"/>
      <c r="C446" s="195"/>
      <c r="D446" s="195"/>
      <c r="E446" s="195"/>
      <c r="F446" s="195"/>
      <c r="G446" s="195"/>
      <c r="H446" s="195"/>
      <c r="I446" s="195"/>
      <c r="J446" s="195"/>
      <c r="K446" s="195"/>
    </row>
    <row r="447" spans="1:11" ht="15">
      <c r="A447" s="195"/>
      <c r="B447" s="195"/>
      <c r="C447" s="195"/>
      <c r="D447" s="195"/>
      <c r="E447" s="195"/>
      <c r="F447" s="195"/>
      <c r="G447" s="195"/>
      <c r="H447" s="195"/>
      <c r="I447" s="195"/>
      <c r="J447" s="195"/>
      <c r="K447" s="195"/>
    </row>
    <row r="448" spans="1:11" ht="15">
      <c r="A448" s="195"/>
      <c r="B448" s="195"/>
      <c r="C448" s="195"/>
      <c r="D448" s="195"/>
      <c r="E448" s="195"/>
      <c r="F448" s="195"/>
      <c r="G448" s="195"/>
      <c r="H448" s="195"/>
      <c r="I448" s="195"/>
      <c r="J448" s="195"/>
      <c r="K448" s="195"/>
    </row>
    <row r="449" spans="1:11" ht="15">
      <c r="A449" s="195"/>
      <c r="B449" s="195"/>
      <c r="C449" s="195"/>
      <c r="D449" s="195"/>
      <c r="E449" s="195"/>
      <c r="F449" s="195"/>
      <c r="G449" s="195"/>
      <c r="H449" s="195"/>
      <c r="I449" s="195"/>
      <c r="J449" s="195"/>
      <c r="K449" s="195"/>
    </row>
    <row r="450" spans="1:11" ht="15">
      <c r="A450" s="195"/>
      <c r="B450" s="195"/>
      <c r="C450" s="195"/>
      <c r="D450" s="195"/>
      <c r="E450" s="195"/>
      <c r="F450" s="195"/>
      <c r="G450" s="195"/>
      <c r="H450" s="195"/>
      <c r="I450" s="195"/>
      <c r="J450" s="195"/>
      <c r="K450" s="195"/>
    </row>
    <row r="451" spans="1:11" ht="15">
      <c r="A451" s="195"/>
      <c r="B451" s="195"/>
      <c r="C451" s="195"/>
      <c r="D451" s="195"/>
      <c r="E451" s="195"/>
      <c r="F451" s="195"/>
      <c r="G451" s="195"/>
      <c r="H451" s="195"/>
      <c r="I451" s="195"/>
      <c r="J451" s="195"/>
      <c r="K451" s="195"/>
    </row>
    <row r="452" spans="1:11" ht="15">
      <c r="A452" s="195"/>
      <c r="B452" s="195"/>
      <c r="C452" s="195"/>
      <c r="D452" s="195"/>
      <c r="E452" s="195"/>
      <c r="F452" s="195"/>
      <c r="G452" s="195"/>
      <c r="H452" s="195"/>
      <c r="I452" s="195"/>
      <c r="J452" s="195"/>
      <c r="K452" s="195"/>
    </row>
    <row r="453" spans="1:11" ht="15">
      <c r="A453" s="195"/>
      <c r="B453" s="195"/>
      <c r="C453" s="195"/>
      <c r="D453" s="195"/>
      <c r="E453" s="195"/>
      <c r="F453" s="195"/>
      <c r="G453" s="195"/>
      <c r="H453" s="195"/>
      <c r="I453" s="195"/>
      <c r="J453" s="195"/>
      <c r="K453" s="195"/>
    </row>
    <row r="454" spans="1:11" ht="15">
      <c r="A454" s="195"/>
      <c r="B454" s="195"/>
      <c r="C454" s="195"/>
      <c r="D454" s="195"/>
      <c r="E454" s="195"/>
      <c r="F454" s="195"/>
      <c r="G454" s="195"/>
      <c r="H454" s="195"/>
      <c r="I454" s="195"/>
      <c r="J454" s="195"/>
      <c r="K454" s="195"/>
    </row>
    <row r="455" spans="1:11" ht="15">
      <c r="A455" s="195"/>
      <c r="B455" s="195"/>
      <c r="C455" s="195"/>
      <c r="D455" s="195"/>
      <c r="E455" s="195"/>
      <c r="F455" s="195"/>
      <c r="G455" s="195"/>
      <c r="H455" s="195"/>
      <c r="I455" s="195"/>
      <c r="J455" s="195"/>
      <c r="K455" s="195"/>
    </row>
    <row r="456" spans="1:11" ht="15">
      <c r="A456" s="195"/>
      <c r="B456" s="195"/>
      <c r="C456" s="195"/>
      <c r="D456" s="195"/>
      <c r="E456" s="195"/>
      <c r="F456" s="195"/>
      <c r="G456" s="195"/>
      <c r="H456" s="195"/>
      <c r="I456" s="195"/>
      <c r="J456" s="195"/>
      <c r="K456" s="195"/>
    </row>
    <row r="457" spans="1:11" ht="15">
      <c r="A457" s="195"/>
      <c r="B457" s="195"/>
      <c r="C457" s="195"/>
      <c r="D457" s="195"/>
      <c r="E457" s="195"/>
      <c r="F457" s="195"/>
      <c r="G457" s="195"/>
      <c r="H457" s="195"/>
      <c r="I457" s="195"/>
      <c r="J457" s="195"/>
      <c r="K457" s="195"/>
    </row>
    <row r="458" spans="1:11" ht="15">
      <c r="A458" s="195"/>
      <c r="B458" s="195"/>
      <c r="C458" s="195"/>
      <c r="D458" s="195"/>
      <c r="E458" s="195"/>
      <c r="F458" s="195"/>
      <c r="G458" s="195"/>
      <c r="H458" s="195"/>
      <c r="I458" s="195"/>
      <c r="J458" s="195"/>
      <c r="K458" s="195"/>
    </row>
    <row r="459" spans="1:11" ht="15">
      <c r="A459" s="195"/>
      <c r="B459" s="195"/>
      <c r="C459" s="195"/>
      <c r="D459" s="195"/>
      <c r="E459" s="195"/>
      <c r="F459" s="195"/>
      <c r="G459" s="195"/>
      <c r="H459" s="195"/>
      <c r="I459" s="195"/>
      <c r="J459" s="195"/>
      <c r="K459" s="195"/>
    </row>
    <row r="460" spans="1:11" ht="15">
      <c r="A460" s="195"/>
      <c r="B460" s="195"/>
      <c r="C460" s="195"/>
      <c r="D460" s="195"/>
      <c r="E460" s="195"/>
      <c r="F460" s="195"/>
      <c r="G460" s="195"/>
      <c r="H460" s="195"/>
      <c r="I460" s="195"/>
      <c r="J460" s="195"/>
      <c r="K460" s="195"/>
    </row>
    <row r="461" spans="1:11" ht="15">
      <c r="A461" s="195"/>
      <c r="B461" s="195"/>
      <c r="C461" s="195"/>
      <c r="D461" s="195"/>
      <c r="E461" s="195"/>
      <c r="F461" s="195"/>
      <c r="G461" s="195"/>
      <c r="H461" s="195"/>
      <c r="I461" s="195"/>
      <c r="J461" s="195"/>
      <c r="K461" s="195"/>
    </row>
    <row r="462" spans="1:11" ht="15">
      <c r="A462" s="195"/>
      <c r="B462" s="195"/>
      <c r="C462" s="195"/>
      <c r="D462" s="195"/>
      <c r="E462" s="195"/>
      <c r="F462" s="195"/>
      <c r="G462" s="195"/>
      <c r="H462" s="195"/>
      <c r="I462" s="195"/>
      <c r="J462" s="195"/>
      <c r="K462" s="195"/>
    </row>
    <row r="463" spans="1:11" ht="15">
      <c r="A463" s="195"/>
      <c r="B463" s="195"/>
      <c r="C463" s="195"/>
      <c r="D463" s="195"/>
      <c r="E463" s="195"/>
      <c r="F463" s="195"/>
      <c r="G463" s="195"/>
      <c r="H463" s="195"/>
      <c r="I463" s="195"/>
      <c r="J463" s="195"/>
      <c r="K463" s="195"/>
    </row>
    <row r="464" spans="1:11" ht="15">
      <c r="A464" s="195"/>
      <c r="B464" s="195"/>
      <c r="C464" s="195"/>
      <c r="D464" s="195"/>
      <c r="E464" s="195"/>
      <c r="F464" s="195"/>
      <c r="G464" s="195"/>
      <c r="H464" s="195"/>
      <c r="I464" s="195"/>
      <c r="J464" s="195"/>
      <c r="K464" s="195"/>
    </row>
    <row r="465" spans="1:11" ht="15">
      <c r="A465" s="195"/>
      <c r="B465" s="195"/>
      <c r="C465" s="195"/>
      <c r="D465" s="195"/>
      <c r="E465" s="195"/>
      <c r="F465" s="195"/>
      <c r="G465" s="195"/>
      <c r="H465" s="195"/>
      <c r="I465" s="195"/>
      <c r="J465" s="195"/>
      <c r="K465" s="195"/>
    </row>
    <row r="466" spans="1:11" ht="15">
      <c r="A466" s="195"/>
      <c r="B466" s="195"/>
      <c r="C466" s="195"/>
      <c r="D466" s="195"/>
      <c r="E466" s="195"/>
      <c r="F466" s="195"/>
      <c r="G466" s="195"/>
      <c r="H466" s="195"/>
      <c r="I466" s="195"/>
      <c r="J466" s="195"/>
      <c r="K466" s="195"/>
    </row>
    <row r="467" spans="1:11" ht="15">
      <c r="A467" s="195"/>
      <c r="B467" s="195"/>
      <c r="C467" s="195"/>
      <c r="D467" s="195"/>
      <c r="E467" s="195"/>
      <c r="F467" s="195"/>
      <c r="G467" s="195"/>
      <c r="H467" s="195"/>
      <c r="I467" s="195"/>
      <c r="J467" s="195"/>
      <c r="K467" s="195"/>
    </row>
    <row r="468" spans="1:11" ht="15">
      <c r="A468" s="195"/>
      <c r="B468" s="195"/>
      <c r="C468" s="195"/>
      <c r="D468" s="195"/>
      <c r="E468" s="195"/>
      <c r="F468" s="195"/>
      <c r="G468" s="195"/>
      <c r="H468" s="195"/>
      <c r="I468" s="195"/>
      <c r="J468" s="195"/>
      <c r="K468" s="195"/>
    </row>
    <row r="469" spans="1:11" ht="15">
      <c r="A469" s="195"/>
      <c r="B469" s="195"/>
      <c r="C469" s="195"/>
      <c r="D469" s="195"/>
      <c r="E469" s="195"/>
      <c r="F469" s="195"/>
      <c r="G469" s="195"/>
      <c r="H469" s="195"/>
      <c r="I469" s="195"/>
      <c r="J469" s="195"/>
      <c r="K469" s="195"/>
    </row>
    <row r="470" spans="1:11" ht="15">
      <c r="A470" s="195"/>
      <c r="B470" s="195"/>
      <c r="C470" s="195"/>
      <c r="D470" s="195"/>
      <c r="E470" s="195"/>
      <c r="F470" s="195"/>
      <c r="G470" s="195"/>
      <c r="H470" s="195"/>
      <c r="I470" s="195"/>
      <c r="J470" s="195"/>
      <c r="K470" s="195"/>
    </row>
    <row r="471" spans="1:11" ht="15">
      <c r="A471" s="195"/>
      <c r="B471" s="195"/>
      <c r="C471" s="195"/>
      <c r="D471" s="195"/>
      <c r="E471" s="195"/>
      <c r="F471" s="195"/>
      <c r="G471" s="195"/>
      <c r="H471" s="195"/>
      <c r="I471" s="195"/>
      <c r="J471" s="195"/>
      <c r="K471" s="195"/>
    </row>
    <row r="472" spans="1:11" ht="15">
      <c r="A472" s="195"/>
      <c r="B472" s="195"/>
      <c r="C472" s="195"/>
      <c r="D472" s="195"/>
      <c r="E472" s="195"/>
      <c r="F472" s="195"/>
      <c r="G472" s="195"/>
      <c r="H472" s="195"/>
      <c r="I472" s="195"/>
      <c r="J472" s="195"/>
      <c r="K472" s="195"/>
    </row>
    <row r="473" spans="1:11" ht="15">
      <c r="A473" s="195"/>
      <c r="B473" s="195"/>
      <c r="C473" s="195"/>
      <c r="D473" s="195"/>
      <c r="E473" s="195"/>
      <c r="F473" s="195"/>
      <c r="G473" s="195"/>
      <c r="H473" s="195"/>
      <c r="I473" s="195"/>
      <c r="J473" s="195"/>
      <c r="K473" s="195"/>
    </row>
    <row r="474" spans="1:11" ht="15">
      <c r="A474" s="195"/>
      <c r="B474" s="195"/>
      <c r="C474" s="195"/>
      <c r="D474" s="195"/>
      <c r="E474" s="195"/>
      <c r="F474" s="195"/>
      <c r="G474" s="195"/>
      <c r="H474" s="195"/>
      <c r="I474" s="195"/>
      <c r="J474" s="195"/>
      <c r="K474" s="195"/>
    </row>
    <row r="475" spans="1:11" ht="15">
      <c r="A475" s="195"/>
      <c r="B475" s="195"/>
      <c r="C475" s="195"/>
      <c r="D475" s="195"/>
      <c r="E475" s="195"/>
      <c r="F475" s="195"/>
      <c r="G475" s="195"/>
      <c r="H475" s="195"/>
      <c r="I475" s="195"/>
      <c r="J475" s="195"/>
      <c r="K475" s="195"/>
    </row>
    <row r="476" spans="1:11" ht="15">
      <c r="A476" s="195"/>
      <c r="B476" s="195"/>
      <c r="C476" s="195"/>
      <c r="D476" s="195"/>
      <c r="E476" s="195"/>
      <c r="F476" s="195"/>
      <c r="G476" s="195"/>
      <c r="H476" s="195"/>
      <c r="I476" s="195"/>
      <c r="J476" s="195"/>
      <c r="K476" s="195"/>
    </row>
    <row r="477" spans="1:11" ht="15">
      <c r="A477" s="195"/>
      <c r="B477" s="195"/>
      <c r="C477" s="195"/>
      <c r="D477" s="195"/>
      <c r="E477" s="195"/>
      <c r="F477" s="195"/>
      <c r="G477" s="195"/>
      <c r="H477" s="195"/>
      <c r="I477" s="195"/>
      <c r="J477" s="195"/>
      <c r="K477" s="195"/>
    </row>
    <row r="478" spans="1:11" ht="15">
      <c r="A478" s="195"/>
      <c r="B478" s="195"/>
      <c r="C478" s="195"/>
      <c r="D478" s="195"/>
      <c r="E478" s="195"/>
      <c r="F478" s="195"/>
      <c r="G478" s="195"/>
      <c r="H478" s="195"/>
      <c r="I478" s="195"/>
      <c r="J478" s="195"/>
      <c r="K478" s="195"/>
    </row>
    <row r="479" spans="1:11" ht="15">
      <c r="A479" s="195"/>
      <c r="B479" s="195"/>
      <c r="C479" s="195"/>
      <c r="D479" s="195"/>
      <c r="E479" s="195"/>
      <c r="F479" s="195"/>
      <c r="G479" s="195"/>
      <c r="H479" s="195"/>
      <c r="I479" s="195"/>
      <c r="J479" s="195"/>
      <c r="K479" s="195"/>
    </row>
    <row r="480" spans="1:11" ht="15">
      <c r="A480" s="195"/>
      <c r="B480" s="195"/>
      <c r="C480" s="195"/>
      <c r="D480" s="195"/>
      <c r="E480" s="195"/>
      <c r="F480" s="195"/>
      <c r="G480" s="195"/>
      <c r="H480" s="195"/>
      <c r="I480" s="195"/>
      <c r="J480" s="195"/>
      <c r="K480" s="195"/>
    </row>
    <row r="481" spans="1:11" ht="15">
      <c r="A481" s="195"/>
      <c r="B481" s="195"/>
      <c r="C481" s="195"/>
      <c r="D481" s="195"/>
      <c r="E481" s="195"/>
      <c r="F481" s="195"/>
      <c r="G481" s="195"/>
      <c r="H481" s="195"/>
      <c r="I481" s="195"/>
      <c r="J481" s="195"/>
      <c r="K481" s="195"/>
    </row>
    <row r="482" spans="1:11" ht="15">
      <c r="A482" s="195"/>
      <c r="B482" s="195"/>
      <c r="C482" s="195"/>
      <c r="D482" s="195"/>
      <c r="E482" s="195"/>
      <c r="F482" s="195"/>
      <c r="G482" s="195"/>
      <c r="H482" s="195"/>
      <c r="I482" s="195"/>
      <c r="J482" s="195"/>
      <c r="K482" s="195"/>
    </row>
    <row r="483" spans="1:11" ht="15">
      <c r="A483" s="195"/>
      <c r="B483" s="195"/>
      <c r="C483" s="195"/>
      <c r="D483" s="195"/>
      <c r="E483" s="195"/>
      <c r="F483" s="195"/>
      <c r="G483" s="195"/>
      <c r="H483" s="195"/>
      <c r="I483" s="195"/>
      <c r="J483" s="195"/>
      <c r="K483" s="195"/>
    </row>
    <row r="828" ht="15">
      <c r="B828" s="197" t="s">
        <v>958</v>
      </c>
    </row>
    <row r="829" spans="1:4" ht="15">
      <c r="A829" s="197" t="s">
        <v>959</v>
      </c>
      <c r="D829" s="254" t="s">
        <v>960</v>
      </c>
    </row>
    <row r="830" spans="1:4" ht="15">
      <c r="A830" s="197" t="s">
        <v>961</v>
      </c>
      <c r="B830" s="254" t="s">
        <v>962</v>
      </c>
      <c r="C830" s="254" t="s">
        <v>963</v>
      </c>
      <c r="D830" s="254" t="s">
        <v>964</v>
      </c>
    </row>
    <row r="831" spans="1:4" ht="15">
      <c r="A831" s="255" t="s">
        <v>298</v>
      </c>
      <c r="B831" s="255" t="s">
        <v>298</v>
      </c>
      <c r="C831" s="255" t="s">
        <v>298</v>
      </c>
      <c r="D831" s="255" t="s">
        <v>298</v>
      </c>
    </row>
    <row r="832" spans="1:7" ht="15">
      <c r="A832" s="195" t="s">
        <v>965</v>
      </c>
      <c r="B832" s="207">
        <f>B34</f>
        <v>0</v>
      </c>
      <c r="C832" s="207">
        <f>C34</f>
        <v>0</v>
      </c>
      <c r="D832" s="207">
        <f>G836</f>
        <v>341.3333333333333</v>
      </c>
      <c r="E832" s="195"/>
      <c r="F832" s="195" t="s">
        <v>966</v>
      </c>
      <c r="G832" s="207">
        <f>SUM($B$832*$C$832)</f>
        <v>0</v>
      </c>
    </row>
    <row r="833" spans="1:7" ht="15">
      <c r="A833" s="195" t="s">
        <v>967</v>
      </c>
      <c r="B833" s="207">
        <f>B35</f>
        <v>-48</v>
      </c>
      <c r="C833" s="207">
        <f>C35</f>
        <v>-48</v>
      </c>
      <c r="D833" s="195"/>
      <c r="E833" s="195"/>
      <c r="F833" s="195" t="s">
        <v>968</v>
      </c>
      <c r="G833" s="207">
        <f>SUM($B$833*$C$833)</f>
        <v>2304</v>
      </c>
    </row>
    <row r="834" spans="1:7" ht="15">
      <c r="A834" s="195" t="s">
        <v>969</v>
      </c>
      <c r="B834" s="207">
        <f>B37</f>
        <v>2</v>
      </c>
      <c r="C834" s="207">
        <f>C37</f>
        <v>2</v>
      </c>
      <c r="D834" s="195"/>
      <c r="E834" s="195"/>
      <c r="F834" s="195" t="s">
        <v>970</v>
      </c>
      <c r="G834" s="207">
        <f>SUM($B$832+$B$833)*($C$832+$C$833)</f>
        <v>2304</v>
      </c>
    </row>
    <row r="835" spans="1:7" ht="15">
      <c r="A835" s="195" t="s">
        <v>971</v>
      </c>
      <c r="B835" s="207">
        <f>B36</f>
        <v>12</v>
      </c>
      <c r="C835" s="195"/>
      <c r="D835" s="195"/>
      <c r="E835" s="195"/>
      <c r="F835" s="195" t="s">
        <v>972</v>
      </c>
      <c r="G835" s="207">
        <f>G832+G833+G834</f>
        <v>4608</v>
      </c>
    </row>
    <row r="836" spans="1:7" ht="15">
      <c r="A836" s="195"/>
      <c r="B836" s="195"/>
      <c r="C836" s="195"/>
      <c r="D836" s="195"/>
      <c r="E836" s="195"/>
      <c r="F836" s="195"/>
      <c r="G836" s="207">
        <f>(G835*B835)/162</f>
        <v>341.3333333333333</v>
      </c>
    </row>
    <row r="839" ht="15">
      <c r="B839" s="197" t="s">
        <v>973</v>
      </c>
    </row>
    <row r="840" spans="1:4" ht="15">
      <c r="A840" s="197" t="s">
        <v>959</v>
      </c>
      <c r="D840" s="254" t="s">
        <v>960</v>
      </c>
    </row>
    <row r="841" spans="1:4" ht="15">
      <c r="A841" s="197" t="s">
        <v>961</v>
      </c>
      <c r="B841" s="254" t="s">
        <v>962</v>
      </c>
      <c r="C841" s="254" t="s">
        <v>963</v>
      </c>
      <c r="D841" s="254" t="s">
        <v>964</v>
      </c>
    </row>
    <row r="842" spans="1:4" ht="15">
      <c r="A842" s="255" t="s">
        <v>298</v>
      </c>
      <c r="B842" s="255" t="s">
        <v>298</v>
      </c>
      <c r="C842" s="255" t="s">
        <v>298</v>
      </c>
      <c r="D842" s="255" t="s">
        <v>298</v>
      </c>
    </row>
    <row r="843" spans="1:7" ht="15">
      <c r="A843" s="195" t="s">
        <v>965</v>
      </c>
      <c r="B843" s="207">
        <f>B832</f>
        <v>0</v>
      </c>
      <c r="C843" s="207">
        <f>C832</f>
        <v>0</v>
      </c>
      <c r="D843" s="207">
        <f>G847</f>
        <v>312.8888888888889</v>
      </c>
      <c r="E843" s="195"/>
      <c r="F843" s="195" t="s">
        <v>966</v>
      </c>
      <c r="G843" s="207">
        <f>SUM($B$843*$C$843)</f>
        <v>0</v>
      </c>
    </row>
    <row r="844" spans="1:7" ht="15">
      <c r="A844" s="195" t="s">
        <v>967</v>
      </c>
      <c r="B844" s="207">
        <f>B35</f>
        <v>-48</v>
      </c>
      <c r="C844" s="207">
        <f>C35</f>
        <v>-48</v>
      </c>
      <c r="D844" s="195"/>
      <c r="E844" s="195"/>
      <c r="F844" s="195" t="s">
        <v>968</v>
      </c>
      <c r="G844" s="207">
        <f>SUM($B$833*$C$833)</f>
        <v>2304</v>
      </c>
    </row>
    <row r="845" spans="1:7" ht="15">
      <c r="A845" s="195" t="s">
        <v>969</v>
      </c>
      <c r="B845" s="207">
        <f>B37</f>
        <v>2</v>
      </c>
      <c r="C845" s="207">
        <f>C37</f>
        <v>2</v>
      </c>
      <c r="D845" s="195"/>
      <c r="E845" s="195"/>
      <c r="F845" s="195" t="s">
        <v>970</v>
      </c>
      <c r="G845" s="207">
        <f>SUM($B$843+$B$844)*($C$843+$C$844)</f>
        <v>2304</v>
      </c>
    </row>
    <row r="846" spans="1:7" ht="15">
      <c r="A846" s="195" t="s">
        <v>971</v>
      </c>
      <c r="B846" s="207">
        <f>B36-1</f>
        <v>11</v>
      </c>
      <c r="C846" s="195"/>
      <c r="D846" s="195"/>
      <c r="E846" s="195"/>
      <c r="F846" s="195" t="s">
        <v>972</v>
      </c>
      <c r="G846" s="207">
        <f>G843+G844+G845</f>
        <v>4608</v>
      </c>
    </row>
    <row r="847" spans="1:7" ht="15">
      <c r="A847" s="195"/>
      <c r="B847" s="204" t="s">
        <v>332</v>
      </c>
      <c r="C847" s="195" t="s">
        <v>332</v>
      </c>
      <c r="D847" s="195"/>
      <c r="E847" s="195"/>
      <c r="F847" s="195"/>
      <c r="G847" s="207">
        <f>(G846*B846)/162</f>
        <v>312.8888888888889</v>
      </c>
    </row>
    <row r="848" spans="1:3" ht="15">
      <c r="A848" s="195"/>
      <c r="B848" s="204" t="e">
        <f>P40</f>
        <v>#N/A</v>
      </c>
      <c r="C848" s="197" t="s">
        <v>977</v>
      </c>
    </row>
    <row r="849" spans="2:3" ht="15">
      <c r="B849" s="197">
        <f>(H6/12)</f>
        <v>0.2916666666666667</v>
      </c>
      <c r="C849" s="197" t="s">
        <v>1425</v>
      </c>
    </row>
    <row r="850" spans="1:3" ht="15">
      <c r="A850" s="195"/>
      <c r="B850" s="204">
        <f>(G843*B849)/27</f>
        <v>0</v>
      </c>
      <c r="C850" s="197" t="s">
        <v>1426</v>
      </c>
    </row>
    <row r="851" spans="1:6" ht="15">
      <c r="A851" s="195"/>
      <c r="B851" s="204">
        <f>G843/27</f>
        <v>0</v>
      </c>
      <c r="C851" s="197" t="s">
        <v>980</v>
      </c>
      <c r="F851" s="197" t="s">
        <v>1427</v>
      </c>
    </row>
    <row r="852" spans="2:6" ht="15">
      <c r="B852" s="255" t="s">
        <v>298</v>
      </c>
      <c r="F852" s="197" t="b">
        <f>ISERR(B32)</f>
        <v>0</v>
      </c>
    </row>
    <row r="853" spans="1:3" ht="15">
      <c r="A853" s="195"/>
      <c r="B853" s="204" t="e">
        <f>B848+B850</f>
        <v>#N/A</v>
      </c>
      <c r="C853" s="197" t="s">
        <v>981</v>
      </c>
    </row>
    <row r="854" ht="15">
      <c r="A854" s="197" t="s">
        <v>1428</v>
      </c>
    </row>
    <row r="855" ht="15">
      <c r="A855" s="197" t="s">
        <v>1429</v>
      </c>
    </row>
    <row r="856" ht="15">
      <c r="A856" s="197" t="s">
        <v>1430</v>
      </c>
    </row>
    <row r="857" ht="15">
      <c r="E857" s="197" t="s">
        <v>983</v>
      </c>
    </row>
    <row r="858" spans="2:5" ht="15">
      <c r="B858" s="244" t="s">
        <v>982</v>
      </c>
      <c r="C858" s="244" t="s">
        <v>983</v>
      </c>
      <c r="D858" s="244" t="s">
        <v>984</v>
      </c>
      <c r="E858" s="197" t="s">
        <v>1431</v>
      </c>
    </row>
    <row r="859" spans="1:5" ht="15">
      <c r="A859" s="197" t="s">
        <v>658</v>
      </c>
      <c r="B859" s="197">
        <v>3.6</v>
      </c>
      <c r="C859" s="197">
        <v>15</v>
      </c>
      <c r="D859" s="197">
        <v>0.4</v>
      </c>
      <c r="E859" s="197">
        <v>37</v>
      </c>
    </row>
    <row r="860" spans="1:5" ht="15">
      <c r="A860" s="197" t="s">
        <v>660</v>
      </c>
      <c r="B860" s="197">
        <v>4</v>
      </c>
      <c r="C860" s="197">
        <v>18</v>
      </c>
      <c r="D860" s="197">
        <v>0.6</v>
      </c>
      <c r="E860" s="197">
        <v>31</v>
      </c>
    </row>
    <row r="861" spans="1:5" ht="15">
      <c r="A861" s="197" t="s">
        <v>662</v>
      </c>
      <c r="B861" s="197">
        <v>3.8</v>
      </c>
      <c r="C861" s="197">
        <v>17</v>
      </c>
      <c r="D861" s="197">
        <v>0.6</v>
      </c>
      <c r="E861" s="197">
        <v>31</v>
      </c>
    </row>
    <row r="862" spans="1:5" ht="15">
      <c r="A862" s="197" t="s">
        <v>664</v>
      </c>
      <c r="B862" s="197">
        <v>3.5</v>
      </c>
      <c r="C862" s="197">
        <v>14</v>
      </c>
      <c r="D862" s="197">
        <v>0.4</v>
      </c>
      <c r="E862" s="197">
        <v>37</v>
      </c>
    </row>
    <row r="863" spans="1:5" ht="15">
      <c r="A863" s="197" t="s">
        <v>666</v>
      </c>
      <c r="B863" s="197">
        <v>3.7</v>
      </c>
      <c r="C863" s="197">
        <v>16.5</v>
      </c>
      <c r="D863" s="197">
        <v>0.6</v>
      </c>
      <c r="E863" s="197">
        <v>32</v>
      </c>
    </row>
    <row r="864" spans="1:5" ht="15">
      <c r="A864" s="197" t="s">
        <v>667</v>
      </c>
      <c r="B864" s="197">
        <v>3.5</v>
      </c>
      <c r="C864" s="197">
        <v>15</v>
      </c>
      <c r="D864" s="197">
        <v>0.4</v>
      </c>
      <c r="E864" s="197">
        <v>38</v>
      </c>
    </row>
    <row r="865" spans="1:5" ht="15">
      <c r="A865" s="197" t="s">
        <v>668</v>
      </c>
      <c r="B865" s="197">
        <v>3.5</v>
      </c>
      <c r="C865" s="197">
        <v>14.5</v>
      </c>
      <c r="D865" s="197">
        <v>0.6</v>
      </c>
      <c r="E865" s="197">
        <v>34</v>
      </c>
    </row>
    <row r="866" spans="1:5" ht="15">
      <c r="A866" s="197" t="s">
        <v>669</v>
      </c>
      <c r="B866" s="197">
        <v>3.8</v>
      </c>
      <c r="C866" s="197">
        <v>16</v>
      </c>
      <c r="D866" s="197">
        <v>0.4</v>
      </c>
      <c r="E866" s="197">
        <v>34</v>
      </c>
    </row>
    <row r="867" spans="1:5" ht="15">
      <c r="A867" s="197" t="s">
        <v>671</v>
      </c>
      <c r="B867" s="197">
        <v>4.1</v>
      </c>
      <c r="C867" s="197">
        <v>19</v>
      </c>
      <c r="D867" s="197">
        <v>0.7</v>
      </c>
      <c r="E867" s="197">
        <v>30</v>
      </c>
    </row>
    <row r="868" spans="1:5" ht="15">
      <c r="A868" s="197" t="s">
        <v>672</v>
      </c>
      <c r="B868" s="197">
        <v>3.8</v>
      </c>
      <c r="C868" s="197">
        <v>18</v>
      </c>
      <c r="D868" s="197">
        <v>0.7</v>
      </c>
      <c r="E868" s="197">
        <v>29</v>
      </c>
    </row>
    <row r="869" spans="1:5" ht="15">
      <c r="A869" s="197" t="s">
        <v>674</v>
      </c>
      <c r="B869" s="197">
        <v>4.1</v>
      </c>
      <c r="C869" s="197">
        <v>19</v>
      </c>
      <c r="D869" s="197">
        <v>0.6</v>
      </c>
      <c r="E869" s="197">
        <v>32</v>
      </c>
    </row>
    <row r="870" spans="1:5" ht="15">
      <c r="A870" s="197" t="s">
        <v>676</v>
      </c>
      <c r="B870" s="197">
        <v>3.5</v>
      </c>
      <c r="C870" s="197">
        <v>13</v>
      </c>
      <c r="D870" s="197">
        <v>0.6</v>
      </c>
      <c r="E870" s="197">
        <v>35</v>
      </c>
    </row>
    <row r="871" spans="1:5" ht="15">
      <c r="A871" s="197" t="s">
        <v>678</v>
      </c>
      <c r="B871" s="197">
        <v>3.6</v>
      </c>
      <c r="C871" s="197">
        <v>15.5</v>
      </c>
      <c r="D871" s="197">
        <v>0.4</v>
      </c>
      <c r="E871" s="197">
        <v>36</v>
      </c>
    </row>
    <row r="872" spans="1:5" ht="15">
      <c r="A872" s="197" t="s">
        <v>679</v>
      </c>
      <c r="B872" s="197">
        <v>3.8</v>
      </c>
      <c r="C872" s="197">
        <v>17.5</v>
      </c>
      <c r="D872" s="197">
        <v>0.6</v>
      </c>
      <c r="E872" s="197">
        <v>31</v>
      </c>
    </row>
    <row r="873" spans="1:5" ht="15">
      <c r="A873" s="197" t="s">
        <v>681</v>
      </c>
      <c r="B873" s="197">
        <v>3.9</v>
      </c>
      <c r="C873" s="197">
        <v>16</v>
      </c>
      <c r="D873" s="197">
        <v>0.4</v>
      </c>
      <c r="E873" s="197">
        <v>34</v>
      </c>
    </row>
    <row r="874" spans="1:5" ht="15">
      <c r="A874" s="197" t="s">
        <v>683</v>
      </c>
      <c r="B874" s="197">
        <v>3.9</v>
      </c>
      <c r="C874" s="197">
        <v>17.5</v>
      </c>
      <c r="D874" s="197">
        <v>0.6</v>
      </c>
      <c r="E874" s="197">
        <v>31</v>
      </c>
    </row>
    <row r="875" spans="1:5" ht="15">
      <c r="A875" s="197" t="s">
        <v>684</v>
      </c>
      <c r="B875" s="197">
        <v>3.5</v>
      </c>
      <c r="C875" s="197">
        <v>13.5</v>
      </c>
      <c r="D875" s="197">
        <v>0.4</v>
      </c>
      <c r="E875" s="197">
        <v>37</v>
      </c>
    </row>
    <row r="876" spans="1:5" ht="15">
      <c r="A876" s="197" t="s">
        <v>686</v>
      </c>
      <c r="B876" s="197">
        <v>3.9</v>
      </c>
      <c r="C876" s="197">
        <v>19</v>
      </c>
      <c r="D876" s="197">
        <v>0.7</v>
      </c>
      <c r="E876" s="197">
        <v>28</v>
      </c>
    </row>
    <row r="877" spans="1:5" ht="15">
      <c r="A877" s="197" t="s">
        <v>688</v>
      </c>
      <c r="B877" s="197">
        <v>3.7</v>
      </c>
      <c r="C877" s="197">
        <v>16</v>
      </c>
      <c r="D877" s="197">
        <v>0.4</v>
      </c>
      <c r="E877" s="197">
        <v>35</v>
      </c>
    </row>
    <row r="878" spans="1:5" ht="15">
      <c r="A878" s="197" t="s">
        <v>689</v>
      </c>
      <c r="B878" s="197">
        <v>3.9</v>
      </c>
      <c r="C878" s="197">
        <v>18</v>
      </c>
      <c r="D878" s="197">
        <v>0.6</v>
      </c>
      <c r="E878" s="197">
        <v>30</v>
      </c>
    </row>
    <row r="879" spans="1:5" ht="15">
      <c r="A879" s="197" t="s">
        <v>690</v>
      </c>
      <c r="B879" s="197">
        <v>3.6</v>
      </c>
      <c r="C879" s="197">
        <v>15</v>
      </c>
      <c r="D879" s="197">
        <v>0.4</v>
      </c>
      <c r="E879" s="197">
        <v>36</v>
      </c>
    </row>
    <row r="880" spans="1:5" ht="15">
      <c r="A880" s="197" t="s">
        <v>692</v>
      </c>
      <c r="B880" s="197">
        <v>3.8</v>
      </c>
      <c r="C880" s="197">
        <v>17</v>
      </c>
      <c r="D880" s="197">
        <v>0.6</v>
      </c>
      <c r="E880" s="197">
        <v>33</v>
      </c>
    </row>
    <row r="881" spans="1:5" ht="15">
      <c r="A881" s="197" t="s">
        <v>694</v>
      </c>
      <c r="B881" s="197">
        <v>4</v>
      </c>
      <c r="C881" s="197">
        <v>18</v>
      </c>
      <c r="D881" s="197">
        <v>0.6</v>
      </c>
      <c r="E881" s="197">
        <v>32</v>
      </c>
    </row>
    <row r="882" spans="1:5" ht="15">
      <c r="A882" s="197" t="s">
        <v>697</v>
      </c>
      <c r="B882" s="197">
        <v>3.9</v>
      </c>
      <c r="C882" s="197">
        <v>17</v>
      </c>
      <c r="D882" s="197">
        <v>0.6</v>
      </c>
      <c r="E882" s="197">
        <v>33</v>
      </c>
    </row>
    <row r="883" spans="1:5" ht="15">
      <c r="A883" s="197" t="s">
        <v>699</v>
      </c>
      <c r="B883" s="197">
        <v>3.7</v>
      </c>
      <c r="C883" s="197">
        <v>16</v>
      </c>
      <c r="D883" s="197">
        <v>0.6</v>
      </c>
      <c r="E883" s="197">
        <v>32</v>
      </c>
    </row>
    <row r="884" spans="1:5" ht="15">
      <c r="A884" s="197" t="s">
        <v>701</v>
      </c>
      <c r="B884" s="197">
        <v>4</v>
      </c>
      <c r="C884" s="197">
        <v>16.5</v>
      </c>
      <c r="D884" s="197">
        <v>0.6</v>
      </c>
      <c r="E884" s="197">
        <v>33</v>
      </c>
    </row>
    <row r="885" spans="1:5" ht="15">
      <c r="A885" s="197" t="s">
        <v>706</v>
      </c>
      <c r="B885" s="197">
        <v>3.5</v>
      </c>
      <c r="C885" s="197">
        <v>14.5</v>
      </c>
      <c r="D885" s="197">
        <v>0.4</v>
      </c>
      <c r="E885" s="197">
        <v>36</v>
      </c>
    </row>
    <row r="886" spans="1:5" ht="15">
      <c r="A886" s="197" t="s">
        <v>708</v>
      </c>
      <c r="B886" s="197">
        <v>3.7</v>
      </c>
      <c r="C886" s="197">
        <v>16</v>
      </c>
      <c r="D886" s="197">
        <v>0.6</v>
      </c>
      <c r="E886" s="197">
        <v>34</v>
      </c>
    </row>
    <row r="887" spans="1:5" ht="15">
      <c r="A887" s="197" t="s">
        <v>709</v>
      </c>
      <c r="B887" s="197">
        <v>3.6</v>
      </c>
      <c r="C887" s="197">
        <v>16</v>
      </c>
      <c r="D887" s="197">
        <v>0.4</v>
      </c>
      <c r="E887" s="197">
        <v>35</v>
      </c>
    </row>
    <row r="888" spans="1:5" ht="15">
      <c r="A888" s="197" t="s">
        <v>710</v>
      </c>
      <c r="B888" s="197">
        <v>3.7</v>
      </c>
      <c r="C888" s="197">
        <v>16</v>
      </c>
      <c r="D888" s="197">
        <v>0.4</v>
      </c>
      <c r="E888" s="197">
        <v>35</v>
      </c>
    </row>
    <row r="889" spans="1:5" ht="15">
      <c r="A889" s="197" t="s">
        <v>711</v>
      </c>
      <c r="B889" s="197">
        <v>3.6</v>
      </c>
      <c r="C889" s="197">
        <v>14</v>
      </c>
      <c r="D889" s="197">
        <v>0.6</v>
      </c>
      <c r="E889" s="197">
        <v>34</v>
      </c>
    </row>
    <row r="890" spans="1:5" ht="15">
      <c r="A890" s="197" t="s">
        <v>713</v>
      </c>
      <c r="B890" s="197">
        <v>3.9</v>
      </c>
      <c r="C890" s="197">
        <v>17.5</v>
      </c>
      <c r="D890" s="197">
        <v>0.6</v>
      </c>
      <c r="E890" s="197">
        <v>29</v>
      </c>
    </row>
    <row r="891" spans="1:5" ht="15">
      <c r="A891" s="197" t="s">
        <v>715</v>
      </c>
      <c r="B891" s="197">
        <v>3.7</v>
      </c>
      <c r="C891" s="197">
        <v>16</v>
      </c>
      <c r="D891" s="197">
        <v>0.4</v>
      </c>
      <c r="E891" s="197">
        <v>34</v>
      </c>
    </row>
    <row r="892" spans="1:5" ht="15">
      <c r="A892" s="197" t="s">
        <v>717</v>
      </c>
      <c r="B892" s="197">
        <v>3.9</v>
      </c>
      <c r="C892" s="197">
        <v>19</v>
      </c>
      <c r="D892" s="197">
        <v>0.7</v>
      </c>
      <c r="E892" s="197">
        <v>28</v>
      </c>
    </row>
    <row r="893" spans="1:5" ht="15">
      <c r="A893" s="197" t="s">
        <v>751</v>
      </c>
      <c r="B893" s="197">
        <v>3.7</v>
      </c>
      <c r="C893" s="197">
        <v>16</v>
      </c>
      <c r="D893" s="197">
        <v>0.6</v>
      </c>
      <c r="E893" s="197">
        <v>32</v>
      </c>
    </row>
    <row r="894" spans="1:5" ht="15">
      <c r="A894" s="197" t="s">
        <v>752</v>
      </c>
      <c r="B894" s="197">
        <v>3.8</v>
      </c>
      <c r="C894" s="197">
        <v>16.5</v>
      </c>
      <c r="D894" s="197">
        <v>0.6</v>
      </c>
      <c r="E894" s="197">
        <v>30</v>
      </c>
    </row>
    <row r="895" spans="1:5" ht="15">
      <c r="A895" s="197" t="s">
        <v>754</v>
      </c>
      <c r="B895" s="197">
        <v>4.1</v>
      </c>
      <c r="C895" s="197">
        <v>20</v>
      </c>
      <c r="D895" s="197">
        <v>0.7</v>
      </c>
      <c r="E895" s="197">
        <v>31</v>
      </c>
    </row>
    <row r="896" spans="1:5" ht="15">
      <c r="A896" s="197" t="s">
        <v>756</v>
      </c>
      <c r="B896" s="197">
        <v>3.6</v>
      </c>
      <c r="C896" s="197">
        <v>16</v>
      </c>
      <c r="D896" s="197">
        <v>0.6</v>
      </c>
      <c r="E896" s="197">
        <v>33</v>
      </c>
    </row>
    <row r="897" spans="1:5" ht="15">
      <c r="A897" s="197" t="s">
        <v>760</v>
      </c>
      <c r="B897" s="197">
        <v>4.2</v>
      </c>
      <c r="C897" s="197">
        <v>20</v>
      </c>
      <c r="D897" s="197">
        <v>0.7</v>
      </c>
      <c r="E897" s="197">
        <v>30</v>
      </c>
    </row>
    <row r="898" spans="1:5" ht="15">
      <c r="A898" s="197" t="s">
        <v>764</v>
      </c>
      <c r="B898" s="197">
        <v>3.7</v>
      </c>
      <c r="C898" s="197">
        <v>16</v>
      </c>
      <c r="D898" s="197">
        <v>0.6</v>
      </c>
      <c r="E898" s="197">
        <v>31</v>
      </c>
    </row>
    <row r="899" spans="1:5" ht="15">
      <c r="A899" s="197" t="s">
        <v>766</v>
      </c>
      <c r="B899" s="197">
        <v>4.2</v>
      </c>
      <c r="C899" s="197">
        <v>19.5</v>
      </c>
      <c r="D899" s="197">
        <v>0.7</v>
      </c>
      <c r="E899" s="197">
        <v>31</v>
      </c>
    </row>
    <row r="900" spans="1:5" ht="15">
      <c r="A900" s="197" t="s">
        <v>767</v>
      </c>
      <c r="B900" s="197">
        <v>3.7</v>
      </c>
      <c r="C900" s="197">
        <v>17</v>
      </c>
      <c r="D900" s="197">
        <v>0.6</v>
      </c>
      <c r="E900" s="197">
        <v>33</v>
      </c>
    </row>
    <row r="901" spans="1:5" ht="15">
      <c r="A901" s="197" t="s">
        <v>769</v>
      </c>
      <c r="B901" s="197">
        <v>3.8</v>
      </c>
      <c r="C901" s="197">
        <v>15</v>
      </c>
      <c r="D901" s="197">
        <v>0.4</v>
      </c>
      <c r="E901" s="197">
        <v>35</v>
      </c>
    </row>
    <row r="902" spans="1:5" ht="15">
      <c r="A902" s="197" t="s">
        <v>771</v>
      </c>
      <c r="B902" s="197">
        <v>3.5</v>
      </c>
      <c r="C902" s="197">
        <v>15</v>
      </c>
      <c r="D902" s="197">
        <v>0.4</v>
      </c>
      <c r="E902" s="197">
        <v>37</v>
      </c>
    </row>
    <row r="903" spans="1:5" ht="15">
      <c r="A903" s="197" t="s">
        <v>773</v>
      </c>
      <c r="B903" s="197">
        <v>3.6</v>
      </c>
      <c r="C903" s="197">
        <v>16</v>
      </c>
      <c r="D903" s="197">
        <v>0.4</v>
      </c>
      <c r="E903" s="197">
        <v>36</v>
      </c>
    </row>
    <row r="904" spans="1:5" ht="15">
      <c r="A904" s="561" t="s">
        <v>588</v>
      </c>
      <c r="B904" s="197">
        <v>4</v>
      </c>
      <c r="C904" s="197">
        <v>18.5</v>
      </c>
      <c r="D904" s="197">
        <v>0.7</v>
      </c>
      <c r="E904" s="197">
        <v>29</v>
      </c>
    </row>
    <row r="905" spans="1:5" ht="15">
      <c r="A905" s="197" t="s">
        <v>777</v>
      </c>
      <c r="B905" s="197">
        <v>3.9</v>
      </c>
      <c r="C905" s="197">
        <v>17.5</v>
      </c>
      <c r="D905" s="197">
        <v>0.6</v>
      </c>
      <c r="E905" s="197">
        <v>32</v>
      </c>
    </row>
    <row r="906" spans="1:5" ht="15">
      <c r="A906" s="197" t="s">
        <v>778</v>
      </c>
      <c r="B906" s="197">
        <v>3.8</v>
      </c>
      <c r="C906" s="197">
        <v>16</v>
      </c>
      <c r="D906" s="197">
        <v>0.6</v>
      </c>
      <c r="E906" s="197">
        <v>30</v>
      </c>
    </row>
    <row r="907" spans="1:5" ht="15">
      <c r="A907" s="197" t="s">
        <v>779</v>
      </c>
      <c r="B907" s="197">
        <v>4</v>
      </c>
      <c r="C907" s="197">
        <v>19.5</v>
      </c>
      <c r="D907" s="197">
        <v>0.7</v>
      </c>
      <c r="E907" s="197">
        <v>28</v>
      </c>
    </row>
    <row r="908" spans="1:5" ht="15">
      <c r="A908" s="197" t="s">
        <v>780</v>
      </c>
      <c r="B908" s="197">
        <v>3.9</v>
      </c>
      <c r="C908" s="197">
        <v>18.5</v>
      </c>
      <c r="D908" s="197">
        <v>0.7</v>
      </c>
      <c r="E908" s="197">
        <v>28</v>
      </c>
    </row>
    <row r="909" spans="1:5" ht="15">
      <c r="A909" s="197" t="s">
        <v>781</v>
      </c>
      <c r="B909" s="197">
        <v>3.6</v>
      </c>
      <c r="C909" s="197">
        <v>15.5</v>
      </c>
      <c r="D909" s="197">
        <v>0.6</v>
      </c>
      <c r="E909" s="197">
        <v>33</v>
      </c>
    </row>
    <row r="910" spans="1:5" ht="15">
      <c r="A910" s="197" t="s">
        <v>782</v>
      </c>
      <c r="B910" s="197">
        <v>3.8</v>
      </c>
      <c r="C910" s="197">
        <v>17</v>
      </c>
      <c r="D910" s="197">
        <v>0.6</v>
      </c>
      <c r="E910" s="197">
        <v>32</v>
      </c>
    </row>
    <row r="911" spans="1:5" ht="15">
      <c r="A911" s="197" t="s">
        <v>783</v>
      </c>
      <c r="B911" s="197">
        <v>3.5</v>
      </c>
      <c r="C911" s="197">
        <v>13.5</v>
      </c>
      <c r="D911" s="197">
        <v>0.6</v>
      </c>
      <c r="E911" s="197">
        <v>35</v>
      </c>
    </row>
    <row r="912" spans="1:5" ht="15">
      <c r="A912" s="197" t="s">
        <v>784</v>
      </c>
      <c r="B912" s="197">
        <v>3.6</v>
      </c>
      <c r="C912" s="197">
        <v>15</v>
      </c>
      <c r="D912" s="197">
        <v>0.4</v>
      </c>
      <c r="E912" s="197">
        <v>37</v>
      </c>
    </row>
    <row r="913" spans="1:5" ht="15">
      <c r="A913" s="197" t="s">
        <v>785</v>
      </c>
      <c r="B913" s="197">
        <v>4</v>
      </c>
      <c r="C913" s="197">
        <v>18</v>
      </c>
      <c r="D913" s="197">
        <v>0.6</v>
      </c>
      <c r="E913" s="197">
        <v>31</v>
      </c>
    </row>
    <row r="914" spans="1:5" ht="15">
      <c r="A914" s="197" t="s">
        <v>786</v>
      </c>
      <c r="B914" s="197">
        <v>3.8</v>
      </c>
      <c r="C914" s="197">
        <v>17</v>
      </c>
      <c r="D914" s="197">
        <v>0.6</v>
      </c>
      <c r="E914" s="197">
        <v>31</v>
      </c>
    </row>
    <row r="915" spans="1:5" ht="15">
      <c r="A915" s="197" t="s">
        <v>787</v>
      </c>
      <c r="B915" s="197">
        <v>3.5</v>
      </c>
      <c r="C915" s="197">
        <v>14</v>
      </c>
      <c r="D915" s="197">
        <v>0.4</v>
      </c>
      <c r="E915" s="197">
        <v>37</v>
      </c>
    </row>
    <row r="916" spans="1:5" ht="15">
      <c r="A916" s="197" t="s">
        <v>788</v>
      </c>
      <c r="B916" s="197">
        <v>3.7</v>
      </c>
      <c r="C916" s="197">
        <v>16.5</v>
      </c>
      <c r="D916" s="197">
        <v>0.6</v>
      </c>
      <c r="E916" s="197">
        <v>32</v>
      </c>
    </row>
    <row r="917" spans="1:5" ht="15">
      <c r="A917" s="197" t="s">
        <v>789</v>
      </c>
      <c r="B917" s="197">
        <v>3.5</v>
      </c>
      <c r="C917" s="197">
        <v>15</v>
      </c>
      <c r="D917" s="197">
        <v>0.4</v>
      </c>
      <c r="E917" s="197">
        <v>38</v>
      </c>
    </row>
    <row r="918" spans="1:5" ht="15">
      <c r="A918" s="197" t="s">
        <v>790</v>
      </c>
      <c r="B918" s="197">
        <v>3.5</v>
      </c>
      <c r="C918" s="197">
        <v>14.5</v>
      </c>
      <c r="D918" s="197">
        <v>0.6</v>
      </c>
      <c r="E918" s="197">
        <v>34</v>
      </c>
    </row>
    <row r="919" spans="1:5" ht="15">
      <c r="A919" s="197" t="s">
        <v>791</v>
      </c>
      <c r="B919" s="197">
        <v>3.8</v>
      </c>
      <c r="C919" s="197">
        <v>16</v>
      </c>
      <c r="D919" s="197">
        <v>0.4</v>
      </c>
      <c r="E919" s="197">
        <v>34</v>
      </c>
    </row>
    <row r="920" spans="1:5" ht="15">
      <c r="A920" s="197" t="s">
        <v>792</v>
      </c>
      <c r="B920" s="197">
        <v>4.1</v>
      </c>
      <c r="C920" s="197">
        <v>19</v>
      </c>
      <c r="D920" s="197">
        <v>0.7</v>
      </c>
      <c r="E920" s="197">
        <v>30</v>
      </c>
    </row>
    <row r="921" spans="1:5" ht="15">
      <c r="A921" s="197" t="s">
        <v>793</v>
      </c>
      <c r="B921" s="197">
        <v>3.8</v>
      </c>
      <c r="C921" s="197">
        <v>18</v>
      </c>
      <c r="D921" s="197">
        <v>0.7</v>
      </c>
      <c r="E921" s="197">
        <v>29</v>
      </c>
    </row>
    <row r="922" spans="1:5" ht="15">
      <c r="A922" s="197" t="s">
        <v>794</v>
      </c>
      <c r="B922" s="197">
        <v>4.1</v>
      </c>
      <c r="C922" s="197">
        <v>19</v>
      </c>
      <c r="D922" s="197">
        <v>0.6</v>
      </c>
      <c r="E922" s="197">
        <v>32</v>
      </c>
    </row>
    <row r="923" spans="1:5" ht="15">
      <c r="A923" s="197" t="s">
        <v>795</v>
      </c>
      <c r="B923" s="197">
        <v>3.5</v>
      </c>
      <c r="C923" s="197">
        <v>13</v>
      </c>
      <c r="D923" s="197">
        <v>0.6</v>
      </c>
      <c r="E923" s="197">
        <v>35</v>
      </c>
    </row>
    <row r="924" spans="1:5" ht="15">
      <c r="A924" s="197" t="s">
        <v>796</v>
      </c>
      <c r="B924" s="197">
        <v>3.6</v>
      </c>
      <c r="C924" s="197">
        <v>15.5</v>
      </c>
      <c r="D924" s="197">
        <v>0.4</v>
      </c>
      <c r="E924" s="197">
        <v>36</v>
      </c>
    </row>
    <row r="925" spans="1:5" ht="15">
      <c r="A925" s="197" t="s">
        <v>797</v>
      </c>
      <c r="B925" s="197">
        <v>3.8</v>
      </c>
      <c r="C925" s="197">
        <v>17.5</v>
      </c>
      <c r="D925" s="197">
        <v>0.6</v>
      </c>
      <c r="E925" s="197">
        <v>31</v>
      </c>
    </row>
    <row r="926" spans="1:5" ht="15">
      <c r="A926" s="197" t="s">
        <v>798</v>
      </c>
      <c r="B926" s="197">
        <v>3.9</v>
      </c>
      <c r="C926" s="197">
        <v>16</v>
      </c>
      <c r="D926" s="197">
        <v>0.4</v>
      </c>
      <c r="E926" s="197">
        <v>34</v>
      </c>
    </row>
    <row r="927" spans="1:5" ht="15">
      <c r="A927" s="197" t="s">
        <v>799</v>
      </c>
      <c r="B927" s="197">
        <v>3.9</v>
      </c>
      <c r="C927" s="197">
        <v>17.5</v>
      </c>
      <c r="D927" s="197">
        <v>0.6</v>
      </c>
      <c r="E927" s="197">
        <v>31</v>
      </c>
    </row>
    <row r="928" spans="1:5" ht="15">
      <c r="A928" s="197" t="s">
        <v>800</v>
      </c>
      <c r="B928" s="197">
        <v>3.5</v>
      </c>
      <c r="C928" s="197">
        <v>13.5</v>
      </c>
      <c r="D928" s="197">
        <v>0.4</v>
      </c>
      <c r="E928" s="197">
        <v>37</v>
      </c>
    </row>
    <row r="929" spans="1:5" ht="15">
      <c r="A929" s="197" t="s">
        <v>801</v>
      </c>
      <c r="B929" s="197">
        <v>3.9</v>
      </c>
      <c r="C929" s="197">
        <v>19</v>
      </c>
      <c r="D929" s="197">
        <v>0.7</v>
      </c>
      <c r="E929" s="197">
        <v>28</v>
      </c>
    </row>
    <row r="930" spans="1:5" ht="15">
      <c r="A930" s="197" t="s">
        <v>802</v>
      </c>
      <c r="B930" s="197">
        <v>3.7</v>
      </c>
      <c r="C930" s="197">
        <v>16</v>
      </c>
      <c r="D930" s="197">
        <v>0.4</v>
      </c>
      <c r="E930" s="197">
        <v>35</v>
      </c>
    </row>
    <row r="931" spans="1:5" ht="15">
      <c r="A931" s="197" t="s">
        <v>803</v>
      </c>
      <c r="B931" s="197">
        <v>3.9</v>
      </c>
      <c r="C931" s="197">
        <v>18</v>
      </c>
      <c r="D931" s="197">
        <v>0.6</v>
      </c>
      <c r="E931" s="197">
        <v>30</v>
      </c>
    </row>
    <row r="932" spans="1:5" ht="15">
      <c r="A932" s="197" t="s">
        <v>804</v>
      </c>
      <c r="B932" s="197">
        <v>3.6</v>
      </c>
      <c r="C932" s="197">
        <v>15</v>
      </c>
      <c r="D932" s="197">
        <v>0.4</v>
      </c>
      <c r="E932" s="197">
        <v>36</v>
      </c>
    </row>
    <row r="933" spans="1:5" ht="15">
      <c r="A933" s="197" t="s">
        <v>807</v>
      </c>
      <c r="B933" s="197">
        <v>3.8</v>
      </c>
      <c r="C933" s="197">
        <v>17</v>
      </c>
      <c r="D933" s="197">
        <v>0.6</v>
      </c>
      <c r="E933" s="197">
        <v>33</v>
      </c>
    </row>
    <row r="934" spans="1:5" ht="15">
      <c r="A934" s="197" t="s">
        <v>224</v>
      </c>
      <c r="B934" s="197">
        <v>4</v>
      </c>
      <c r="C934" s="197">
        <v>18</v>
      </c>
      <c r="D934" s="197">
        <v>0.6</v>
      </c>
      <c r="E934" s="197">
        <v>32</v>
      </c>
    </row>
    <row r="935" spans="1:5" ht="15">
      <c r="A935" s="197" t="s">
        <v>810</v>
      </c>
      <c r="B935" s="197">
        <v>3.9</v>
      </c>
      <c r="C935" s="197">
        <v>17</v>
      </c>
      <c r="D935" s="197">
        <v>0.6</v>
      </c>
      <c r="E935" s="197">
        <v>33</v>
      </c>
    </row>
    <row r="936" spans="1:5" ht="15">
      <c r="A936" s="197" t="s">
        <v>812</v>
      </c>
      <c r="B936" s="197">
        <v>3.7</v>
      </c>
      <c r="C936" s="197">
        <v>16</v>
      </c>
      <c r="D936" s="197">
        <v>0.6</v>
      </c>
      <c r="E936" s="197">
        <v>32</v>
      </c>
    </row>
    <row r="937" spans="1:5" ht="15">
      <c r="A937" s="197" t="s">
        <v>814</v>
      </c>
      <c r="B937" s="197">
        <v>4</v>
      </c>
      <c r="C937" s="197">
        <v>16.5</v>
      </c>
      <c r="D937" s="197">
        <v>0.6</v>
      </c>
      <c r="E937" s="197">
        <v>33</v>
      </c>
    </row>
    <row r="938" spans="1:5" ht="15">
      <c r="A938" s="197" t="s">
        <v>815</v>
      </c>
      <c r="B938" s="197">
        <v>3.5</v>
      </c>
      <c r="C938" s="197">
        <v>14.5</v>
      </c>
      <c r="D938" s="197">
        <v>0.4</v>
      </c>
      <c r="E938" s="197">
        <v>36</v>
      </c>
    </row>
    <row r="939" spans="1:5" ht="15">
      <c r="A939" s="197" t="s">
        <v>817</v>
      </c>
      <c r="B939" s="197">
        <v>3.7</v>
      </c>
      <c r="C939" s="197">
        <v>16</v>
      </c>
      <c r="D939" s="197">
        <v>0.6</v>
      </c>
      <c r="E939" s="197">
        <v>34</v>
      </c>
    </row>
    <row r="940" spans="1:5" ht="15">
      <c r="A940" s="197" t="s">
        <v>818</v>
      </c>
      <c r="B940" s="197">
        <v>3.6</v>
      </c>
      <c r="C940" s="197">
        <v>16</v>
      </c>
      <c r="D940" s="197">
        <v>0.4</v>
      </c>
      <c r="E940" s="197">
        <v>35</v>
      </c>
    </row>
    <row r="941" spans="1:5" ht="15">
      <c r="A941" s="197" t="s">
        <v>819</v>
      </c>
      <c r="B941" s="197">
        <v>3.7</v>
      </c>
      <c r="C941" s="197">
        <v>16</v>
      </c>
      <c r="D941" s="197">
        <v>0.4</v>
      </c>
      <c r="E941" s="197">
        <v>35</v>
      </c>
    </row>
    <row r="942" spans="1:5" ht="15">
      <c r="A942" s="197" t="s">
        <v>820</v>
      </c>
      <c r="B942" s="197">
        <v>3.6</v>
      </c>
      <c r="C942" s="197">
        <v>14</v>
      </c>
      <c r="D942" s="197">
        <v>0.6</v>
      </c>
      <c r="E942" s="197">
        <v>34</v>
      </c>
    </row>
    <row r="943" spans="1:5" ht="15">
      <c r="A943" s="197" t="s">
        <v>821</v>
      </c>
      <c r="B943" s="197">
        <v>3.9</v>
      </c>
      <c r="C943" s="197">
        <v>17.5</v>
      </c>
      <c r="D943" s="197">
        <v>0.6</v>
      </c>
      <c r="E943" s="197">
        <v>29</v>
      </c>
    </row>
    <row r="944" spans="1:5" ht="15">
      <c r="A944" s="197" t="s">
        <v>822</v>
      </c>
      <c r="B944" s="197">
        <v>3.7</v>
      </c>
      <c r="C944" s="197">
        <v>16</v>
      </c>
      <c r="D944" s="197">
        <v>0.4</v>
      </c>
      <c r="E944" s="197">
        <v>34</v>
      </c>
    </row>
    <row r="945" spans="1:5" ht="15">
      <c r="A945" s="197" t="s">
        <v>823</v>
      </c>
      <c r="B945" s="197">
        <v>3.9</v>
      </c>
      <c r="C945" s="197">
        <v>19</v>
      </c>
      <c r="D945" s="197">
        <v>0.7</v>
      </c>
      <c r="E945" s="197">
        <v>28</v>
      </c>
    </row>
    <row r="946" spans="1:5" ht="15">
      <c r="A946" s="197" t="s">
        <v>824</v>
      </c>
      <c r="B946" s="197">
        <v>3.7</v>
      </c>
      <c r="C946" s="197">
        <v>16</v>
      </c>
      <c r="D946" s="197">
        <v>0.6</v>
      </c>
      <c r="E946" s="197">
        <v>32</v>
      </c>
    </row>
    <row r="947" spans="1:5" ht="15">
      <c r="A947" s="197" t="s">
        <v>825</v>
      </c>
      <c r="B947" s="197">
        <v>3.8</v>
      </c>
      <c r="C947" s="197">
        <v>16.5</v>
      </c>
      <c r="D947" s="197">
        <v>0.6</v>
      </c>
      <c r="E947" s="197">
        <v>30</v>
      </c>
    </row>
    <row r="948" spans="1:5" ht="15">
      <c r="A948" s="197" t="s">
        <v>826</v>
      </c>
      <c r="B948" s="197">
        <v>4.1</v>
      </c>
      <c r="C948" s="197">
        <v>20</v>
      </c>
      <c r="D948" s="197">
        <v>0.7</v>
      </c>
      <c r="E948" s="197">
        <v>31</v>
      </c>
    </row>
    <row r="949" spans="1:5" ht="15">
      <c r="A949" s="197" t="s">
        <v>827</v>
      </c>
      <c r="B949" s="197">
        <v>3.6</v>
      </c>
      <c r="C949" s="197">
        <v>16</v>
      </c>
      <c r="D949" s="197">
        <v>0.6</v>
      </c>
      <c r="E949" s="197">
        <v>33</v>
      </c>
    </row>
    <row r="950" spans="1:5" ht="15">
      <c r="A950" s="197" t="s">
        <v>828</v>
      </c>
      <c r="B950" s="197">
        <v>4.2</v>
      </c>
      <c r="C950" s="197">
        <v>20</v>
      </c>
      <c r="D950" s="197">
        <v>0.7</v>
      </c>
      <c r="E950" s="197">
        <v>30</v>
      </c>
    </row>
    <row r="951" spans="1:5" ht="15">
      <c r="A951" s="197" t="s">
        <v>829</v>
      </c>
      <c r="B951" s="197">
        <v>3.7</v>
      </c>
      <c r="C951" s="197">
        <v>16</v>
      </c>
      <c r="D951" s="197">
        <v>0.6</v>
      </c>
      <c r="E951" s="197">
        <v>31</v>
      </c>
    </row>
    <row r="952" spans="1:5" ht="15">
      <c r="A952" s="197" t="s">
        <v>830</v>
      </c>
      <c r="B952" s="197">
        <v>4.2</v>
      </c>
      <c r="C952" s="197">
        <v>19.5</v>
      </c>
      <c r="D952" s="197">
        <v>0.7</v>
      </c>
      <c r="E952" s="197">
        <v>31</v>
      </c>
    </row>
    <row r="953" spans="1:5" ht="15">
      <c r="A953" s="197" t="s">
        <v>831</v>
      </c>
      <c r="B953" s="197">
        <v>3.7</v>
      </c>
      <c r="C953" s="197">
        <v>17</v>
      </c>
      <c r="D953" s="197">
        <v>0.6</v>
      </c>
      <c r="E953" s="197">
        <v>33</v>
      </c>
    </row>
    <row r="954" spans="1:5" ht="15">
      <c r="A954" s="197" t="s">
        <v>832</v>
      </c>
      <c r="B954" s="197">
        <v>3.8</v>
      </c>
      <c r="C954" s="197">
        <v>15</v>
      </c>
      <c r="D954" s="197">
        <v>0.4</v>
      </c>
      <c r="E954" s="197">
        <v>35</v>
      </c>
    </row>
    <row r="955" spans="1:5" ht="15">
      <c r="A955" s="197" t="s">
        <v>833</v>
      </c>
      <c r="B955" s="197">
        <v>3.5</v>
      </c>
      <c r="C955" s="197">
        <v>15</v>
      </c>
      <c r="D955" s="197">
        <v>0.4</v>
      </c>
      <c r="E955" s="197">
        <v>37</v>
      </c>
    </row>
    <row r="956" spans="1:5" ht="15">
      <c r="A956" s="197" t="s">
        <v>834</v>
      </c>
      <c r="B956" s="197">
        <v>3.6</v>
      </c>
      <c r="C956" s="197">
        <v>16</v>
      </c>
      <c r="D956" s="197">
        <v>0.4</v>
      </c>
      <c r="E956" s="197">
        <v>36</v>
      </c>
    </row>
    <row r="957" spans="1:5" ht="15">
      <c r="A957" s="561" t="s">
        <v>1034</v>
      </c>
      <c r="B957" s="197">
        <v>4</v>
      </c>
      <c r="C957" s="197">
        <v>18.5</v>
      </c>
      <c r="D957" s="197">
        <v>0.7</v>
      </c>
      <c r="E957" s="197">
        <v>29</v>
      </c>
    </row>
    <row r="958" spans="1:5" ht="15">
      <c r="A958" s="197" t="s">
        <v>836</v>
      </c>
      <c r="B958" s="197">
        <v>3.9</v>
      </c>
      <c r="C958" s="197">
        <v>17.5</v>
      </c>
      <c r="D958" s="197">
        <v>0.6</v>
      </c>
      <c r="E958" s="197">
        <v>32</v>
      </c>
    </row>
    <row r="959" spans="1:5" ht="15">
      <c r="A959" s="197" t="s">
        <v>837</v>
      </c>
      <c r="B959" s="197">
        <v>3.8</v>
      </c>
      <c r="C959" s="197">
        <v>16</v>
      </c>
      <c r="D959" s="197">
        <v>0.6</v>
      </c>
      <c r="E959" s="197">
        <v>30</v>
      </c>
    </row>
    <row r="960" spans="1:5" ht="15">
      <c r="A960" s="197" t="s">
        <v>838</v>
      </c>
      <c r="B960" s="197">
        <v>4</v>
      </c>
      <c r="C960" s="197">
        <v>19.5</v>
      </c>
      <c r="D960" s="197">
        <v>0.7</v>
      </c>
      <c r="E960" s="197">
        <v>28</v>
      </c>
    </row>
    <row r="961" spans="1:5" ht="15">
      <c r="A961" s="197" t="s">
        <v>839</v>
      </c>
      <c r="B961" s="197">
        <v>3.9</v>
      </c>
      <c r="C961" s="197">
        <v>18.5</v>
      </c>
      <c r="D961" s="197">
        <v>0.7</v>
      </c>
      <c r="E961" s="197">
        <v>28</v>
      </c>
    </row>
    <row r="962" spans="1:5" ht="15">
      <c r="A962" s="197" t="s">
        <v>840</v>
      </c>
      <c r="B962" s="197">
        <v>3.6</v>
      </c>
      <c r="C962" s="197">
        <v>15.5</v>
      </c>
      <c r="D962" s="197">
        <v>0.6</v>
      </c>
      <c r="E962" s="197">
        <v>33</v>
      </c>
    </row>
    <row r="963" spans="1:5" ht="15">
      <c r="A963" s="197" t="s">
        <v>841</v>
      </c>
      <c r="B963" s="197">
        <v>3.8</v>
      </c>
      <c r="C963" s="197">
        <v>17</v>
      </c>
      <c r="D963" s="197">
        <v>0.6</v>
      </c>
      <c r="E963" s="197">
        <v>32</v>
      </c>
    </row>
    <row r="964" spans="1:5" ht="15">
      <c r="A964" s="197" t="s">
        <v>842</v>
      </c>
      <c r="B964" s="197">
        <v>3.5</v>
      </c>
      <c r="C964" s="197">
        <v>13.5</v>
      </c>
      <c r="D964" s="197">
        <v>0.6</v>
      </c>
      <c r="E964" s="197">
        <v>35</v>
      </c>
    </row>
    <row r="965" spans="1:5" ht="15">
      <c r="A965" s="197" t="s">
        <v>843</v>
      </c>
      <c r="B965" s="197">
        <v>3.6</v>
      </c>
      <c r="C965" s="197">
        <v>15</v>
      </c>
      <c r="D965" s="197">
        <v>0.4</v>
      </c>
      <c r="E965" s="197">
        <v>37</v>
      </c>
    </row>
    <row r="966" spans="1:5" ht="15">
      <c r="A966" s="197" t="s">
        <v>844</v>
      </c>
      <c r="B966" s="197">
        <v>4</v>
      </c>
      <c r="C966" s="197">
        <v>18</v>
      </c>
      <c r="D966" s="197">
        <v>0.6</v>
      </c>
      <c r="E966" s="197">
        <v>31</v>
      </c>
    </row>
    <row r="967" spans="1:5" ht="15">
      <c r="A967" s="197" t="s">
        <v>845</v>
      </c>
      <c r="B967" s="197">
        <v>3.8</v>
      </c>
      <c r="C967" s="197">
        <v>17</v>
      </c>
      <c r="D967" s="197">
        <v>0.6</v>
      </c>
      <c r="E967" s="197">
        <v>31</v>
      </c>
    </row>
    <row r="968" spans="1:5" ht="15">
      <c r="A968" s="197" t="s">
        <v>846</v>
      </c>
      <c r="B968" s="197">
        <v>3.5</v>
      </c>
      <c r="C968" s="197">
        <v>14</v>
      </c>
      <c r="D968" s="197">
        <v>0.4</v>
      </c>
      <c r="E968" s="197">
        <v>37</v>
      </c>
    </row>
    <row r="969" spans="1:5" ht="15">
      <c r="A969" s="197" t="s">
        <v>847</v>
      </c>
      <c r="B969" s="197">
        <v>3.7</v>
      </c>
      <c r="C969" s="197">
        <v>16.5</v>
      </c>
      <c r="D969" s="197">
        <v>0.6</v>
      </c>
      <c r="E969" s="197">
        <v>32</v>
      </c>
    </row>
    <row r="970" spans="1:5" ht="15">
      <c r="A970" s="197" t="s">
        <v>848</v>
      </c>
      <c r="B970" s="197">
        <v>3.5</v>
      </c>
      <c r="C970" s="197">
        <v>15</v>
      </c>
      <c r="D970" s="197">
        <v>0.4</v>
      </c>
      <c r="E970" s="197">
        <v>38</v>
      </c>
    </row>
    <row r="971" spans="1:5" ht="15">
      <c r="A971" s="197" t="s">
        <v>849</v>
      </c>
      <c r="B971" s="197">
        <v>3.5</v>
      </c>
      <c r="C971" s="197">
        <v>14.5</v>
      </c>
      <c r="D971" s="197">
        <v>0.6</v>
      </c>
      <c r="E971" s="197">
        <v>34</v>
      </c>
    </row>
    <row r="972" spans="1:5" ht="15">
      <c r="A972" s="197" t="s">
        <v>850</v>
      </c>
      <c r="B972" s="197">
        <v>3.8</v>
      </c>
      <c r="C972" s="197">
        <v>16</v>
      </c>
      <c r="D972" s="197">
        <v>0.4</v>
      </c>
      <c r="E972" s="197">
        <v>34</v>
      </c>
    </row>
    <row r="973" spans="1:5" ht="15">
      <c r="A973" s="197" t="s">
        <v>851</v>
      </c>
      <c r="B973" s="197">
        <v>4.1</v>
      </c>
      <c r="C973" s="197">
        <v>19</v>
      </c>
      <c r="D973" s="197">
        <v>0.7</v>
      </c>
      <c r="E973" s="197">
        <v>30</v>
      </c>
    </row>
    <row r="974" spans="1:5" ht="15">
      <c r="A974" s="197" t="s">
        <v>852</v>
      </c>
      <c r="B974" s="197">
        <v>3.8</v>
      </c>
      <c r="C974" s="197">
        <v>18</v>
      </c>
      <c r="D974" s="197">
        <v>0.7</v>
      </c>
      <c r="E974" s="197">
        <v>29</v>
      </c>
    </row>
    <row r="975" spans="1:5" ht="15">
      <c r="A975" s="197" t="s">
        <v>853</v>
      </c>
      <c r="B975" s="197">
        <v>4.1</v>
      </c>
      <c r="C975" s="197">
        <v>19</v>
      </c>
      <c r="D975" s="197">
        <v>0.6</v>
      </c>
      <c r="E975" s="197">
        <v>32</v>
      </c>
    </row>
    <row r="976" spans="1:5" ht="15">
      <c r="A976" s="197" t="s">
        <v>899</v>
      </c>
      <c r="B976" s="197">
        <v>3.5</v>
      </c>
      <c r="C976" s="197">
        <v>13</v>
      </c>
      <c r="D976" s="197">
        <v>0.6</v>
      </c>
      <c r="E976" s="197">
        <v>35</v>
      </c>
    </row>
    <row r="977" spans="1:5" ht="15">
      <c r="A977" s="197" t="s">
        <v>900</v>
      </c>
      <c r="B977" s="197">
        <v>3.6</v>
      </c>
      <c r="C977" s="197">
        <v>15.5</v>
      </c>
      <c r="D977" s="197">
        <v>0.4</v>
      </c>
      <c r="E977" s="197">
        <v>36</v>
      </c>
    </row>
    <row r="978" spans="1:5" ht="15">
      <c r="A978" s="197" t="s">
        <v>901</v>
      </c>
      <c r="B978" s="197">
        <v>3.8</v>
      </c>
      <c r="C978" s="197">
        <v>17.5</v>
      </c>
      <c r="D978" s="197">
        <v>0.6</v>
      </c>
      <c r="E978" s="197">
        <v>31</v>
      </c>
    </row>
    <row r="979" spans="1:5" ht="15">
      <c r="A979" s="197" t="s">
        <v>903</v>
      </c>
      <c r="B979" s="197">
        <v>3.9</v>
      </c>
      <c r="C979" s="197">
        <v>16</v>
      </c>
      <c r="D979" s="197">
        <v>0.4</v>
      </c>
      <c r="E979" s="197">
        <v>34</v>
      </c>
    </row>
    <row r="980" spans="1:5" ht="15">
      <c r="A980" s="197" t="s">
        <v>904</v>
      </c>
      <c r="B980" s="197">
        <v>3.9</v>
      </c>
      <c r="C980" s="197">
        <v>17.5</v>
      </c>
      <c r="D980" s="197">
        <v>0.6</v>
      </c>
      <c r="E980" s="197">
        <v>31</v>
      </c>
    </row>
    <row r="981" spans="1:5" ht="15">
      <c r="A981" s="197" t="s">
        <v>905</v>
      </c>
      <c r="B981" s="197">
        <v>3.5</v>
      </c>
      <c r="C981" s="197">
        <v>13.5</v>
      </c>
      <c r="D981" s="197">
        <v>0.4</v>
      </c>
      <c r="E981" s="197">
        <v>37</v>
      </c>
    </row>
    <row r="982" spans="1:5" ht="15">
      <c r="A982" s="197" t="s">
        <v>906</v>
      </c>
      <c r="B982" s="197">
        <v>3.9</v>
      </c>
      <c r="C982" s="197">
        <v>19</v>
      </c>
      <c r="D982" s="197">
        <v>0.7</v>
      </c>
      <c r="E982" s="197">
        <v>28</v>
      </c>
    </row>
    <row r="983" spans="1:5" ht="15">
      <c r="A983" s="197" t="s">
        <v>907</v>
      </c>
      <c r="B983" s="197">
        <v>3.7</v>
      </c>
      <c r="C983" s="197">
        <v>16</v>
      </c>
      <c r="D983" s="197">
        <v>0.4</v>
      </c>
      <c r="E983" s="197">
        <v>35</v>
      </c>
    </row>
    <row r="984" spans="1:5" ht="15">
      <c r="A984" s="197" t="s">
        <v>908</v>
      </c>
      <c r="B984" s="197">
        <v>3.9</v>
      </c>
      <c r="C984" s="197">
        <v>18</v>
      </c>
      <c r="D984" s="197">
        <v>0.6</v>
      </c>
      <c r="E984" s="197">
        <v>30</v>
      </c>
    </row>
    <row r="985" spans="1:5" ht="15">
      <c r="A985" s="197" t="s">
        <v>912</v>
      </c>
      <c r="B985" s="197">
        <v>3.6</v>
      </c>
      <c r="C985" s="197">
        <v>15</v>
      </c>
      <c r="D985" s="197">
        <v>0.4</v>
      </c>
      <c r="E985" s="197">
        <v>36</v>
      </c>
    </row>
    <row r="986" spans="1:5" ht="15">
      <c r="A986" s="197" t="s">
        <v>913</v>
      </c>
      <c r="B986" s="197">
        <v>3.8</v>
      </c>
      <c r="C986" s="197">
        <v>17</v>
      </c>
      <c r="D986" s="197">
        <v>0.6</v>
      </c>
      <c r="E986" s="197">
        <v>33</v>
      </c>
    </row>
    <row r="987" spans="1:5" ht="15">
      <c r="A987" s="197" t="s">
        <v>914</v>
      </c>
      <c r="B987" s="197">
        <v>4</v>
      </c>
      <c r="C987" s="197">
        <v>18</v>
      </c>
      <c r="D987" s="197">
        <v>0.6</v>
      </c>
      <c r="E987" s="197">
        <v>32</v>
      </c>
    </row>
    <row r="988" spans="1:5" ht="15">
      <c r="A988" s="197" t="s">
        <v>915</v>
      </c>
      <c r="B988" s="197">
        <v>3.9</v>
      </c>
      <c r="C988" s="197">
        <v>17</v>
      </c>
      <c r="D988" s="197">
        <v>0.6</v>
      </c>
      <c r="E988" s="197">
        <v>33</v>
      </c>
    </row>
    <row r="989" spans="1:5" ht="15">
      <c r="A989" s="197" t="s">
        <v>916</v>
      </c>
      <c r="B989" s="197">
        <v>3.7</v>
      </c>
      <c r="C989" s="197">
        <v>16</v>
      </c>
      <c r="D989" s="197">
        <v>0.6</v>
      </c>
      <c r="E989" s="197">
        <v>32</v>
      </c>
    </row>
    <row r="990" spans="1:5" ht="15">
      <c r="A990" s="197" t="s">
        <v>917</v>
      </c>
      <c r="B990" s="197">
        <v>4</v>
      </c>
      <c r="C990" s="197">
        <v>16.5</v>
      </c>
      <c r="D990" s="197">
        <v>0.6</v>
      </c>
      <c r="E990" s="197">
        <v>33</v>
      </c>
    </row>
    <row r="991" spans="1:5" ht="15">
      <c r="A991" s="197" t="s">
        <v>918</v>
      </c>
      <c r="B991" s="197">
        <v>3.5</v>
      </c>
      <c r="C991" s="197">
        <v>14.5</v>
      </c>
      <c r="D991" s="197">
        <v>0.4</v>
      </c>
      <c r="E991" s="197">
        <v>36</v>
      </c>
    </row>
    <row r="992" spans="1:5" ht="15">
      <c r="A992" s="197" t="s">
        <v>919</v>
      </c>
      <c r="B992" s="197">
        <v>3.7</v>
      </c>
      <c r="C992" s="197">
        <v>16</v>
      </c>
      <c r="D992" s="197">
        <v>0.6</v>
      </c>
      <c r="E992" s="197">
        <v>34</v>
      </c>
    </row>
    <row r="993" spans="1:5" ht="15">
      <c r="A993" s="197" t="s">
        <v>920</v>
      </c>
      <c r="B993" s="197">
        <v>3.6</v>
      </c>
      <c r="C993" s="197">
        <v>16</v>
      </c>
      <c r="D993" s="197">
        <v>0.4</v>
      </c>
      <c r="E993" s="197">
        <v>35</v>
      </c>
    </row>
    <row r="994" spans="1:5" ht="15">
      <c r="A994" s="197" t="s">
        <v>921</v>
      </c>
      <c r="B994" s="197">
        <v>3.7</v>
      </c>
      <c r="C994" s="197">
        <v>16</v>
      </c>
      <c r="D994" s="197">
        <v>0.4</v>
      </c>
      <c r="E994" s="197">
        <v>35</v>
      </c>
    </row>
    <row r="995" spans="1:5" ht="15">
      <c r="A995" s="197" t="s">
        <v>922</v>
      </c>
      <c r="B995" s="197">
        <v>3.6</v>
      </c>
      <c r="C995" s="197">
        <v>14</v>
      </c>
      <c r="D995" s="197">
        <v>0.6</v>
      </c>
      <c r="E995" s="197">
        <v>34</v>
      </c>
    </row>
    <row r="996" spans="1:5" ht="15">
      <c r="A996" s="197" t="s">
        <v>923</v>
      </c>
      <c r="B996" s="197">
        <v>3.9</v>
      </c>
      <c r="C996" s="197">
        <v>17.5</v>
      </c>
      <c r="D996" s="197">
        <v>0.6</v>
      </c>
      <c r="E996" s="197">
        <v>29</v>
      </c>
    </row>
    <row r="997" spans="1:5" ht="15">
      <c r="A997" s="197" t="s">
        <v>924</v>
      </c>
      <c r="B997" s="197">
        <v>3.7</v>
      </c>
      <c r="C997" s="197">
        <v>16</v>
      </c>
      <c r="D997" s="197">
        <v>0.4</v>
      </c>
      <c r="E997" s="197">
        <v>34</v>
      </c>
    </row>
    <row r="998" spans="1:5" ht="15">
      <c r="A998" s="197" t="s">
        <v>925</v>
      </c>
      <c r="B998" s="197">
        <v>3.9</v>
      </c>
      <c r="C998" s="197">
        <v>19</v>
      </c>
      <c r="D998" s="197">
        <v>0.7</v>
      </c>
      <c r="E998" s="197">
        <v>28</v>
      </c>
    </row>
    <row r="999" spans="1:5" ht="15">
      <c r="A999" s="197" t="s">
        <v>934</v>
      </c>
      <c r="B999" s="197">
        <v>3.7</v>
      </c>
      <c r="C999" s="197">
        <v>16</v>
      </c>
      <c r="D999" s="197">
        <v>0.6</v>
      </c>
      <c r="E999" s="197">
        <v>32</v>
      </c>
    </row>
    <row r="1000" spans="1:5" ht="15">
      <c r="A1000" s="197" t="s">
        <v>935</v>
      </c>
      <c r="B1000" s="197">
        <v>3.8</v>
      </c>
      <c r="C1000" s="197">
        <v>16.5</v>
      </c>
      <c r="D1000" s="197">
        <v>0.6</v>
      </c>
      <c r="E1000" s="197">
        <v>30</v>
      </c>
    </row>
    <row r="1001" spans="1:5" ht="15">
      <c r="A1001" s="197" t="s">
        <v>936</v>
      </c>
      <c r="B1001" s="197">
        <v>4.1</v>
      </c>
      <c r="C1001" s="197">
        <v>20</v>
      </c>
      <c r="D1001" s="197">
        <v>0.7</v>
      </c>
      <c r="E1001" s="197">
        <v>31</v>
      </c>
    </row>
    <row r="1002" spans="1:5" ht="15">
      <c r="A1002" s="197" t="s">
        <v>937</v>
      </c>
      <c r="B1002" s="197">
        <v>3.6</v>
      </c>
      <c r="C1002" s="197">
        <v>16</v>
      </c>
      <c r="D1002" s="197">
        <v>0.6</v>
      </c>
      <c r="E1002" s="197">
        <v>33</v>
      </c>
    </row>
    <row r="1003" spans="1:5" ht="15">
      <c r="A1003" s="197" t="s">
        <v>938</v>
      </c>
      <c r="B1003" s="197">
        <v>4.2</v>
      </c>
      <c r="C1003" s="197">
        <v>20</v>
      </c>
      <c r="D1003" s="197">
        <v>0.7</v>
      </c>
      <c r="E1003" s="197">
        <v>30</v>
      </c>
    </row>
    <row r="1004" spans="1:5" ht="15">
      <c r="A1004" s="197" t="s">
        <v>939</v>
      </c>
      <c r="B1004" s="197">
        <v>3.7</v>
      </c>
      <c r="C1004" s="197">
        <v>16</v>
      </c>
      <c r="D1004" s="197">
        <v>0.6</v>
      </c>
      <c r="E1004" s="197">
        <v>31</v>
      </c>
    </row>
    <row r="1005" spans="1:5" ht="15">
      <c r="A1005" s="197" t="s">
        <v>940</v>
      </c>
      <c r="B1005" s="197">
        <v>4.2</v>
      </c>
      <c r="C1005" s="197">
        <v>19.5</v>
      </c>
      <c r="D1005" s="197">
        <v>0.7</v>
      </c>
      <c r="E1005" s="197">
        <v>31</v>
      </c>
    </row>
    <row r="1006" spans="1:5" ht="15">
      <c r="A1006" s="197" t="s">
        <v>941</v>
      </c>
      <c r="B1006" s="197">
        <v>3.7</v>
      </c>
      <c r="C1006" s="197">
        <v>17</v>
      </c>
      <c r="D1006" s="197">
        <v>0.6</v>
      </c>
      <c r="E1006" s="197">
        <v>33</v>
      </c>
    </row>
    <row r="1007" spans="1:5" ht="15">
      <c r="A1007" s="197" t="s">
        <v>942</v>
      </c>
      <c r="B1007" s="197">
        <v>3.8</v>
      </c>
      <c r="C1007" s="197">
        <v>15</v>
      </c>
      <c r="D1007" s="197">
        <v>0.4</v>
      </c>
      <c r="E1007" s="197">
        <v>35</v>
      </c>
    </row>
    <row r="1008" spans="1:5" ht="15">
      <c r="A1008" s="197" t="s">
        <v>943</v>
      </c>
      <c r="B1008" s="197">
        <v>3.5</v>
      </c>
      <c r="C1008" s="197">
        <v>15</v>
      </c>
      <c r="D1008" s="197">
        <v>0.4</v>
      </c>
      <c r="E1008" s="197">
        <v>37</v>
      </c>
    </row>
    <row r="1009" spans="1:5" ht="15">
      <c r="A1009" s="197" t="s">
        <v>944</v>
      </c>
      <c r="B1009" s="197">
        <v>3.6</v>
      </c>
      <c r="C1009" s="197">
        <v>16</v>
      </c>
      <c r="D1009" s="197">
        <v>0.4</v>
      </c>
      <c r="E1009" s="197">
        <v>36</v>
      </c>
    </row>
    <row r="1010" spans="1:5" ht="15">
      <c r="A1010" s="197" t="s">
        <v>945</v>
      </c>
      <c r="B1010" s="197">
        <v>4</v>
      </c>
      <c r="C1010" s="197">
        <v>18.5</v>
      </c>
      <c r="D1010" s="197">
        <v>0.7</v>
      </c>
      <c r="E1010" s="197">
        <v>29</v>
      </c>
    </row>
    <row r="1011" spans="1:5" ht="15">
      <c r="A1011" s="197" t="s">
        <v>946</v>
      </c>
      <c r="B1011" s="197">
        <v>3.9</v>
      </c>
      <c r="C1011" s="197">
        <v>17.5</v>
      </c>
      <c r="D1011" s="197">
        <v>0.6</v>
      </c>
      <c r="E1011" s="197">
        <v>32</v>
      </c>
    </row>
    <row r="1012" spans="1:5" ht="15">
      <c r="A1012" s="197" t="s">
        <v>947</v>
      </c>
      <c r="B1012" s="197">
        <v>3.8</v>
      </c>
      <c r="C1012" s="197">
        <v>16</v>
      </c>
      <c r="D1012" s="197">
        <v>0.6</v>
      </c>
      <c r="E1012" s="197">
        <v>30</v>
      </c>
    </row>
    <row r="1013" spans="1:5" ht="15">
      <c r="A1013" s="197" t="s">
        <v>948</v>
      </c>
      <c r="B1013" s="197">
        <v>4</v>
      </c>
      <c r="C1013" s="197">
        <v>19.5</v>
      </c>
      <c r="D1013" s="197">
        <v>0.7</v>
      </c>
      <c r="E1013" s="197">
        <v>28</v>
      </c>
    </row>
    <row r="1014" spans="1:5" ht="15">
      <c r="A1014" s="197" t="s">
        <v>949</v>
      </c>
      <c r="B1014" s="197">
        <v>3.9</v>
      </c>
      <c r="C1014" s="197">
        <v>18.5</v>
      </c>
      <c r="D1014" s="197">
        <v>0.7</v>
      </c>
      <c r="E1014" s="197">
        <v>28</v>
      </c>
    </row>
    <row r="1015" spans="1:5" ht="15">
      <c r="A1015" s="197" t="s">
        <v>950</v>
      </c>
      <c r="B1015" s="197">
        <v>3.6</v>
      </c>
      <c r="C1015" s="197">
        <v>15.5</v>
      </c>
      <c r="D1015" s="197">
        <v>0.6</v>
      </c>
      <c r="E1015" s="197">
        <v>33</v>
      </c>
    </row>
    <row r="1016" spans="1:5" ht="15">
      <c r="A1016" s="197" t="s">
        <v>951</v>
      </c>
      <c r="B1016" s="197">
        <v>3.8</v>
      </c>
      <c r="C1016" s="197">
        <v>17</v>
      </c>
      <c r="D1016" s="197">
        <v>0.6</v>
      </c>
      <c r="E1016" s="197">
        <v>32</v>
      </c>
    </row>
    <row r="1017" spans="1:5" ht="15">
      <c r="A1017" s="197" t="s">
        <v>952</v>
      </c>
      <c r="B1017" s="197">
        <v>3.5</v>
      </c>
      <c r="C1017" s="197">
        <v>13.5</v>
      </c>
      <c r="D1017" s="197">
        <v>0.6</v>
      </c>
      <c r="E1017" s="197">
        <v>35</v>
      </c>
    </row>
    <row r="1018" spans="1:5" ht="15">
      <c r="A1018" s="197" t="s">
        <v>953</v>
      </c>
      <c r="B1018" s="197">
        <v>3.7</v>
      </c>
      <c r="C1018" s="197">
        <v>16</v>
      </c>
      <c r="D1018" s="197">
        <v>0.6</v>
      </c>
      <c r="E1018" s="197">
        <v>32</v>
      </c>
    </row>
    <row r="1019" spans="1:5" ht="15">
      <c r="A1019" s="197" t="s">
        <v>954</v>
      </c>
      <c r="B1019" s="197">
        <v>4</v>
      </c>
      <c r="C1019" s="197">
        <v>16.5</v>
      </c>
      <c r="D1019" s="197">
        <v>0.6</v>
      </c>
      <c r="E1019" s="197">
        <v>33</v>
      </c>
    </row>
    <row r="1020" spans="1:5" ht="15">
      <c r="A1020" s="197" t="s">
        <v>955</v>
      </c>
      <c r="B1020" s="197">
        <v>3.5</v>
      </c>
      <c r="C1020" s="197">
        <v>14.5</v>
      </c>
      <c r="D1020" s="197">
        <v>0.4</v>
      </c>
      <c r="E1020" s="197">
        <v>36</v>
      </c>
    </row>
    <row r="1021" spans="1:5" ht="15">
      <c r="A1021" s="197" t="s">
        <v>956</v>
      </c>
      <c r="B1021" s="197">
        <v>3.7</v>
      </c>
      <c r="C1021" s="197">
        <v>16</v>
      </c>
      <c r="D1021" s="197">
        <v>0.6</v>
      </c>
      <c r="E1021" s="197">
        <v>34</v>
      </c>
    </row>
    <row r="1026" spans="1:2" ht="15">
      <c r="A1026" s="197">
        <v>35</v>
      </c>
      <c r="B1026" s="197">
        <v>4</v>
      </c>
    </row>
    <row r="1027" spans="1:2" ht="15">
      <c r="A1027" s="197">
        <v>36</v>
      </c>
      <c r="B1027" s="197">
        <v>3.8</v>
      </c>
    </row>
    <row r="1028" spans="1:2" ht="15">
      <c r="A1028" s="197">
        <v>37</v>
      </c>
      <c r="B1028" s="197">
        <v>3.6</v>
      </c>
    </row>
    <row r="1029" spans="1:2" ht="15">
      <c r="A1029" s="197">
        <v>38</v>
      </c>
      <c r="B1029" s="197">
        <v>3.5</v>
      </c>
    </row>
    <row r="1030" spans="1:2" ht="15">
      <c r="A1030" s="197">
        <v>39</v>
      </c>
      <c r="B1030" s="197">
        <v>3.4</v>
      </c>
    </row>
    <row r="1031" spans="1:2" ht="15">
      <c r="A1031" s="197">
        <v>40</v>
      </c>
      <c r="B1031" s="197">
        <v>3.2</v>
      </c>
    </row>
    <row r="1032" spans="1:2" ht="15">
      <c r="A1032" s="197">
        <v>41</v>
      </c>
      <c r="B1032" s="197">
        <v>3.1</v>
      </c>
    </row>
    <row r="1033" spans="1:2" ht="15">
      <c r="A1033" s="197">
        <v>42</v>
      </c>
      <c r="B1033" s="197">
        <v>3</v>
      </c>
    </row>
    <row r="1034" spans="1:2" ht="15">
      <c r="A1034" s="197">
        <v>43</v>
      </c>
      <c r="B1034" s="197">
        <v>2.9</v>
      </c>
    </row>
    <row r="1035" spans="1:2" ht="15">
      <c r="A1035" s="197">
        <v>44</v>
      </c>
      <c r="B1035" s="197">
        <v>2.8</v>
      </c>
    </row>
    <row r="1036" spans="1:2" ht="15">
      <c r="A1036" s="197">
        <v>45</v>
      </c>
      <c r="B1036" s="197">
        <v>2.6</v>
      </c>
    </row>
    <row r="1037" spans="1:2" ht="15">
      <c r="A1037" s="197">
        <v>46</v>
      </c>
      <c r="B1037" s="197">
        <v>2.5</v>
      </c>
    </row>
    <row r="1038" spans="1:2" ht="15">
      <c r="A1038" s="197">
        <v>47</v>
      </c>
      <c r="B1038" s="197">
        <v>2.4</v>
      </c>
    </row>
    <row r="1039" spans="1:2" ht="15">
      <c r="A1039" s="197">
        <v>48</v>
      </c>
      <c r="B1039" s="197">
        <v>2.4</v>
      </c>
    </row>
    <row r="1040" spans="1:2" ht="15">
      <c r="A1040" s="197">
        <v>49</v>
      </c>
      <c r="B1040" s="197">
        <v>2.3</v>
      </c>
    </row>
    <row r="1041" spans="1:2" ht="15">
      <c r="A1041" s="197">
        <v>50</v>
      </c>
      <c r="B1041" s="197">
        <v>2.2</v>
      </c>
    </row>
    <row r="1042" spans="1:2" ht="15">
      <c r="A1042" s="197">
        <v>51</v>
      </c>
      <c r="B1042" s="197">
        <v>2.1</v>
      </c>
    </row>
    <row r="1043" spans="1:2" ht="15">
      <c r="A1043" s="197">
        <v>52</v>
      </c>
      <c r="B1043" s="197">
        <v>2</v>
      </c>
    </row>
    <row r="1044" spans="1:2" ht="15">
      <c r="A1044" s="197">
        <v>53</v>
      </c>
      <c r="B1044" s="197">
        <v>1.9</v>
      </c>
    </row>
    <row r="1045" spans="1:3" ht="15">
      <c r="A1045" s="197">
        <v>54</v>
      </c>
      <c r="B1045" s="197">
        <v>1.9</v>
      </c>
      <c r="C1045" s="197">
        <v>11.9</v>
      </c>
    </row>
    <row r="1046" spans="1:3" ht="15">
      <c r="A1046" s="197">
        <v>55</v>
      </c>
      <c r="B1046" s="197">
        <v>1.8</v>
      </c>
      <c r="C1046" s="197">
        <v>10.9</v>
      </c>
    </row>
    <row r="1047" spans="1:3" ht="15">
      <c r="A1047" s="197">
        <v>56</v>
      </c>
      <c r="B1047" s="197">
        <v>1.7</v>
      </c>
      <c r="C1047" s="197">
        <v>10.9</v>
      </c>
    </row>
    <row r="1048" spans="1:3" ht="15">
      <c r="A1048" s="197">
        <v>57</v>
      </c>
      <c r="B1048" s="197">
        <v>1.7</v>
      </c>
      <c r="C1048" s="197">
        <v>10.9</v>
      </c>
    </row>
    <row r="1049" spans="1:3" ht="15">
      <c r="A1049" s="197">
        <v>58</v>
      </c>
      <c r="B1049" s="197">
        <v>1.6</v>
      </c>
      <c r="C1049" s="197">
        <v>10.9</v>
      </c>
    </row>
    <row r="1050" spans="1:3" ht="15">
      <c r="A1050" s="197">
        <v>59</v>
      </c>
      <c r="B1050" s="197">
        <v>1.5</v>
      </c>
      <c r="C1050" s="197">
        <v>10.9</v>
      </c>
    </row>
    <row r="1051" spans="1:3" ht="15">
      <c r="A1051" s="197">
        <v>60</v>
      </c>
      <c r="B1051" s="197">
        <v>1.5</v>
      </c>
      <c r="C1051" s="197">
        <v>10.9</v>
      </c>
    </row>
    <row r="1052" spans="1:3" ht="15">
      <c r="A1052" s="197">
        <v>61</v>
      </c>
      <c r="B1052" s="197">
        <v>1.4</v>
      </c>
      <c r="C1052" s="197">
        <v>10.9</v>
      </c>
    </row>
    <row r="1053" spans="1:3" ht="15">
      <c r="A1053" s="197">
        <v>62</v>
      </c>
      <c r="B1053" s="197">
        <v>1.4</v>
      </c>
      <c r="C1053" s="197">
        <v>10.9</v>
      </c>
    </row>
    <row r="1054" spans="1:3" ht="15">
      <c r="A1054" s="197">
        <v>63</v>
      </c>
      <c r="B1054" s="197">
        <v>1.3</v>
      </c>
      <c r="C1054" s="197">
        <v>10.9</v>
      </c>
    </row>
    <row r="1055" spans="1:3" ht="15">
      <c r="A1055" s="197">
        <v>64</v>
      </c>
      <c r="B1055" s="197">
        <v>1.3</v>
      </c>
      <c r="C1055" s="197">
        <v>10.9</v>
      </c>
    </row>
    <row r="1056" spans="1:3" ht="15">
      <c r="A1056" s="197">
        <v>65</v>
      </c>
      <c r="B1056" s="197">
        <v>1.2</v>
      </c>
      <c r="C1056" s="197">
        <v>10.9</v>
      </c>
    </row>
    <row r="1057" spans="1:3" ht="15">
      <c r="A1057" s="197">
        <v>66</v>
      </c>
      <c r="B1057" s="197">
        <v>1.1</v>
      </c>
      <c r="C1057" s="197">
        <v>10.9</v>
      </c>
    </row>
    <row r="1058" spans="1:3" ht="15">
      <c r="A1058" s="197">
        <v>67</v>
      </c>
      <c r="B1058" s="197">
        <v>1.1</v>
      </c>
      <c r="C1058" s="197">
        <v>10.9</v>
      </c>
    </row>
    <row r="1059" spans="1:3" ht="15">
      <c r="A1059" s="197">
        <v>68</v>
      </c>
      <c r="B1059" s="197">
        <v>1</v>
      </c>
      <c r="C1059" s="197">
        <v>10.9</v>
      </c>
    </row>
    <row r="1060" spans="1:3" ht="15">
      <c r="A1060" s="197">
        <v>69</v>
      </c>
      <c r="B1060" s="197">
        <v>1</v>
      </c>
      <c r="C1060" s="197">
        <v>10.9</v>
      </c>
    </row>
    <row r="1061" spans="1:3" ht="15">
      <c r="A1061" s="197">
        <v>70</v>
      </c>
      <c r="B1061" s="197">
        <v>1</v>
      </c>
      <c r="C1061" s="197">
        <v>10.9</v>
      </c>
    </row>
    <row r="1062" spans="1:3" ht="15">
      <c r="A1062" s="197">
        <v>71</v>
      </c>
      <c r="B1062" s="197">
        <v>0.9</v>
      </c>
      <c r="C1062" s="197">
        <v>10.9</v>
      </c>
    </row>
    <row r="1063" spans="1:3" ht="15">
      <c r="A1063" s="197">
        <v>72</v>
      </c>
      <c r="B1063" s="197">
        <v>0.9</v>
      </c>
      <c r="C1063" s="197">
        <v>10.9</v>
      </c>
    </row>
    <row r="1064" spans="1:3" ht="15">
      <c r="A1064" s="197">
        <v>73</v>
      </c>
      <c r="B1064" s="197">
        <v>0.8</v>
      </c>
      <c r="C1064" s="197">
        <v>10.9</v>
      </c>
    </row>
    <row r="1065" spans="1:3" ht="15">
      <c r="A1065" s="197">
        <v>74</v>
      </c>
      <c r="B1065" s="197">
        <v>0.8</v>
      </c>
      <c r="C1065" s="197">
        <v>10.9</v>
      </c>
    </row>
    <row r="1066" spans="1:3" ht="15">
      <c r="A1066" s="197">
        <v>75</v>
      </c>
      <c r="B1066" s="197">
        <v>0.8</v>
      </c>
      <c r="C1066" s="197">
        <v>10.9</v>
      </c>
    </row>
    <row r="1067" spans="1:3" ht="15">
      <c r="A1067" s="197">
        <v>76</v>
      </c>
      <c r="B1067" s="197">
        <v>0.7</v>
      </c>
      <c r="C1067" s="197">
        <v>10.9</v>
      </c>
    </row>
    <row r="1068" spans="1:3" ht="15">
      <c r="A1068" s="197">
        <v>77</v>
      </c>
      <c r="B1068" s="197">
        <v>0.7</v>
      </c>
      <c r="C1068" s="197">
        <v>10.9</v>
      </c>
    </row>
    <row r="1069" spans="1:3" ht="15">
      <c r="A1069" s="197">
        <v>78</v>
      </c>
      <c r="B1069" s="197">
        <v>0.6</v>
      </c>
      <c r="C1069" s="197">
        <v>10.9</v>
      </c>
    </row>
    <row r="1070" spans="1:3" ht="15">
      <c r="A1070" s="197">
        <v>79</v>
      </c>
      <c r="B1070" s="197">
        <v>0.6</v>
      </c>
      <c r="C1070" s="197">
        <v>10.9</v>
      </c>
    </row>
    <row r="1071" spans="1:3" ht="15">
      <c r="A1071" s="197">
        <v>80</v>
      </c>
      <c r="B1071" s="197">
        <v>0.6</v>
      </c>
      <c r="C1071" s="197">
        <v>10.9</v>
      </c>
    </row>
    <row r="1072" spans="1:3" ht="15">
      <c r="A1072" s="197">
        <v>81</v>
      </c>
      <c r="B1072" s="197">
        <v>0.6</v>
      </c>
      <c r="C1072" s="197">
        <v>10.9</v>
      </c>
    </row>
    <row r="1073" spans="1:3" ht="15">
      <c r="A1073" s="197">
        <v>82</v>
      </c>
      <c r="B1073" s="197">
        <v>0.5</v>
      </c>
      <c r="C1073" s="197">
        <v>10.9</v>
      </c>
    </row>
    <row r="1074" spans="1:3" ht="15">
      <c r="A1074" s="197">
        <v>83</v>
      </c>
      <c r="B1074" s="197">
        <v>0.5</v>
      </c>
      <c r="C1074" s="197">
        <v>10.9</v>
      </c>
    </row>
    <row r="1075" spans="1:3" ht="15">
      <c r="A1075" s="197">
        <v>84</v>
      </c>
      <c r="B1075" s="197">
        <v>0.4</v>
      </c>
      <c r="C1075" s="197">
        <v>10.9</v>
      </c>
    </row>
    <row r="1076" spans="1:3" ht="15">
      <c r="A1076" s="197">
        <v>85</v>
      </c>
      <c r="B1076" s="197">
        <v>0.4</v>
      </c>
      <c r="C1076" s="197">
        <v>10.9</v>
      </c>
    </row>
    <row r="1077" spans="1:3" ht="15">
      <c r="A1077" s="197">
        <v>86</v>
      </c>
      <c r="B1077" s="197">
        <v>0.4</v>
      </c>
      <c r="C1077" s="197">
        <v>10.9</v>
      </c>
    </row>
    <row r="1078" spans="1:3" ht="15">
      <c r="A1078" s="197">
        <v>87</v>
      </c>
      <c r="B1078" s="197">
        <v>0.4</v>
      </c>
      <c r="C1078" s="197">
        <v>10.9</v>
      </c>
    </row>
    <row r="1079" spans="1:3" ht="15">
      <c r="A1079" s="197">
        <v>88</v>
      </c>
      <c r="B1079" s="197">
        <v>0.3</v>
      </c>
      <c r="C1079" s="197">
        <v>10.9</v>
      </c>
    </row>
    <row r="1080" spans="1:3" ht="15">
      <c r="A1080" s="197">
        <v>89</v>
      </c>
      <c r="B1080" s="197">
        <v>0.3</v>
      </c>
      <c r="C1080" s="197">
        <v>10.9</v>
      </c>
    </row>
    <row r="1081" spans="1:3" ht="15">
      <c r="A1081" s="197">
        <v>90</v>
      </c>
      <c r="B1081" s="197">
        <v>0.2</v>
      </c>
      <c r="C1081" s="197">
        <v>10.9</v>
      </c>
    </row>
    <row r="1082" spans="1:3" ht="15">
      <c r="A1082" s="197">
        <v>91</v>
      </c>
      <c r="B1082" s="197">
        <v>0.2</v>
      </c>
      <c r="C1082" s="197">
        <v>10.9</v>
      </c>
    </row>
    <row r="1083" spans="1:3" ht="15">
      <c r="A1083" s="197">
        <v>92</v>
      </c>
      <c r="B1083" s="197">
        <v>0.2</v>
      </c>
      <c r="C1083" s="197">
        <v>10.9</v>
      </c>
    </row>
    <row r="1084" spans="1:3" ht="15">
      <c r="A1084" s="197">
        <v>93</v>
      </c>
      <c r="B1084" s="197">
        <v>0.2</v>
      </c>
      <c r="C1084" s="197">
        <v>10.9</v>
      </c>
    </row>
    <row r="1085" spans="1:3" ht="15">
      <c r="A1085" s="197">
        <v>94</v>
      </c>
      <c r="B1085" s="197">
        <v>0.1</v>
      </c>
      <c r="C1085" s="197">
        <v>10.9</v>
      </c>
    </row>
    <row r="1086" spans="1:3" ht="15">
      <c r="A1086" s="197">
        <v>95</v>
      </c>
      <c r="B1086" s="197">
        <v>0.1</v>
      </c>
      <c r="C1086" s="197">
        <v>10.9</v>
      </c>
    </row>
    <row r="1087" spans="1:3" ht="15">
      <c r="A1087" s="197">
        <v>96</v>
      </c>
      <c r="B1087" s="197">
        <v>0</v>
      </c>
      <c r="C1087" s="197">
        <v>10.9</v>
      </c>
    </row>
    <row r="1088" spans="1:3" ht="15">
      <c r="A1088" s="197">
        <v>97</v>
      </c>
      <c r="B1088" s="197">
        <v>0</v>
      </c>
      <c r="C1088" s="197">
        <v>10.9</v>
      </c>
    </row>
    <row r="1951" spans="1:184" ht="15">
      <c r="A1951" s="195"/>
      <c r="B1951" s="195"/>
      <c r="C1951" s="195"/>
      <c r="D1951" s="195"/>
      <c r="E1951" s="195"/>
      <c r="F1951" s="195"/>
      <c r="G1951" s="195"/>
      <c r="H1951" s="195"/>
      <c r="I1951" s="195"/>
      <c r="J1951" s="195"/>
      <c r="K1951" s="195"/>
      <c r="L1951" s="195"/>
      <c r="M1951" s="195"/>
      <c r="N1951" s="195"/>
      <c r="O1951" s="195"/>
      <c r="P1951" s="195"/>
      <c r="Q1951" s="195"/>
      <c r="R1951" s="195"/>
      <c r="S1951" s="195"/>
      <c r="T1951" s="195"/>
      <c r="U1951" s="195"/>
      <c r="V1951" s="195"/>
      <c r="W1951" s="195"/>
      <c r="X1951" s="195"/>
      <c r="Y1951" s="195"/>
      <c r="Z1951" s="195"/>
      <c r="AA1951" s="195"/>
      <c r="AB1951" s="195"/>
      <c r="AC1951" s="195"/>
      <c r="AD1951" s="195"/>
      <c r="AE1951" s="195"/>
      <c r="AF1951" s="195"/>
      <c r="AG1951" s="195"/>
      <c r="AH1951" s="195"/>
      <c r="AI1951" s="195"/>
      <c r="AJ1951" s="195"/>
      <c r="AK1951" s="195"/>
      <c r="AL1951" s="195"/>
      <c r="AM1951" s="195"/>
      <c r="AN1951" s="195"/>
      <c r="AO1951" s="195"/>
      <c r="AP1951" s="195"/>
      <c r="AQ1951" s="195"/>
      <c r="AR1951" s="195"/>
      <c r="AS1951" s="195"/>
      <c r="AT1951" s="195"/>
      <c r="AU1951" s="195"/>
      <c r="AV1951" s="195"/>
      <c r="AW1951" s="195"/>
      <c r="AX1951" s="195"/>
      <c r="AY1951" s="195"/>
      <c r="AZ1951" s="195"/>
      <c r="BA1951" s="195"/>
      <c r="BB1951" s="195"/>
      <c r="BC1951" s="195"/>
      <c r="BD1951" s="195"/>
      <c r="BE1951" s="195"/>
      <c r="BF1951" s="195"/>
      <c r="BG1951" s="195"/>
      <c r="BH1951" s="195"/>
      <c r="BI1951" s="195"/>
      <c r="BJ1951" s="195"/>
      <c r="BK1951" s="195"/>
      <c r="BL1951" s="195"/>
      <c r="BM1951" s="195"/>
      <c r="BN1951" s="195"/>
      <c r="BO1951" s="195"/>
      <c r="BP1951" s="195"/>
      <c r="BQ1951" s="195"/>
      <c r="BR1951" s="195"/>
      <c r="BS1951" s="195"/>
      <c r="BT1951" s="195"/>
      <c r="BU1951" s="195"/>
      <c r="BV1951" s="195"/>
      <c r="BW1951" s="195"/>
      <c r="BX1951" s="195"/>
      <c r="BY1951" s="195"/>
      <c r="BZ1951" s="195"/>
      <c r="CA1951" s="195"/>
      <c r="CB1951" s="195"/>
      <c r="CC1951" s="195"/>
      <c r="CD1951" s="195"/>
      <c r="CE1951" s="195"/>
      <c r="CF1951" s="195"/>
      <c r="CG1951" s="195"/>
      <c r="CH1951" s="195"/>
      <c r="CI1951" s="195"/>
      <c r="CJ1951" s="195"/>
      <c r="CK1951" s="195"/>
      <c r="CL1951" s="195"/>
      <c r="CM1951" s="195"/>
      <c r="CN1951" s="195"/>
      <c r="CO1951" s="195"/>
      <c r="CP1951" s="195"/>
      <c r="CQ1951" s="195"/>
      <c r="CR1951" s="195"/>
      <c r="CS1951" s="195"/>
      <c r="CT1951" s="195"/>
      <c r="CU1951" s="195"/>
      <c r="CV1951" s="195"/>
      <c r="CW1951" s="195"/>
      <c r="CX1951" s="195"/>
      <c r="CY1951" s="195"/>
      <c r="CZ1951" s="195"/>
      <c r="DA1951" s="195"/>
      <c r="DB1951" s="195"/>
      <c r="DC1951" s="195"/>
      <c r="DD1951" s="195"/>
      <c r="DE1951" s="195"/>
      <c r="DF1951" s="195"/>
      <c r="DG1951" s="195"/>
      <c r="DH1951" s="195"/>
      <c r="DI1951" s="195"/>
      <c r="DJ1951" s="195"/>
      <c r="DK1951" s="195"/>
      <c r="DL1951" s="195"/>
      <c r="DM1951" s="195"/>
      <c r="DN1951" s="195"/>
      <c r="DO1951" s="195"/>
      <c r="DP1951" s="195"/>
      <c r="DQ1951" s="195"/>
      <c r="DR1951" s="195"/>
      <c r="DS1951" s="195"/>
      <c r="DT1951" s="195"/>
      <c r="DU1951" s="195"/>
      <c r="DV1951" s="195"/>
      <c r="DW1951" s="195"/>
      <c r="DX1951" s="195"/>
      <c r="DY1951" s="195"/>
      <c r="DZ1951" s="195"/>
      <c r="EA1951" s="195"/>
      <c r="EB1951" s="195"/>
      <c r="EC1951" s="195"/>
      <c r="ED1951" s="195"/>
      <c r="EE1951" s="195"/>
      <c r="EF1951" s="195"/>
      <c r="EG1951" s="195"/>
      <c r="EH1951" s="195"/>
      <c r="EI1951" s="195"/>
      <c r="EJ1951" s="195"/>
      <c r="EK1951" s="195"/>
      <c r="EL1951" s="195"/>
      <c r="EM1951" s="195"/>
      <c r="EN1951" s="195"/>
      <c r="EO1951" s="195"/>
      <c r="EP1951" s="195"/>
      <c r="EQ1951" s="195"/>
      <c r="ER1951" s="195"/>
      <c r="ES1951" s="195"/>
      <c r="ET1951" s="195"/>
      <c r="EU1951" s="195"/>
      <c r="EV1951" s="195"/>
      <c r="EW1951" s="195"/>
      <c r="EX1951" s="195"/>
      <c r="EY1951" s="195"/>
      <c r="EZ1951" s="195"/>
      <c r="FA1951" s="195"/>
      <c r="FB1951" s="195"/>
      <c r="FC1951" s="195"/>
      <c r="FD1951" s="195"/>
      <c r="FE1951" s="195"/>
      <c r="FF1951" s="195"/>
      <c r="FG1951" s="195"/>
      <c r="FH1951" s="195"/>
      <c r="FI1951" s="195"/>
      <c r="FJ1951" s="195"/>
      <c r="FK1951" s="195"/>
      <c r="FL1951" s="195"/>
      <c r="FM1951" s="195"/>
      <c r="FN1951" s="195"/>
      <c r="FO1951" s="195"/>
      <c r="FP1951" s="195"/>
      <c r="FQ1951" s="195"/>
      <c r="FR1951" s="195"/>
      <c r="FS1951" s="195"/>
      <c r="FT1951" s="195"/>
      <c r="FU1951" s="195"/>
      <c r="FV1951" s="195"/>
      <c r="FW1951" s="195"/>
      <c r="FX1951" s="195"/>
      <c r="FY1951" s="195"/>
      <c r="FZ1951" s="195"/>
      <c r="GA1951" s="195"/>
      <c r="GB1951" s="256">
        <v>4657</v>
      </c>
    </row>
  </sheetData>
  <mergeCells count="10">
    <mergeCell ref="A9:G9"/>
    <mergeCell ref="G31:I31"/>
    <mergeCell ref="H80:I80"/>
    <mergeCell ref="A206:B206"/>
    <mergeCell ref="D29:F29"/>
    <mergeCell ref="D44:F44"/>
    <mergeCell ref="D45:F45"/>
    <mergeCell ref="F80:G80"/>
    <mergeCell ref="D80:E80"/>
    <mergeCell ref="D46:F46"/>
  </mergeCells>
  <conditionalFormatting sqref="H70:H71">
    <cfRule type="cellIs" priority="1" dxfId="0" operator="between" stopIfTrue="1">
      <formula>0.5</formula>
      <formula>1</formula>
    </cfRule>
  </conditionalFormatting>
  <printOptions/>
  <pageMargins left="0.5" right="0.5" top="0.5" bottom="0.5" header="0.5" footer="0.5"/>
  <pageSetup horizontalDpi="180" verticalDpi="180" orientation="portrait" scale="80" r:id="rId4"/>
  <rowBreaks count="6" manualBreakCount="6">
    <brk id="58" max="8" man="1"/>
    <brk id="101" max="255" man="1"/>
    <brk id="154" max="255" man="1"/>
    <brk id="194" max="255" man="1"/>
    <brk id="217" max="255" man="1"/>
    <brk id="246" max="8" man="1"/>
  </rowBreaks>
  <drawing r:id="rId3"/>
  <legacyDrawing r:id="rId2"/>
</worksheet>
</file>

<file path=xl/worksheets/sheet6.xml><?xml version="1.0" encoding="utf-8"?>
<worksheet xmlns="http://schemas.openxmlformats.org/spreadsheetml/2006/main" xmlns:r="http://schemas.openxmlformats.org/officeDocument/2006/relationships">
  <sheetPr codeName="Sheet2">
    <pageSetUpPr fitToPage="1"/>
  </sheetPr>
  <dimension ref="A1:I179"/>
  <sheetViews>
    <sheetView zoomScale="80" zoomScaleNormal="80" zoomScaleSheetLayoutView="58" workbookViewId="0" topLeftCell="A1">
      <selection activeCell="A4" sqref="A4"/>
    </sheetView>
  </sheetViews>
  <sheetFormatPr defaultColWidth="9.140625" defaultRowHeight="12.75"/>
  <cols>
    <col min="1" max="13" width="25.7109375" style="309" customWidth="1"/>
    <col min="14" max="16384" width="9.140625" style="309" customWidth="1"/>
  </cols>
  <sheetData>
    <row r="1" spans="1:2" ht="15.75" customHeight="1">
      <c r="A1" s="347" t="s">
        <v>179</v>
      </c>
      <c r="B1" s="347" t="s">
        <v>180</v>
      </c>
    </row>
    <row r="2" spans="1:3" ht="15.75" customHeight="1">
      <c r="A2" s="354">
        <f>IF($B$10="Runoff Potential",A3,B2)</f>
        <v>3</v>
      </c>
      <c r="B2" s="354">
        <f>IF($A$10="Moderate",$B3,IF($A$10="High",$B4,3))</f>
        <v>3</v>
      </c>
      <c r="C2" s="347">
        <f>IF($B$10="Runoff Potential",A2,B2)</f>
        <v>3</v>
      </c>
    </row>
    <row r="3" spans="1:2" ht="15.75" customHeight="1">
      <c r="A3" s="347">
        <f>IF($A$10="Moderate",$A4,IF($A$10="High",$A5,3))</f>
        <v>3</v>
      </c>
      <c r="B3" s="347">
        <f>IF($C$10="Poor Filter",$A69,$B69)</f>
        <v>2</v>
      </c>
    </row>
    <row r="4" spans="1:2" ht="15.75" customHeight="1">
      <c r="A4" s="347">
        <f>IF($C$10="Flooding",$C69,$A69)</f>
        <v>1</v>
      </c>
      <c r="B4" s="347">
        <f>IF($C$10="Poor Filter",$D69,$E69)</f>
        <v>5</v>
      </c>
    </row>
    <row r="5" ht="15.75" customHeight="1">
      <c r="A5" s="347">
        <f>IF($C$10="Flooding",$G69,$F69)</f>
        <v>6</v>
      </c>
    </row>
    <row r="6" ht="15.75" customHeight="1"/>
    <row r="7" ht="15.75" customHeight="1"/>
    <row r="8" ht="15.75" customHeight="1"/>
    <row r="9" ht="15.75" customHeight="1">
      <c r="A9" s="346" t="s">
        <v>25</v>
      </c>
    </row>
    <row r="10" spans="1:3" ht="15.75" customHeight="1">
      <c r="A10" s="342">
        <f>IF($A$45&gt;$H$45,A44,IF($A$45&lt;$H$45,H44,H44))</f>
      </c>
      <c r="B10" s="342" t="str">
        <f>IF($A$45&gt;$H$45,B44,IF($A$45&lt;$H$45,I44,B44))</f>
        <v>Ground Water Risk</v>
      </c>
      <c r="C10" s="342" t="str">
        <f>IF(B10="Runoff Potential",'Nutrient Risk Assessment'!D16,'Nutrient Risk Assessment'!D17)</f>
        <v>Qualifier</v>
      </c>
    </row>
    <row r="11" ht="15.75" customHeight="1"/>
    <row r="12" spans="1:3" ht="15.75" customHeight="1">
      <c r="A12" s="353" t="str">
        <f>HLOOKUP($C$2,$A$69:$G82,2)</f>
        <v>Commercial Fertilizer</v>
      </c>
      <c r="B12" s="347"/>
      <c r="C12" s="347"/>
    </row>
    <row r="13" spans="1:3" ht="15.75" customHeight="1">
      <c r="A13" s="353" t="str">
        <f>HLOOKUP($C$2,$A$69:$G83,3)</f>
        <v>Fall Application</v>
      </c>
      <c r="B13" s="347"/>
      <c r="C13" s="347"/>
    </row>
    <row r="14" spans="1:3" ht="15.75" customHeight="1">
      <c r="A14" s="353" t="str">
        <f>HLOOKUP($C$2,$A$69:$G84,4)</f>
        <v>See management statements above.</v>
      </c>
      <c r="B14" s="347"/>
      <c r="C14" s="347"/>
    </row>
    <row r="15" spans="1:3" ht="15.75" customHeight="1">
      <c r="A15" s="353" t="str">
        <f>HLOOKUP($C$2,$A$69:$G85,5)</f>
        <v>Spring Application</v>
      </c>
      <c r="B15" s="347"/>
      <c r="C15" s="347"/>
    </row>
    <row r="16" spans="1:3" ht="15.75" customHeight="1">
      <c r="A16" s="353" t="str">
        <f>HLOOKUP($C$2,$A$69:$G86,6)</f>
        <v> </v>
      </c>
      <c r="B16" s="347"/>
      <c r="C16" s="347"/>
    </row>
    <row r="17" spans="1:3" ht="15.75" customHeight="1">
      <c r="A17" s="353" t="str">
        <f>HLOOKUP($C$2,$A$69:$G87,7)</f>
        <v>Agricultural Waste</v>
      </c>
      <c r="B17" s="347"/>
      <c r="C17" s="347"/>
    </row>
    <row r="18" spans="1:3" ht="15.75" customHeight="1">
      <c r="A18" s="353" t="str">
        <f>HLOOKUP($C$2,$A$69:$G88,8)</f>
        <v>Fall Application</v>
      </c>
      <c r="B18" s="347"/>
      <c r="C18" s="347"/>
    </row>
    <row r="19" spans="1:3" ht="15.75" customHeight="1">
      <c r="A19" s="353" t="str">
        <f>HLOOKUP($C$2,$A$69:$G89,9)</f>
        <v>See management statements above.</v>
      </c>
      <c r="B19" s="347"/>
      <c r="C19" s="347"/>
    </row>
    <row r="20" spans="1:3" ht="15.75" customHeight="1">
      <c r="A20" s="353" t="str">
        <f>HLOOKUP($C$2,$A$69:$G90,10)</f>
        <v>Spring Application</v>
      </c>
      <c r="B20" s="347"/>
      <c r="C20" s="347"/>
    </row>
    <row r="21" spans="1:3" ht="15.75" customHeight="1">
      <c r="A21" s="353" t="str">
        <f>HLOOKUP($C$2,$A$69:$G91,11)</f>
        <v> </v>
      </c>
      <c r="B21" s="347"/>
      <c r="C21" s="347"/>
    </row>
    <row r="22" spans="1:3" ht="15.75" customHeight="1">
      <c r="A22" s="353">
        <f>HLOOKUP($C$2,$A$69:$G92,12)</f>
        <v>0</v>
      </c>
      <c r="B22" s="347"/>
      <c r="C22" s="347"/>
    </row>
    <row r="23" spans="1:3" ht="15.75" customHeight="1">
      <c r="A23" s="353" t="str">
        <f>HLOOKUP($C$2,$A$69:$G93,13)</f>
        <v>Maximum accumulation of N 180 lbs./ac</v>
      </c>
      <c r="B23" s="347"/>
      <c r="C23" s="347"/>
    </row>
    <row r="24" spans="1:3" ht="15.75" customHeight="1">
      <c r="A24" s="353" t="str">
        <f>HLOOKUP($C$2,$A$69:$G94,14)</f>
        <v>Maximum accumulation of P 150ppm</v>
      </c>
      <c r="B24" s="347"/>
      <c r="C24" s="347"/>
    </row>
    <row r="25" spans="1:3" ht="15.75" customHeight="1">
      <c r="A25" s="353"/>
      <c r="B25" s="347"/>
      <c r="C25" s="347"/>
    </row>
    <row r="26" ht="15.75" customHeight="1"/>
    <row r="27" ht="15.75" customHeight="1">
      <c r="A27" s="346" t="s">
        <v>23</v>
      </c>
    </row>
    <row r="28" ht="15.75" customHeight="1">
      <c r="A28" s="346"/>
    </row>
    <row r="29" spans="1:3" ht="15.75" customHeight="1">
      <c r="A29" s="1229" t="str">
        <f>'Nutrient Risk Assessment'!E46</f>
        <v>Phosphorous Index was not calculated for this field.  Refer to the Nutrient Management Planner for nutrient management considerations.</v>
      </c>
      <c r="B29" s="1428"/>
      <c r="C29" s="1428"/>
    </row>
    <row r="30" spans="1:3" ht="15.75" customHeight="1">
      <c r="A30" s="1428"/>
      <c r="B30" s="1428"/>
      <c r="C30" s="1428"/>
    </row>
    <row r="31" spans="1:3" ht="15.75" customHeight="1">
      <c r="A31" s="1428"/>
      <c r="B31" s="1428"/>
      <c r="C31" s="1428"/>
    </row>
    <row r="32" spans="1:3" ht="15.75" customHeight="1">
      <c r="A32" s="1428"/>
      <c r="B32" s="1428"/>
      <c r="C32" s="1428"/>
    </row>
    <row r="33" spans="1:3" ht="15.75" customHeight="1">
      <c r="A33" s="1428"/>
      <c r="B33" s="1428"/>
      <c r="C33" s="1428"/>
    </row>
    <row r="34" spans="1:3" ht="15.75" customHeight="1">
      <c r="A34" s="1428"/>
      <c r="B34" s="1428"/>
      <c r="C34" s="1428"/>
    </row>
    <row r="35" spans="1:3" ht="15.75" customHeight="1">
      <c r="A35" s="1428"/>
      <c r="B35" s="1428"/>
      <c r="C35" s="1428"/>
    </row>
    <row r="36" spans="1:3" ht="15.75" customHeight="1">
      <c r="A36" s="1428"/>
      <c r="B36" s="1428"/>
      <c r="C36" s="1428"/>
    </row>
    <row r="37" spans="1:3" ht="15.75" customHeight="1">
      <c r="A37" s="353"/>
      <c r="B37" s="347"/>
      <c r="C37" s="347"/>
    </row>
    <row r="38" spans="1:3" ht="15.75" customHeight="1">
      <c r="A38" s="353"/>
      <c r="B38" s="347"/>
      <c r="C38" s="347"/>
    </row>
    <row r="39" spans="1:3" ht="15.75" customHeight="1">
      <c r="A39" s="353"/>
      <c r="B39" s="347"/>
      <c r="C39" s="347"/>
    </row>
    <row r="40" spans="1:3" ht="15.75" customHeight="1">
      <c r="A40" s="353"/>
      <c r="B40" s="347"/>
      <c r="C40" s="347"/>
    </row>
    <row r="41" spans="1:3" ht="15.75" customHeight="1">
      <c r="A41" s="353"/>
      <c r="B41" s="347"/>
      <c r="C41" s="347"/>
    </row>
    <row r="42" ht="15.75" customHeight="1"/>
    <row r="43" spans="1:9" ht="15.75" customHeight="1">
      <c r="A43" s="1427" t="s">
        <v>20</v>
      </c>
      <c r="B43" s="1427"/>
      <c r="C43" s="342"/>
      <c r="E43" s="1427"/>
      <c r="F43" s="1427"/>
      <c r="G43" s="342"/>
      <c r="H43" s="1427" t="s">
        <v>20</v>
      </c>
      <c r="I43" s="1427"/>
    </row>
    <row r="44" spans="1:9" ht="15.75" customHeight="1">
      <c r="A44" s="342">
        <f>'Nutrient Risk Assessment'!B16</f>
      </c>
      <c r="B44" s="344" t="s">
        <v>1373</v>
      </c>
      <c r="E44" s="342"/>
      <c r="F44" s="345"/>
      <c r="H44" s="342">
        <f>'Nutrient Risk Assessment'!B17</f>
      </c>
      <c r="I44" s="344" t="s">
        <v>1374</v>
      </c>
    </row>
    <row r="45" spans="1:9" ht="15.75" customHeight="1">
      <c r="A45" s="349">
        <f>IF($A$44="Moderate",4,IF($A$44="High",5,1))</f>
        <v>1</v>
      </c>
      <c r="B45" s="304"/>
      <c r="C45" s="304"/>
      <c r="D45" s="304"/>
      <c r="E45" s="349"/>
      <c r="F45" s="304"/>
      <c r="G45" s="304"/>
      <c r="H45" s="349">
        <f>IF($H$44="NA",1,IF($H$44="Moderate",4,5))</f>
        <v>5</v>
      </c>
      <c r="I45" s="304"/>
    </row>
    <row r="46" spans="1:9" ht="15.75" customHeight="1">
      <c r="A46" s="348" t="str">
        <f aca="true" t="shared" si="0" ref="A46:A59">IF($A$44="Negligible","None Needed",IF($A$44="Low",$A70,IF($A$44="Medium",$B70,IF($A$44="High",$C70,IF($A$44="Very High",$C70,"None")))))</f>
        <v>None</v>
      </c>
      <c r="B46" s="304"/>
      <c r="C46" s="304"/>
      <c r="D46" s="304"/>
      <c r="E46" s="348"/>
      <c r="F46" s="304"/>
      <c r="G46" s="304"/>
      <c r="H46" s="348" t="str">
        <f aca="true" t="shared" si="1" ref="H46:H59">IF($H$44="NA",$A70,IF($H$44="Moderate",$B70,$C70))</f>
        <v>Commercial Fertilizer</v>
      </c>
      <c r="I46" s="304"/>
    </row>
    <row r="47" spans="1:9" ht="15.75" customHeight="1">
      <c r="A47" s="348" t="str">
        <f t="shared" si="0"/>
        <v>None</v>
      </c>
      <c r="B47" s="304"/>
      <c r="C47" s="304"/>
      <c r="D47" s="304"/>
      <c r="E47" s="348"/>
      <c r="F47" s="304"/>
      <c r="G47" s="304"/>
      <c r="H47" s="348" t="str">
        <f t="shared" si="1"/>
        <v>Fall Application</v>
      </c>
      <c r="I47" s="304"/>
    </row>
    <row r="48" spans="1:9" ht="15.75" customHeight="1">
      <c r="A48" s="348" t="str">
        <f t="shared" si="0"/>
        <v>None</v>
      </c>
      <c r="B48" s="304"/>
      <c r="C48" s="304"/>
      <c r="D48" s="304"/>
      <c r="E48" s="348"/>
      <c r="F48" s="304"/>
      <c r="G48" s="304"/>
      <c r="H48" s="348" t="str">
        <f t="shared" si="1"/>
        <v>See management statements above.</v>
      </c>
      <c r="I48" s="304"/>
    </row>
    <row r="49" spans="1:9" ht="15.75" customHeight="1">
      <c r="A49" s="348" t="str">
        <f t="shared" si="0"/>
        <v>None</v>
      </c>
      <c r="B49" s="304"/>
      <c r="C49" s="304"/>
      <c r="D49" s="304"/>
      <c r="E49" s="348"/>
      <c r="F49" s="304"/>
      <c r="G49" s="304"/>
      <c r="H49" s="348" t="str">
        <f t="shared" si="1"/>
        <v>Spring Application</v>
      </c>
      <c r="I49" s="304"/>
    </row>
    <row r="50" spans="1:9" ht="15.75" customHeight="1">
      <c r="A50" s="348" t="str">
        <f t="shared" si="0"/>
        <v>None</v>
      </c>
      <c r="B50" s="304"/>
      <c r="C50" s="304"/>
      <c r="D50" s="304"/>
      <c r="E50" s="348"/>
      <c r="F50" s="304"/>
      <c r="G50" s="304"/>
      <c r="H50" s="348" t="str">
        <f t="shared" si="1"/>
        <v> </v>
      </c>
      <c r="I50" s="304"/>
    </row>
    <row r="51" spans="1:9" ht="15.75" customHeight="1">
      <c r="A51" s="348" t="str">
        <f t="shared" si="0"/>
        <v>None</v>
      </c>
      <c r="B51" s="304"/>
      <c r="C51" s="304"/>
      <c r="D51" s="304"/>
      <c r="E51" s="348"/>
      <c r="F51" s="304"/>
      <c r="G51" s="304"/>
      <c r="H51" s="348" t="str">
        <f t="shared" si="1"/>
        <v>Agricultural Waste</v>
      </c>
      <c r="I51" s="304"/>
    </row>
    <row r="52" spans="1:9" ht="15.75" customHeight="1">
      <c r="A52" s="348" t="str">
        <f t="shared" si="0"/>
        <v>None</v>
      </c>
      <c r="B52" s="304"/>
      <c r="C52" s="304"/>
      <c r="D52" s="304"/>
      <c r="E52" s="348"/>
      <c r="F52" s="304"/>
      <c r="G52" s="304"/>
      <c r="H52" s="348" t="str">
        <f t="shared" si="1"/>
        <v>Fall Application</v>
      </c>
      <c r="I52" s="304"/>
    </row>
    <row r="53" spans="1:9" ht="15.75" customHeight="1">
      <c r="A53" s="348" t="str">
        <f t="shared" si="0"/>
        <v>None</v>
      </c>
      <c r="B53" s="304"/>
      <c r="C53" s="304"/>
      <c r="D53" s="304"/>
      <c r="E53" s="348"/>
      <c r="F53" s="304"/>
      <c r="G53" s="304"/>
      <c r="H53" s="348" t="str">
        <f t="shared" si="1"/>
        <v>See management statements above.</v>
      </c>
      <c r="I53" s="304"/>
    </row>
    <row r="54" spans="1:9" ht="15.75" customHeight="1">
      <c r="A54" s="348" t="str">
        <f t="shared" si="0"/>
        <v>None</v>
      </c>
      <c r="B54" s="304"/>
      <c r="C54" s="304"/>
      <c r="D54" s="304"/>
      <c r="E54" s="348"/>
      <c r="F54" s="304"/>
      <c r="G54" s="304"/>
      <c r="H54" s="348" t="str">
        <f t="shared" si="1"/>
        <v>Spring Application</v>
      </c>
      <c r="I54" s="304"/>
    </row>
    <row r="55" spans="1:9" ht="15.75" customHeight="1">
      <c r="A55" s="348" t="str">
        <f t="shared" si="0"/>
        <v>None</v>
      </c>
      <c r="B55" s="304"/>
      <c r="C55" s="304"/>
      <c r="D55" s="304"/>
      <c r="E55" s="348"/>
      <c r="F55" s="304"/>
      <c r="G55" s="304"/>
      <c r="H55" s="348" t="str">
        <f t="shared" si="1"/>
        <v> </v>
      </c>
      <c r="I55" s="304"/>
    </row>
    <row r="56" spans="1:9" ht="15.75" customHeight="1">
      <c r="A56" s="348" t="str">
        <f t="shared" si="0"/>
        <v>None</v>
      </c>
      <c r="B56" s="304"/>
      <c r="C56" s="304"/>
      <c r="D56" s="304"/>
      <c r="E56" s="348"/>
      <c r="F56" s="304"/>
      <c r="G56" s="304"/>
      <c r="H56" s="348">
        <f t="shared" si="1"/>
        <v>0</v>
      </c>
      <c r="I56" s="304"/>
    </row>
    <row r="57" spans="1:8" ht="15.75" customHeight="1">
      <c r="A57" s="348" t="str">
        <f>IF($A$44="Negligible","None Needed",IF($A$44="Low",$A81,IF($A$44="Medium",$B81,IF($A$44="High",$C81,IF($A$44="Very High",$C81,$C81)))))</f>
        <v>Maximum accumulation of N 180 lbs./ac</v>
      </c>
      <c r="E57" s="348"/>
      <c r="H57" s="348" t="str">
        <f t="shared" si="1"/>
        <v>Maximum accumulation of N 180 lbs./ac</v>
      </c>
    </row>
    <row r="58" spans="1:8" ht="15.75" customHeight="1">
      <c r="A58" s="348" t="str">
        <f>IF($A$44="Negligible","None Needed",IF($A$44="Low",$A82,IF($A$44="Medium",$B82,IF($A$44="High",$C82,IF($A$44="Very High",$C82,$C82)))))</f>
        <v>Maximum accumulation of P 150ppm</v>
      </c>
      <c r="E58" s="348"/>
      <c r="H58" s="348" t="str">
        <f t="shared" si="1"/>
        <v>Maximum accumulation of P 150ppm</v>
      </c>
    </row>
    <row r="59" spans="1:8" ht="15.75" customHeight="1">
      <c r="A59" s="348" t="str">
        <f t="shared" si="0"/>
        <v>None</v>
      </c>
      <c r="E59" s="348"/>
      <c r="H59" s="348">
        <f t="shared" si="1"/>
        <v>0</v>
      </c>
    </row>
    <row r="60" ht="15.75" customHeight="1">
      <c r="A60" s="304"/>
    </row>
    <row r="61" ht="15.75" customHeight="1">
      <c r="A61" s="304"/>
    </row>
    <row r="62" ht="15.75" customHeight="1">
      <c r="A62" s="304"/>
    </row>
    <row r="63" ht="15.75" customHeight="1"/>
    <row r="64" ht="15.75" customHeight="1"/>
    <row r="65" ht="15.75" customHeight="1"/>
    <row r="66" ht="15.75" customHeight="1"/>
    <row r="67" spans="1:5" s="307" customFormat="1" ht="12.75">
      <c r="A67" s="304"/>
      <c r="B67" s="304"/>
      <c r="C67" s="305"/>
      <c r="D67" s="306"/>
      <c r="E67" s="305"/>
    </row>
    <row r="68" spans="1:5" s="307" customFormat="1" ht="12.75">
      <c r="A68" s="308"/>
      <c r="B68" s="308"/>
      <c r="C68" s="308"/>
      <c r="D68" s="308"/>
      <c r="E68" s="308"/>
    </row>
    <row r="69" spans="1:7" ht="12.75">
      <c r="A69" s="628">
        <v>1</v>
      </c>
      <c r="B69" s="628">
        <v>2</v>
      </c>
      <c r="C69" s="310">
        <v>3</v>
      </c>
      <c r="D69" s="628">
        <v>4</v>
      </c>
      <c r="E69" s="628">
        <v>5</v>
      </c>
      <c r="F69" s="628">
        <v>6</v>
      </c>
      <c r="G69" s="628">
        <v>7</v>
      </c>
    </row>
    <row r="70" spans="1:7" ht="12.75">
      <c r="A70" s="311" t="s">
        <v>311</v>
      </c>
      <c r="B70" s="311" t="s">
        <v>311</v>
      </c>
      <c r="C70" s="311" t="s">
        <v>311</v>
      </c>
      <c r="D70" s="311" t="s">
        <v>311</v>
      </c>
      <c r="E70" s="318" t="s">
        <v>311</v>
      </c>
      <c r="F70" s="311" t="s">
        <v>311</v>
      </c>
      <c r="G70" s="311" t="s">
        <v>311</v>
      </c>
    </row>
    <row r="71" spans="1:7" ht="12.75">
      <c r="A71" s="312" t="s">
        <v>1461</v>
      </c>
      <c r="B71" s="312" t="s">
        <v>1461</v>
      </c>
      <c r="C71" s="312" t="s">
        <v>1461</v>
      </c>
      <c r="D71" s="312" t="s">
        <v>1461</v>
      </c>
      <c r="E71" s="319" t="s">
        <v>1461</v>
      </c>
      <c r="F71" s="312" t="s">
        <v>1461</v>
      </c>
      <c r="G71" s="312" t="s">
        <v>1461</v>
      </c>
    </row>
    <row r="72" spans="1:7" ht="63.75">
      <c r="A72" s="350" t="s">
        <v>889</v>
      </c>
      <c r="B72" s="352" t="s">
        <v>891</v>
      </c>
      <c r="C72" s="350" t="s">
        <v>864</v>
      </c>
      <c r="D72" s="350" t="s">
        <v>896</v>
      </c>
      <c r="E72" s="350" t="s">
        <v>896</v>
      </c>
      <c r="F72" s="350" t="s">
        <v>892</v>
      </c>
      <c r="G72" s="350" t="s">
        <v>894</v>
      </c>
    </row>
    <row r="73" spans="1:7" ht="12.75">
      <c r="A73" s="312" t="s">
        <v>1462</v>
      </c>
      <c r="B73" s="312" t="s">
        <v>1462</v>
      </c>
      <c r="C73" s="313" t="s">
        <v>1462</v>
      </c>
      <c r="D73" s="312" t="s">
        <v>1462</v>
      </c>
      <c r="E73" s="319" t="s">
        <v>1462</v>
      </c>
      <c r="F73" s="312" t="s">
        <v>1462</v>
      </c>
      <c r="G73" s="312" t="s">
        <v>1462</v>
      </c>
    </row>
    <row r="74" spans="1:7" ht="114.75">
      <c r="A74" s="350" t="s">
        <v>890</v>
      </c>
      <c r="B74" s="352" t="s">
        <v>332</v>
      </c>
      <c r="C74" s="350" t="s">
        <v>332</v>
      </c>
      <c r="D74" s="350" t="s">
        <v>897</v>
      </c>
      <c r="E74" s="350" t="s">
        <v>897</v>
      </c>
      <c r="F74" s="350" t="s">
        <v>893</v>
      </c>
      <c r="G74" s="350" t="s">
        <v>895</v>
      </c>
    </row>
    <row r="75" spans="1:7" ht="12.75">
      <c r="A75" s="311" t="s">
        <v>1099</v>
      </c>
      <c r="B75" s="311" t="s">
        <v>1099</v>
      </c>
      <c r="C75" s="311" t="s">
        <v>1099</v>
      </c>
      <c r="D75" s="311" t="s">
        <v>1099</v>
      </c>
      <c r="E75" s="311" t="s">
        <v>1099</v>
      </c>
      <c r="F75" s="311" t="s">
        <v>1099</v>
      </c>
      <c r="G75" s="311" t="s">
        <v>1099</v>
      </c>
    </row>
    <row r="76" spans="1:7" ht="12.75">
      <c r="A76" s="312" t="s">
        <v>1461</v>
      </c>
      <c r="B76" s="312" t="s">
        <v>1461</v>
      </c>
      <c r="C76" s="312" t="s">
        <v>1461</v>
      </c>
      <c r="D76" s="312" t="s">
        <v>1461</v>
      </c>
      <c r="E76" s="319" t="s">
        <v>1461</v>
      </c>
      <c r="F76" s="312" t="s">
        <v>1461</v>
      </c>
      <c r="G76" s="312" t="s">
        <v>1461</v>
      </c>
    </row>
    <row r="77" spans="1:7" ht="63.75">
      <c r="A77" s="350" t="s">
        <v>889</v>
      </c>
      <c r="B77" s="352" t="s">
        <v>891</v>
      </c>
      <c r="C77" s="350" t="s">
        <v>864</v>
      </c>
      <c r="D77" s="350" t="s">
        <v>896</v>
      </c>
      <c r="E77" s="350" t="s">
        <v>896</v>
      </c>
      <c r="F77" s="350" t="s">
        <v>892</v>
      </c>
      <c r="G77" s="350" t="s">
        <v>894</v>
      </c>
    </row>
    <row r="78" spans="1:7" ht="12.75">
      <c r="A78" s="312" t="s">
        <v>1462</v>
      </c>
      <c r="B78" s="312" t="s">
        <v>1462</v>
      </c>
      <c r="C78" s="313" t="s">
        <v>1462</v>
      </c>
      <c r="D78" s="312" t="s">
        <v>1462</v>
      </c>
      <c r="E78" s="319" t="s">
        <v>1462</v>
      </c>
      <c r="F78" s="312" t="s">
        <v>1462</v>
      </c>
      <c r="G78" s="312" t="s">
        <v>1462</v>
      </c>
    </row>
    <row r="79" spans="1:7" ht="114.75">
      <c r="A79" s="350" t="s">
        <v>890</v>
      </c>
      <c r="B79" s="352"/>
      <c r="C79" s="350" t="s">
        <v>332</v>
      </c>
      <c r="D79" s="350" t="s">
        <v>897</v>
      </c>
      <c r="E79" s="350" t="s">
        <v>897</v>
      </c>
      <c r="F79" s="350" t="s">
        <v>893</v>
      </c>
      <c r="G79" s="350" t="s">
        <v>895</v>
      </c>
    </row>
    <row r="80" spans="1:7" ht="12.75">
      <c r="A80" s="314"/>
      <c r="B80" s="314"/>
      <c r="C80" s="314"/>
      <c r="D80" s="314"/>
      <c r="E80" s="316"/>
      <c r="F80" s="314"/>
      <c r="G80" s="314"/>
    </row>
    <row r="81" spans="1:7" ht="25.5">
      <c r="A81" s="351" t="s">
        <v>49</v>
      </c>
      <c r="B81" s="351" t="s">
        <v>49</v>
      </c>
      <c r="C81" s="351" t="s">
        <v>46</v>
      </c>
      <c r="D81" s="351" t="s">
        <v>47</v>
      </c>
      <c r="E81" s="351" t="s">
        <v>47</v>
      </c>
      <c r="F81" s="351" t="s">
        <v>47</v>
      </c>
      <c r="G81" s="351" t="s">
        <v>47</v>
      </c>
    </row>
    <row r="82" spans="1:7" ht="25.5">
      <c r="A82" s="351" t="s">
        <v>44</v>
      </c>
      <c r="B82" s="351" t="s">
        <v>44</v>
      </c>
      <c r="C82" s="351" t="s">
        <v>495</v>
      </c>
      <c r="D82" s="351" t="s">
        <v>45</v>
      </c>
      <c r="E82" s="351" t="s">
        <v>45</v>
      </c>
      <c r="F82" s="351" t="s">
        <v>45</v>
      </c>
      <c r="G82" s="351" t="s">
        <v>45</v>
      </c>
    </row>
    <row r="83" spans="1:7" ht="12.75">
      <c r="A83" s="314"/>
      <c r="B83" s="314"/>
      <c r="C83" s="314"/>
      <c r="D83" s="314"/>
      <c r="E83" s="316"/>
      <c r="F83" s="314"/>
      <c r="G83" s="314"/>
    </row>
    <row r="84" spans="1:7" ht="12.75">
      <c r="A84" s="315"/>
      <c r="B84" s="315"/>
      <c r="C84" s="315"/>
      <c r="D84" s="321"/>
      <c r="E84" s="321"/>
      <c r="F84" s="321"/>
      <c r="G84" s="321"/>
    </row>
    <row r="85" spans="3:5" ht="12.75">
      <c r="C85" s="316"/>
      <c r="D85" s="316"/>
      <c r="E85" s="316"/>
    </row>
    <row r="86" spans="1:5" ht="12.75">
      <c r="A86" s="304"/>
      <c r="B86" s="304"/>
      <c r="C86" s="305"/>
      <c r="D86" s="306"/>
      <c r="E86" s="305"/>
    </row>
    <row r="87" spans="1:5" ht="12.75">
      <c r="A87" s="308"/>
      <c r="B87" s="308"/>
      <c r="C87" s="308"/>
      <c r="D87" s="308"/>
      <c r="E87" s="308"/>
    </row>
    <row r="105" spans="1:5" ht="12.75">
      <c r="A105" s="304"/>
      <c r="B105" s="304"/>
      <c r="C105" s="305"/>
      <c r="D105" s="306"/>
      <c r="E105" s="305"/>
    </row>
    <row r="106" spans="1:5" ht="12.75">
      <c r="A106" s="308"/>
      <c r="B106" s="308"/>
      <c r="C106" s="308"/>
      <c r="D106" s="308"/>
      <c r="E106" s="308"/>
    </row>
    <row r="107" spans="4:5" ht="12.75">
      <c r="D107" s="317"/>
      <c r="E107" s="317"/>
    </row>
    <row r="108" spans="4:5" ht="12.75">
      <c r="D108" s="318"/>
      <c r="E108" s="318"/>
    </row>
    <row r="109" spans="4:5" ht="12.75">
      <c r="D109" s="319"/>
      <c r="E109" s="319"/>
    </row>
    <row r="110" spans="4:5" ht="12.75">
      <c r="D110" s="320"/>
      <c r="E110" s="320"/>
    </row>
    <row r="111" spans="4:5" ht="12.75">
      <c r="D111" s="319"/>
      <c r="E111" s="319"/>
    </row>
    <row r="112" spans="4:5" ht="12.75">
      <c r="D112" s="320"/>
      <c r="E112" s="320"/>
    </row>
    <row r="113" spans="4:5" ht="12.75">
      <c r="D113" s="318"/>
      <c r="E113" s="318"/>
    </row>
    <row r="114" spans="4:5" ht="12.75">
      <c r="D114" s="319"/>
      <c r="E114" s="319"/>
    </row>
    <row r="115" spans="4:5" ht="12.75">
      <c r="D115" s="320"/>
      <c r="E115" s="320"/>
    </row>
    <row r="116" spans="4:5" ht="12.75">
      <c r="D116" s="319"/>
      <c r="E116" s="319"/>
    </row>
    <row r="117" spans="4:5" ht="12.75">
      <c r="D117" s="320"/>
      <c r="E117" s="320"/>
    </row>
    <row r="118" spans="4:5" ht="12.75">
      <c r="D118" s="316"/>
      <c r="E118" s="316"/>
    </row>
    <row r="119" spans="4:5" ht="12.75">
      <c r="D119" s="316"/>
      <c r="E119" s="316"/>
    </row>
    <row r="120" spans="4:5" ht="12.75">
      <c r="D120" s="316"/>
      <c r="E120" s="316"/>
    </row>
    <row r="121" spans="4:5" ht="12.75">
      <c r="D121" s="316"/>
      <c r="E121" s="316"/>
    </row>
    <row r="123" spans="3:5" ht="12.75">
      <c r="C123" s="4"/>
      <c r="D123" s="4"/>
      <c r="E123" s="4"/>
    </row>
    <row r="124" spans="1:5" ht="12.75">
      <c r="A124" s="304"/>
      <c r="B124" s="304"/>
      <c r="C124" s="305"/>
      <c r="D124" s="306"/>
      <c r="E124" s="305"/>
    </row>
    <row r="125" spans="1:5" ht="12.75">
      <c r="A125" s="308"/>
      <c r="B125" s="308"/>
      <c r="C125" s="308"/>
      <c r="D125" s="308"/>
      <c r="E125" s="308"/>
    </row>
    <row r="126" spans="3:5" ht="12.75">
      <c r="C126" s="317"/>
      <c r="D126" s="317"/>
      <c r="E126" s="317"/>
    </row>
    <row r="127" spans="3:5" ht="12.75">
      <c r="C127" s="318"/>
      <c r="D127" s="318"/>
      <c r="E127" s="318"/>
    </row>
    <row r="128" spans="3:5" ht="12.75">
      <c r="C128" s="319"/>
      <c r="D128" s="319"/>
      <c r="E128" s="319"/>
    </row>
    <row r="129" spans="3:5" ht="12.75">
      <c r="C129" s="320"/>
      <c r="D129" s="320"/>
      <c r="E129" s="320"/>
    </row>
    <row r="130" spans="3:5" ht="12.75">
      <c r="C130" s="319"/>
      <c r="D130" s="319"/>
      <c r="E130" s="319"/>
    </row>
    <row r="131" spans="3:5" ht="12.75">
      <c r="C131" s="320"/>
      <c r="D131" s="320"/>
      <c r="E131" s="320"/>
    </row>
    <row r="132" spans="3:5" ht="12.75">
      <c r="C132" s="318"/>
      <c r="D132" s="318"/>
      <c r="E132" s="318"/>
    </row>
    <row r="133" spans="3:5" ht="12.75">
      <c r="C133" s="319"/>
      <c r="D133" s="319"/>
      <c r="E133" s="319"/>
    </row>
    <row r="134" spans="3:5" ht="12.75">
      <c r="C134" s="320"/>
      <c r="D134" s="320"/>
      <c r="E134" s="320"/>
    </row>
    <row r="135" spans="3:5" ht="12.75">
      <c r="C135" s="319"/>
      <c r="D135" s="319"/>
      <c r="E135" s="319"/>
    </row>
    <row r="136" spans="3:5" ht="12.75">
      <c r="C136" s="320"/>
      <c r="D136" s="320"/>
      <c r="E136" s="320"/>
    </row>
    <row r="137" spans="3:5" ht="12.75">
      <c r="C137" s="316"/>
      <c r="D137" s="316"/>
      <c r="E137" s="316"/>
    </row>
    <row r="138" spans="3:5" ht="12.75">
      <c r="C138" s="316"/>
      <c r="D138" s="316"/>
      <c r="E138" s="316"/>
    </row>
    <row r="139" spans="3:5" ht="12.75">
      <c r="C139" s="316"/>
      <c r="D139" s="316"/>
      <c r="E139" s="316"/>
    </row>
    <row r="140" spans="3:5" ht="12.75">
      <c r="C140" s="316"/>
      <c r="D140" s="316"/>
      <c r="E140" s="316"/>
    </row>
    <row r="141" spans="3:5" ht="12.75">
      <c r="C141" s="316"/>
      <c r="D141" s="316"/>
      <c r="E141" s="316"/>
    </row>
    <row r="142" spans="3:5" ht="12.75">
      <c r="C142" s="316"/>
      <c r="D142" s="316"/>
      <c r="E142" s="316"/>
    </row>
    <row r="143" spans="1:5" ht="12.75">
      <c r="A143" s="322"/>
      <c r="B143" s="322"/>
      <c r="C143" s="323"/>
      <c r="D143" s="324"/>
      <c r="E143" s="323"/>
    </row>
    <row r="144" spans="1:5" s="325" customFormat="1" ht="12.75">
      <c r="A144" s="308"/>
      <c r="B144" s="308"/>
      <c r="C144" s="308"/>
      <c r="D144" s="307"/>
      <c r="E144" s="307"/>
    </row>
    <row r="145" spans="1:5" ht="12.75">
      <c r="A145" s="316"/>
      <c r="B145" s="316"/>
      <c r="C145" s="147"/>
      <c r="D145" s="147"/>
      <c r="E145" s="147"/>
    </row>
    <row r="146" spans="1:5" ht="12.75">
      <c r="A146" s="316"/>
      <c r="B146" s="316"/>
      <c r="C146" s="318"/>
      <c r="D146" s="318"/>
      <c r="E146" s="318"/>
    </row>
    <row r="147" spans="1:5" ht="12.75">
      <c r="A147" s="316"/>
      <c r="B147" s="316"/>
      <c r="C147" s="319"/>
      <c r="D147" s="319"/>
      <c r="E147" s="319"/>
    </row>
    <row r="148" spans="1:5" ht="12.75">
      <c r="A148" s="316"/>
      <c r="B148" s="316"/>
      <c r="C148" s="326"/>
      <c r="D148" s="326"/>
      <c r="E148" s="320"/>
    </row>
    <row r="149" spans="1:5" ht="12.75">
      <c r="A149" s="316"/>
      <c r="B149" s="316"/>
      <c r="C149" s="319"/>
      <c r="D149" s="319"/>
      <c r="E149" s="330"/>
    </row>
    <row r="150" spans="1:5" ht="12.75">
      <c r="A150" s="316"/>
      <c r="B150" s="316"/>
      <c r="C150" s="326"/>
      <c r="D150" s="326"/>
      <c r="E150" s="320"/>
    </row>
    <row r="151" spans="1:5" ht="12.75">
      <c r="A151" s="316"/>
      <c r="B151" s="316"/>
      <c r="C151" s="318"/>
      <c r="D151" s="318"/>
      <c r="E151" s="318"/>
    </row>
    <row r="152" spans="1:5" ht="12.75">
      <c r="A152" s="316"/>
      <c r="B152" s="316"/>
      <c r="C152" s="319"/>
      <c r="D152" s="319"/>
      <c r="E152" s="319"/>
    </row>
    <row r="153" spans="1:5" ht="12.75">
      <c r="A153" s="316"/>
      <c r="B153" s="316"/>
      <c r="C153" s="326"/>
      <c r="D153" s="326"/>
      <c r="E153" s="320"/>
    </row>
    <row r="154" spans="1:5" ht="12.75">
      <c r="A154" s="316"/>
      <c r="B154" s="316"/>
      <c r="C154" s="319"/>
      <c r="D154" s="319"/>
      <c r="E154" s="330"/>
    </row>
    <row r="155" spans="1:5" ht="12.75">
      <c r="A155" s="316"/>
      <c r="B155" s="316"/>
      <c r="C155" s="326"/>
      <c r="D155" s="326"/>
      <c r="E155" s="320"/>
    </row>
    <row r="156" spans="1:5" ht="12.75">
      <c r="A156" s="316"/>
      <c r="B156" s="316"/>
      <c r="C156" s="316"/>
      <c r="D156" s="316"/>
      <c r="E156" s="316"/>
    </row>
    <row r="157" spans="1:5" ht="12.75">
      <c r="A157" s="316"/>
      <c r="B157" s="316"/>
      <c r="C157" s="316"/>
      <c r="D157" s="316"/>
      <c r="E157" s="316"/>
    </row>
    <row r="158" spans="1:5" ht="12.75">
      <c r="A158" s="316"/>
      <c r="B158" s="316"/>
      <c r="C158" s="316"/>
      <c r="D158" s="316"/>
      <c r="E158" s="316"/>
    </row>
    <row r="159" spans="1:5" ht="12.75">
      <c r="A159" s="316"/>
      <c r="B159" s="316"/>
      <c r="C159" s="316"/>
      <c r="D159" s="316"/>
      <c r="E159" s="316"/>
    </row>
    <row r="160" spans="1:5" ht="12.75">
      <c r="A160" s="316"/>
      <c r="B160" s="316"/>
      <c r="C160" s="316"/>
      <c r="D160" s="316"/>
      <c r="E160" s="316"/>
    </row>
    <row r="161" spans="1:5" ht="12.75">
      <c r="A161" s="316"/>
      <c r="B161" s="316"/>
      <c r="C161" s="316"/>
      <c r="D161" s="316"/>
      <c r="E161" s="316"/>
    </row>
    <row r="162" spans="1:5" ht="12.75">
      <c r="A162" s="322"/>
      <c r="B162" s="322"/>
      <c r="C162" s="323"/>
      <c r="D162" s="324"/>
      <c r="E162" s="323"/>
    </row>
    <row r="163" spans="1:5" s="325" customFormat="1" ht="12.75">
      <c r="A163" s="308"/>
      <c r="B163" s="308"/>
      <c r="C163" s="308"/>
      <c r="D163" s="308"/>
      <c r="E163" s="308"/>
    </row>
    <row r="164" spans="1:5" ht="12.75">
      <c r="A164" s="327"/>
      <c r="B164" s="327"/>
      <c r="C164" s="328"/>
      <c r="D164" s="328"/>
      <c r="E164" s="328"/>
    </row>
    <row r="165" spans="1:5" ht="12.75">
      <c r="A165" s="327"/>
      <c r="B165" s="327"/>
      <c r="C165" s="329"/>
      <c r="D165" s="329"/>
      <c r="E165" s="329"/>
    </row>
    <row r="166" spans="1:5" ht="12.75">
      <c r="A166" s="327"/>
      <c r="B166" s="327"/>
      <c r="C166" s="330"/>
      <c r="D166" s="330"/>
      <c r="E166" s="330"/>
    </row>
    <row r="167" spans="1:5" ht="12.75">
      <c r="A167" s="327"/>
      <c r="B167" s="327"/>
      <c r="C167" s="320"/>
      <c r="D167" s="320"/>
      <c r="E167" s="320"/>
    </row>
    <row r="168" spans="1:5" ht="12.75">
      <c r="A168" s="327"/>
      <c r="B168" s="327"/>
      <c r="C168" s="330"/>
      <c r="D168" s="330"/>
      <c r="E168" s="330"/>
    </row>
    <row r="169" spans="1:5" ht="12.75">
      <c r="A169" s="327"/>
      <c r="B169" s="327"/>
      <c r="C169" s="320"/>
      <c r="D169" s="320"/>
      <c r="E169" s="320"/>
    </row>
    <row r="170" spans="1:5" ht="12.75">
      <c r="A170" s="327"/>
      <c r="B170" s="327"/>
      <c r="C170" s="329"/>
      <c r="D170" s="329"/>
      <c r="E170" s="329"/>
    </row>
    <row r="171" spans="1:5" ht="12.75">
      <c r="A171" s="327"/>
      <c r="B171" s="327"/>
      <c r="C171" s="330"/>
      <c r="D171" s="330"/>
      <c r="E171" s="330"/>
    </row>
    <row r="172" spans="1:5" ht="12.75">
      <c r="A172" s="327"/>
      <c r="B172" s="327"/>
      <c r="C172" s="320"/>
      <c r="D172" s="320"/>
      <c r="E172" s="320"/>
    </row>
    <row r="173" spans="1:5" ht="12.75">
      <c r="A173" s="327"/>
      <c r="B173" s="327"/>
      <c r="C173" s="330"/>
      <c r="D173" s="330"/>
      <c r="E173" s="330"/>
    </row>
    <row r="174" spans="1:5" ht="12.75">
      <c r="A174" s="327"/>
      <c r="B174" s="327"/>
      <c r="C174" s="320"/>
      <c r="D174" s="320"/>
      <c r="E174" s="320"/>
    </row>
    <row r="175" spans="1:5" ht="12.75">
      <c r="A175" s="327"/>
      <c r="B175" s="327"/>
      <c r="C175" s="327"/>
      <c r="D175" s="327"/>
      <c r="E175" s="327"/>
    </row>
    <row r="176" spans="1:5" ht="12.75">
      <c r="A176" s="327"/>
      <c r="B176" s="327"/>
      <c r="C176" s="327"/>
      <c r="D176" s="327"/>
      <c r="E176" s="327"/>
    </row>
    <row r="177" spans="1:5" ht="12.75">
      <c r="A177" s="327"/>
      <c r="B177" s="327"/>
      <c r="C177" s="327"/>
      <c r="D177" s="327"/>
      <c r="E177" s="327"/>
    </row>
    <row r="178" spans="1:5" ht="12.75">
      <c r="A178" s="327"/>
      <c r="B178" s="327"/>
      <c r="C178" s="327"/>
      <c r="D178" s="327"/>
      <c r="E178" s="327"/>
    </row>
    <row r="179" spans="1:5" ht="12.75">
      <c r="A179" s="327"/>
      <c r="B179" s="327"/>
      <c r="C179" s="327"/>
      <c r="D179" s="327"/>
      <c r="E179" s="327"/>
    </row>
  </sheetData>
  <mergeCells count="4">
    <mergeCell ref="A43:B43"/>
    <mergeCell ref="E43:F43"/>
    <mergeCell ref="H43:I43"/>
    <mergeCell ref="A29:C36"/>
  </mergeCells>
  <printOptions gridLines="1" horizontalCentered="1" verticalCentered="1"/>
  <pageMargins left="0.5" right="0.5" top="0" bottom="0.5" header="0.5"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Planner</dc:title>
  <dc:subject>Nutrient Management </dc:subject>
  <dc:creator>Ted Alme/Jon Stika</dc:creator>
  <cp:keywords/>
  <dc:description/>
  <cp:lastModifiedBy>shirley.klein</cp:lastModifiedBy>
  <cp:lastPrinted>2003-12-22T22:11:10Z</cp:lastPrinted>
  <dcterms:created xsi:type="dcterms:W3CDTF">2001-10-31T22:09:47Z</dcterms:created>
  <dcterms:modified xsi:type="dcterms:W3CDTF">2005-08-17T15:39:37Z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719876505</vt:i4>
  </property>
  <property fmtid="{D5CDD505-2E9C-101B-9397-08002B2CF9AE}" pid="3" name="_EmailSubject">
    <vt:lpwstr>Nutrient Management Planner for Golden Valley County</vt:lpwstr>
  </property>
  <property fmtid="{D5CDD505-2E9C-101B-9397-08002B2CF9AE}" pid="4" name="_AuthorEmail">
    <vt:lpwstr>Jon.Stika@nd.usda.gov</vt:lpwstr>
  </property>
  <property fmtid="{D5CDD505-2E9C-101B-9397-08002B2CF9AE}" pid="5" name="_AuthorEmailDisplayName">
    <vt:lpwstr>Stika, Jon - Dickinson, ND</vt:lpwstr>
  </property>
  <property fmtid="{D5CDD505-2E9C-101B-9397-08002B2CF9AE}" pid="6" name="_PreviousAdHocReviewCycleID">
    <vt:i4>-230720120</vt:i4>
  </property>
  <property fmtid="{D5CDD505-2E9C-101B-9397-08002B2CF9AE}" pid="7" name="_ReviewingToolsShownOnce">
    <vt:lpwstr/>
  </property>
</Properties>
</file>