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920" yWindow="3825" windowWidth="12120" windowHeight="6780" tabRatio="630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2" sheetId="7" r:id="rId7"/>
  </sheets>
  <definedNames/>
  <calcPr fullCalcOnLoad="1"/>
</workbook>
</file>

<file path=xl/sharedStrings.xml><?xml version="1.0" encoding="utf-8"?>
<sst xmlns="http://schemas.openxmlformats.org/spreadsheetml/2006/main" count="695" uniqueCount="212">
  <si>
    <t>Stack Gas Emissions</t>
  </si>
  <si>
    <t>HW</t>
  </si>
  <si>
    <t>PM</t>
  </si>
  <si>
    <t>HCl</t>
  </si>
  <si>
    <t>Cl2</t>
  </si>
  <si>
    <t>SVM</t>
  </si>
  <si>
    <t>LVM</t>
  </si>
  <si>
    <t>DRE</t>
  </si>
  <si>
    <t>Ash</t>
  </si>
  <si>
    <t>O2</t>
  </si>
  <si>
    <t>gr/dscf</t>
  </si>
  <si>
    <t>ppmv</t>
  </si>
  <si>
    <t>µg/dscm</t>
  </si>
  <si>
    <t>Spike</t>
  </si>
  <si>
    <t>mg/dscm</t>
  </si>
  <si>
    <t>dscfm</t>
  </si>
  <si>
    <t>%</t>
  </si>
  <si>
    <t>°F</t>
  </si>
  <si>
    <t>EPA ID No.</t>
  </si>
  <si>
    <t>Facility Name</t>
  </si>
  <si>
    <t>Facility Location</t>
  </si>
  <si>
    <t>Unit ID Name/No.</t>
  </si>
  <si>
    <t>Other Sister Facilities</t>
  </si>
  <si>
    <t>Combustor Characteristics</t>
  </si>
  <si>
    <t>APCS Characteristics</t>
  </si>
  <si>
    <t>Stack Characteristics</t>
  </si>
  <si>
    <t>Permitting Status</t>
  </si>
  <si>
    <t xml:space="preserve">     Report Name/Date</t>
  </si>
  <si>
    <t xml:space="preserve">     Testing Dates</t>
  </si>
  <si>
    <t xml:space="preserve">     Content</t>
  </si>
  <si>
    <t xml:space="preserve">     Report Prepar</t>
  </si>
  <si>
    <t xml:space="preserve">     Testing Firm</t>
  </si>
  <si>
    <t>Units</t>
  </si>
  <si>
    <t>Cond Avg</t>
  </si>
  <si>
    <t xml:space="preserve">   Stack Gas Flowrate</t>
  </si>
  <si>
    <t xml:space="preserve">   Temperature</t>
  </si>
  <si>
    <t>y</t>
  </si>
  <si>
    <t>nd</t>
  </si>
  <si>
    <t>Chlorine</t>
  </si>
  <si>
    <t>Stack Gas Flowrate</t>
  </si>
  <si>
    <t>Estimated Firing Rate</t>
  </si>
  <si>
    <t>Process Information</t>
  </si>
  <si>
    <t>I-TEF</t>
  </si>
  <si>
    <t>Run 2</t>
  </si>
  <si>
    <t>Run 3</t>
  </si>
  <si>
    <t>Wght Fact</t>
  </si>
  <si>
    <t>Total</t>
  </si>
  <si>
    <t xml:space="preserve"> TEQ</t>
  </si>
  <si>
    <t>TEQ</t>
  </si>
  <si>
    <t>Detected in sample volume (ng)</t>
  </si>
  <si>
    <t>2,3,7,8-TCDD</t>
  </si>
  <si>
    <t>Total TCDD</t>
  </si>
  <si>
    <t>1,2,3,7,8-PCDD</t>
  </si>
  <si>
    <t>Total PCDD</t>
  </si>
  <si>
    <t>1,2,3,4,7,8-HxCDD</t>
  </si>
  <si>
    <t>1,2,3,6,7,8-HxCDD</t>
  </si>
  <si>
    <t>1,2,3,7,8,9-HxCDD</t>
  </si>
  <si>
    <t>Total HxCDD</t>
  </si>
  <si>
    <t>1,2,3,4,6,7,8-HpCDD</t>
  </si>
  <si>
    <t>Total HpCDD</t>
  </si>
  <si>
    <t>OCDD</t>
  </si>
  <si>
    <t>2,3,7,8-TCDF</t>
  </si>
  <si>
    <t>Total TCDF</t>
  </si>
  <si>
    <t>1,2,3,7,8-PCDF</t>
  </si>
  <si>
    <t>2,3,4,7,8-PCDF</t>
  </si>
  <si>
    <t>Total PCDF</t>
  </si>
  <si>
    <t>1,2,3,4,7,8-HxCDF</t>
  </si>
  <si>
    <t>1,2,3,6,7,8-HxCDF</t>
  </si>
  <si>
    <t>2,3,4,6,7,8-HxCDF</t>
  </si>
  <si>
    <t>1,2,3,7,8,9-HxCDF</t>
  </si>
  <si>
    <t>Total HxCDF</t>
  </si>
  <si>
    <t>1,2,3,4,6,7,8-HpCDF</t>
  </si>
  <si>
    <t>1,2,3,4,7,8,9-HpCDF</t>
  </si>
  <si>
    <t>Total HpCDF</t>
  </si>
  <si>
    <t>OCDF</t>
  </si>
  <si>
    <t>Gas sample volume (dscf)</t>
  </si>
  <si>
    <t>O2 (%)</t>
  </si>
  <si>
    <t>PCDD/PCDF (ng in sample)</t>
  </si>
  <si>
    <t>PCDD/PCDF (ng/dscm @ 7% O2)</t>
  </si>
  <si>
    <t>Liq waste</t>
  </si>
  <si>
    <t xml:space="preserve">Facility Name and ID: </t>
  </si>
  <si>
    <t xml:space="preserve">Condition/Test Date: </t>
  </si>
  <si>
    <t>Condition ID:</t>
  </si>
  <si>
    <t>n</t>
  </si>
  <si>
    <t>Run 1</t>
  </si>
  <si>
    <t>POHC DRE</t>
  </si>
  <si>
    <t>lb/hr</t>
  </si>
  <si>
    <t>Eastman Chemicals Co. - Arkansas Eastman Div</t>
  </si>
  <si>
    <t>Batesville</t>
  </si>
  <si>
    <t>AR</t>
  </si>
  <si>
    <t>ARD089234884</t>
  </si>
  <si>
    <t>Mixed and unmixed solvents</t>
  </si>
  <si>
    <t>Boiler Trial Burn Report - Eastman Chemicals Company, Arkansas Eastman Div.; dated October 6, 1999</t>
  </si>
  <si>
    <t>April 19-24, 1999</t>
  </si>
  <si>
    <t>Eastman Chemical Co</t>
  </si>
  <si>
    <t>METCO</t>
  </si>
  <si>
    <t>Total HW Feedrate</t>
  </si>
  <si>
    <t>kW</t>
  </si>
  <si>
    <t>um</t>
  </si>
  <si>
    <t>Coal</t>
  </si>
  <si>
    <t>ESP</t>
  </si>
  <si>
    <t>Hazardous Wastes</t>
  </si>
  <si>
    <t>Liq</t>
  </si>
  <si>
    <t>Haz Waste Description</t>
  </si>
  <si>
    <t xml:space="preserve">Trial burn; min combustion temperature </t>
  </si>
  <si>
    <t xml:space="preserve">CO/HC, DRE </t>
  </si>
  <si>
    <t>PCDD/PCDF</t>
  </si>
  <si>
    <t>1/2 ND</t>
  </si>
  <si>
    <t>Total Cond Avg</t>
  </si>
  <si>
    <t>TEQ Cond Avg</t>
  </si>
  <si>
    <t>HC (MHRA)</t>
  </si>
  <si>
    <t>Chlorobenzene</t>
  </si>
  <si>
    <t>Boiler No. 3</t>
  </si>
  <si>
    <t>Supplemental Fuel</t>
  </si>
  <si>
    <t>Liq POHC</t>
  </si>
  <si>
    <t>MMBtu/hr</t>
  </si>
  <si>
    <t>Trial burn, risk burn; max conditions for feedrates and other parameters</t>
  </si>
  <si>
    <t>PM, CO/HC, HCl/Cl2, metals, PCDD/PCDF, SVOCs/PAHs, DRE; POHCs, ash, metals, Cl feed analysis</t>
  </si>
  <si>
    <t>April 1999, trial burn risk burn under worst case conditions</t>
  </si>
  <si>
    <t>Capacity (MMBtu/hr)</t>
  </si>
  <si>
    <t>Boiler No. 2</t>
  </si>
  <si>
    <t>Feedstreams</t>
  </si>
  <si>
    <t>Particle Size Distribution</t>
  </si>
  <si>
    <t xml:space="preserve">  Median Particle Size</t>
  </si>
  <si>
    <t>Feedrate MTEC Calculations</t>
  </si>
  <si>
    <t>Assume that CO level has been corrected to 7% (although test report is not clear either way)</t>
  </si>
  <si>
    <t>Assume that HC level has been corrected to 7% (although test report is not clear either way)</t>
  </si>
  <si>
    <t>Same with condition 2</t>
  </si>
  <si>
    <t>Phase II ID No.</t>
  </si>
  <si>
    <t>7% O2</t>
  </si>
  <si>
    <t>Comb Chamber Temperature</t>
  </si>
  <si>
    <t>ESP Inlet Temperature</t>
  </si>
  <si>
    <t>ESP Power</t>
  </si>
  <si>
    <t>Antimony</t>
  </si>
  <si>
    <t>g/hr</t>
  </si>
  <si>
    <t>Arsenic</t>
  </si>
  <si>
    <t>Tier III</t>
  </si>
  <si>
    <t>Barium</t>
  </si>
  <si>
    <t>Beryllium</t>
  </si>
  <si>
    <t>Cadmium</t>
  </si>
  <si>
    <t>Chromium</t>
  </si>
  <si>
    <t>Lead</t>
  </si>
  <si>
    <t>Mercury</t>
  </si>
  <si>
    <t>Silver</t>
  </si>
  <si>
    <t>Thallium</t>
  </si>
  <si>
    <t>Source Description</t>
  </si>
  <si>
    <t xml:space="preserve">     Cond Description</t>
  </si>
  <si>
    <t>Btu/lb</t>
  </si>
  <si>
    <t>Heating Value</t>
  </si>
  <si>
    <t>assume has been corrected to 7% oxygen, although not clear in test report</t>
  </si>
  <si>
    <t>Soot Blowing</t>
  </si>
  <si>
    <t xml:space="preserve">    City</t>
  </si>
  <si>
    <t xml:space="preserve">    State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</si>
  <si>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</si>
  <si>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</si>
  <si>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</si>
  <si>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</si>
  <si>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Nickel</t>
  </si>
  <si>
    <t>Comments</t>
  </si>
  <si>
    <t>DRE POHC</t>
  </si>
  <si>
    <t>Metals</t>
  </si>
  <si>
    <t>POHC Feedrate</t>
  </si>
  <si>
    <t>Emission Rate</t>
  </si>
  <si>
    <t xml:space="preserve">   O2</t>
  </si>
  <si>
    <t xml:space="preserve">   Moisture</t>
  </si>
  <si>
    <t>in microns</t>
  </si>
  <si>
    <t xml:space="preserve"> &lt; 2 </t>
  </si>
  <si>
    <t xml:space="preserve"> &lt; 10 </t>
  </si>
  <si>
    <t>Total Chlorine</t>
  </si>
  <si>
    <t>CO (MHRA)</t>
  </si>
  <si>
    <t>Sampling Train</t>
  </si>
  <si>
    <t>BIF Feedrate Limits</t>
  </si>
  <si>
    <t>1009C1</t>
  </si>
  <si>
    <t>1009C2</t>
  </si>
  <si>
    <t>*</t>
  </si>
  <si>
    <t>Thermal Feedrate</t>
  </si>
  <si>
    <t>Feedstream Description</t>
  </si>
  <si>
    <t>Feed Rate</t>
  </si>
  <si>
    <t>HWC Burn Status (Date if Terminated)</t>
  </si>
  <si>
    <t>BIF Interim Status Tier III for 4 metals (As, Be, Cr, Pb)/HCl/Cl2 and Tier 1A for remaining metals (failed to meet 99.99% DRE, but will retest by end of 1999)</t>
  </si>
  <si>
    <t xml:space="preserve">Watertube boiler (stoker), stoker setup, </t>
  </si>
  <si>
    <t>Coal-fired boiler</t>
  </si>
  <si>
    <t>Cond Description</t>
  </si>
  <si>
    <t>Feedstream Number</t>
  </si>
  <si>
    <t>Feed Class</t>
  </si>
  <si>
    <t>R1</t>
  </si>
  <si>
    <t>R2</t>
  </si>
  <si>
    <t>R3</t>
  </si>
  <si>
    <t>Liq HW</t>
  </si>
  <si>
    <t>E1</t>
  </si>
  <si>
    <t>E2</t>
  </si>
  <si>
    <t>APCS Detailed Acronym</t>
  </si>
  <si>
    <t>APCS General Class</t>
  </si>
  <si>
    <t>Combustor Class</t>
  </si>
  <si>
    <t>Number of Sister Facilities</t>
  </si>
  <si>
    <t>Combustor Type</t>
  </si>
  <si>
    <t>Stoker</t>
  </si>
  <si>
    <t>source</t>
  </si>
  <si>
    <t>cond</t>
  </si>
  <si>
    <t>emiss</t>
  </si>
  <si>
    <t>feed</t>
  </si>
  <si>
    <t>process</t>
  </si>
  <si>
    <t xml:space="preserve">     Cond Dates</t>
  </si>
  <si>
    <t>F1</t>
  </si>
  <si>
    <t>F2</t>
  </si>
  <si>
    <t>F3</t>
  </si>
  <si>
    <t>F4</t>
  </si>
  <si>
    <t>Feed Class 2</t>
  </si>
  <si>
    <t>Full ND</t>
  </si>
  <si>
    <t>high nd?</t>
  </si>
  <si>
    <t>df c2</t>
  </si>
  <si>
    <t>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</si>
</sst>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"/>
    <numFmt numFmtId="168" formatCode="0.000000"/>
    <numFmt numFmtId="169" formatCode="0.00000"/>
    <numFmt numFmtId="170" formatCode="0.00000000"/>
    <numFmt numFmtId="171" formatCode="#,##0.0"/>
    <numFmt numFmtId="172" formatCode="0.000E+00"/>
    <numFmt numFmtId="173" formatCode="0.000000000"/>
    <numFmt numFmtId="174" formatCode="0.0000000000"/>
    <numFmt numFmtId="175" formatCode="0.0E+00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1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1" fontId="5" fillId="0" borderId="0" xfId="0" applyNumberFormat="1" applyFont="1" applyBorder="1" applyAlignment="1">
      <alignment horizontal="left"/>
    </xf>
    <xf numFmtId="166" fontId="5" fillId="0" borderId="0" xfId="0" applyNumberFormat="1" applyFont="1" applyBorder="1" applyAlignment="1">
      <alignment horizontal="center"/>
    </xf>
    <xf numFmtId="1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Continuous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1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0" fontId="5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166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0" fontId="5" fillId="0" borderId="0" xfId="0" applyFont="1" applyAlignment="1">
      <alignment vertical="top" wrapText="1"/>
    </xf>
    <xf numFmtId="2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15" fontId="5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169" fontId="5" fillId="0" borderId="0" xfId="0" applyNumberFormat="1" applyFont="1" applyAlignment="1">
      <alignment/>
    </xf>
    <xf numFmtId="17" fontId="5" fillId="0" borderId="0" xfId="0" applyNumberFormat="1" applyFont="1" applyAlignment="1">
      <alignment horizontal="left" vertical="top" wrapText="1"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 topLeftCell="A1">
      <selection activeCell="N5" sqref="N5"/>
    </sheetView>
  </sheetViews>
  <sheetFormatPr defaultColWidth="9.140625" defaultRowHeight="12.75"/>
  <sheetData>
    <row r="1" ht="12.75">
      <c r="A1" t="s">
        <v>197</v>
      </c>
    </row>
    <row r="2" ht="12.75">
      <c r="A2" t="s">
        <v>198</v>
      </c>
    </row>
    <row r="3" ht="12.75">
      <c r="A3" t="s">
        <v>199</v>
      </c>
    </row>
    <row r="4" ht="12.75">
      <c r="A4" t="s">
        <v>200</v>
      </c>
    </row>
    <row r="5" ht="12.75">
      <c r="A5" t="s">
        <v>201</v>
      </c>
    </row>
    <row r="6" ht="12.75">
      <c r="A6" t="s">
        <v>210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C26" sqref="C26"/>
    </sheetView>
  </sheetViews>
  <sheetFormatPr defaultColWidth="9.140625" defaultRowHeight="12.75"/>
  <cols>
    <col min="1" max="1" width="9.140625" style="14" hidden="1" customWidth="1"/>
    <col min="2" max="2" width="23.7109375" style="14" customWidth="1"/>
    <col min="3" max="3" width="52.140625" style="14" customWidth="1"/>
    <col min="4" max="4" width="9.00390625" style="14" customWidth="1"/>
    <col min="5" max="16384" width="11.421875" style="14" customWidth="1"/>
  </cols>
  <sheetData>
    <row r="1" ht="12.75">
      <c r="B1" s="13" t="s">
        <v>145</v>
      </c>
    </row>
    <row r="3" spans="2:3" ht="12.75">
      <c r="B3" s="14" t="s">
        <v>128</v>
      </c>
      <c r="C3" s="29">
        <v>1009</v>
      </c>
    </row>
    <row r="4" spans="2:3" ht="12.75">
      <c r="B4" s="14" t="s">
        <v>18</v>
      </c>
      <c r="C4" s="14" t="s">
        <v>90</v>
      </c>
    </row>
    <row r="5" spans="2:3" ht="12.75">
      <c r="B5" s="14" t="s">
        <v>19</v>
      </c>
      <c r="C5" s="14" t="s">
        <v>87</v>
      </c>
    </row>
    <row r="6" ht="12.75">
      <c r="B6" s="14" t="s">
        <v>20</v>
      </c>
    </row>
    <row r="7" spans="2:3" ht="12.75">
      <c r="B7" s="14" t="s">
        <v>151</v>
      </c>
      <c r="C7" s="14" t="s">
        <v>88</v>
      </c>
    </row>
    <row r="8" spans="2:3" ht="12.75">
      <c r="B8" s="14" t="s">
        <v>152</v>
      </c>
      <c r="C8" s="14" t="s">
        <v>89</v>
      </c>
    </row>
    <row r="9" spans="2:3" ht="12.75">
      <c r="B9" s="14" t="s">
        <v>21</v>
      </c>
      <c r="C9" s="14" t="s">
        <v>112</v>
      </c>
    </row>
    <row r="10" spans="2:3" ht="12.75">
      <c r="B10" s="14" t="s">
        <v>22</v>
      </c>
      <c r="C10" s="14" t="s">
        <v>120</v>
      </c>
    </row>
    <row r="11" spans="2:3" ht="12.75">
      <c r="B11" s="14" t="s">
        <v>194</v>
      </c>
      <c r="C11" s="29">
        <v>1</v>
      </c>
    </row>
    <row r="12" spans="2:3" ht="12.75">
      <c r="B12" s="14" t="s">
        <v>193</v>
      </c>
      <c r="C12" s="14" t="s">
        <v>181</v>
      </c>
    </row>
    <row r="13" spans="2:3" ht="12.75">
      <c r="B13" s="14" t="s">
        <v>195</v>
      </c>
      <c r="C13" s="14" t="s">
        <v>196</v>
      </c>
    </row>
    <row r="14" spans="2:3" ht="12.75">
      <c r="B14" s="14" t="s">
        <v>23</v>
      </c>
      <c r="C14" s="14" t="s">
        <v>180</v>
      </c>
    </row>
    <row r="15" spans="2:3" ht="12.75">
      <c r="B15" s="14" t="s">
        <v>119</v>
      </c>
      <c r="C15" s="29">
        <v>100</v>
      </c>
    </row>
    <row r="16" spans="2:3" ht="12.75">
      <c r="B16" s="14" t="s">
        <v>150</v>
      </c>
      <c r="C16" s="29"/>
    </row>
    <row r="17" spans="2:3" ht="12.75">
      <c r="B17" s="14" t="s">
        <v>191</v>
      </c>
      <c r="C17" s="14" t="s">
        <v>100</v>
      </c>
    </row>
    <row r="18" spans="2:3" ht="12.75">
      <c r="B18" s="14" t="s">
        <v>192</v>
      </c>
      <c r="C18" s="14" t="s">
        <v>100</v>
      </c>
    </row>
    <row r="19" ht="12.75">
      <c r="B19" s="14" t="s">
        <v>24</v>
      </c>
    </row>
    <row r="20" spans="2:3" ht="12.75">
      <c r="B20" s="14" t="s">
        <v>101</v>
      </c>
      <c r="C20" s="14" t="s">
        <v>102</v>
      </c>
    </row>
    <row r="21" spans="2:3" ht="12.75">
      <c r="B21" s="14" t="s">
        <v>103</v>
      </c>
      <c r="C21" s="14" t="s">
        <v>91</v>
      </c>
    </row>
    <row r="22" spans="2:3" ht="12.75">
      <c r="B22" s="14" t="s">
        <v>113</v>
      </c>
      <c r="C22" s="14" t="s">
        <v>99</v>
      </c>
    </row>
    <row r="23" ht="12.75" customHeight="1"/>
    <row r="24" ht="12.75">
      <c r="B24" s="14" t="s">
        <v>25</v>
      </c>
    </row>
    <row r="25" spans="2:3" ht="12.75">
      <c r="B25" s="14" t="s">
        <v>153</v>
      </c>
      <c r="C25" s="30"/>
    </row>
    <row r="26" spans="2:3" ht="12.75">
      <c r="B26" s="14" t="s">
        <v>154</v>
      </c>
      <c r="C26" s="29"/>
    </row>
    <row r="27" ht="12.75">
      <c r="B27" s="14" t="s">
        <v>155</v>
      </c>
    </row>
    <row r="28" spans="2:3" ht="12.75">
      <c r="B28" s="14" t="s">
        <v>156</v>
      </c>
      <c r="C28" s="29">
        <v>480</v>
      </c>
    </row>
    <row r="29" ht="12.75" customHeight="1"/>
    <row r="30" spans="2:3" s="31" customFormat="1" ht="38.25">
      <c r="B30" s="31" t="s">
        <v>26</v>
      </c>
      <c r="C30" s="31" t="s">
        <v>179</v>
      </c>
    </row>
    <row r="31" ht="12.75">
      <c r="B31" s="14" t="s">
        <v>178</v>
      </c>
    </row>
    <row r="33" s="31" customFormat="1" ht="12.75"/>
    <row r="44" s="31" customFormat="1" ht="12.75"/>
    <row r="45" s="31" customFormat="1" ht="12.75"/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21"/>
  <sheetViews>
    <sheetView workbookViewId="0" topLeftCell="B4">
      <selection activeCell="C26" sqref="C26"/>
    </sheetView>
  </sheetViews>
  <sheetFormatPr defaultColWidth="9.140625" defaultRowHeight="12.75"/>
  <cols>
    <col min="1" max="1" width="9.140625" style="0" hidden="1" customWidth="1"/>
    <col min="2" max="2" width="21.140625" style="0" customWidth="1"/>
    <col min="3" max="3" width="65.140625" style="0" customWidth="1"/>
  </cols>
  <sheetData>
    <row r="1" ht="12.75">
      <c r="B1" s="36" t="s">
        <v>182</v>
      </c>
    </row>
    <row r="3" spans="2:3" s="37" customFormat="1" ht="12.75">
      <c r="B3" s="39" t="s">
        <v>172</v>
      </c>
      <c r="C3" s="31"/>
    </row>
    <row r="4" spans="2:3" s="37" customFormat="1" ht="12.75">
      <c r="B4" s="39"/>
      <c r="C4" s="31"/>
    </row>
    <row r="5" spans="2:3" s="37" customFormat="1" ht="25.5">
      <c r="B5" s="31" t="s">
        <v>27</v>
      </c>
      <c r="C5" s="31" t="s">
        <v>92</v>
      </c>
    </row>
    <row r="6" spans="2:3" s="37" customFormat="1" ht="12.75">
      <c r="B6" s="31" t="s">
        <v>30</v>
      </c>
      <c r="C6" s="31" t="s">
        <v>94</v>
      </c>
    </row>
    <row r="7" spans="2:3" s="37" customFormat="1" ht="12.75">
      <c r="B7" s="31" t="s">
        <v>31</v>
      </c>
      <c r="C7" s="31" t="s">
        <v>95</v>
      </c>
    </row>
    <row r="8" spans="2:3" s="37" customFormat="1" ht="12.75">
      <c r="B8" s="31" t="s">
        <v>28</v>
      </c>
      <c r="C8" s="38" t="s">
        <v>93</v>
      </c>
    </row>
    <row r="9" spans="2:3" s="37" customFormat="1" ht="12.75">
      <c r="B9" s="31" t="s">
        <v>202</v>
      </c>
      <c r="C9" s="41">
        <v>34789</v>
      </c>
    </row>
    <row r="10" spans="2:3" s="37" customFormat="1" ht="12.75">
      <c r="B10" s="31" t="s">
        <v>146</v>
      </c>
      <c r="C10" s="31" t="s">
        <v>104</v>
      </c>
    </row>
    <row r="11" spans="2:3" s="37" customFormat="1" ht="12.75">
      <c r="B11" s="31" t="s">
        <v>29</v>
      </c>
      <c r="C11" s="31" t="s">
        <v>105</v>
      </c>
    </row>
    <row r="12" spans="2:3" s="37" customFormat="1" ht="12.75">
      <c r="B12" s="31"/>
      <c r="C12" s="31"/>
    </row>
    <row r="13" spans="2:3" s="37" customFormat="1" ht="12.75">
      <c r="B13" s="39" t="s">
        <v>173</v>
      </c>
      <c r="C13" s="31"/>
    </row>
    <row r="14" spans="2:3" s="37" customFormat="1" ht="12.75">
      <c r="B14" s="31"/>
      <c r="C14" s="31"/>
    </row>
    <row r="15" spans="2:3" s="37" customFormat="1" ht="25.5">
      <c r="B15" s="31" t="s">
        <v>27</v>
      </c>
      <c r="C15" s="31" t="s">
        <v>92</v>
      </c>
    </row>
    <row r="16" spans="2:3" s="37" customFormat="1" ht="12.75">
      <c r="B16" s="31" t="s">
        <v>30</v>
      </c>
      <c r="C16" s="31" t="s">
        <v>94</v>
      </c>
    </row>
    <row r="17" spans="2:3" s="37" customFormat="1" ht="12.75">
      <c r="B17" s="31" t="s">
        <v>31</v>
      </c>
      <c r="C17" s="31" t="s">
        <v>95</v>
      </c>
    </row>
    <row r="18" spans="2:3" s="37" customFormat="1" ht="12.75">
      <c r="B18" s="31" t="s">
        <v>28</v>
      </c>
      <c r="C18" s="38" t="s">
        <v>93</v>
      </c>
    </row>
    <row r="19" spans="2:3" s="37" customFormat="1" ht="12.75">
      <c r="B19" s="31" t="s">
        <v>202</v>
      </c>
      <c r="C19" s="41">
        <v>34789</v>
      </c>
    </row>
    <row r="20" spans="2:3" s="37" customFormat="1" ht="12.75">
      <c r="B20" s="31" t="s">
        <v>146</v>
      </c>
      <c r="C20" s="31" t="s">
        <v>116</v>
      </c>
    </row>
    <row r="21" spans="2:3" s="37" customFormat="1" ht="25.5">
      <c r="B21" s="31" t="s">
        <v>29</v>
      </c>
      <c r="C21" s="31" t="s">
        <v>117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81"/>
  <sheetViews>
    <sheetView workbookViewId="0" topLeftCell="B52">
      <selection activeCell="C26" sqref="C26"/>
    </sheetView>
  </sheetViews>
  <sheetFormatPr defaultColWidth="9.140625" defaultRowHeight="12.75"/>
  <cols>
    <col min="1" max="1" width="1.7109375" style="14" hidden="1" customWidth="1"/>
    <col min="2" max="2" width="22.140625" style="14" customWidth="1"/>
    <col min="3" max="3" width="9.57421875" style="14" customWidth="1"/>
    <col min="4" max="4" width="9.140625" style="14" customWidth="1"/>
    <col min="5" max="5" width="4.140625" style="14" customWidth="1"/>
    <col min="6" max="6" width="5.28125" style="14" customWidth="1"/>
    <col min="7" max="7" width="8.140625" style="14" customWidth="1"/>
    <col min="8" max="8" width="3.8515625" style="14" customWidth="1"/>
    <col min="9" max="9" width="8.8515625" style="14" customWidth="1"/>
    <col min="10" max="10" width="3.421875" style="14" customWidth="1"/>
    <col min="11" max="11" width="8.140625" style="14" customWidth="1"/>
    <col min="12" max="12" width="4.140625" style="14" customWidth="1"/>
    <col min="13" max="13" width="8.421875" style="14" customWidth="1"/>
    <col min="14" max="14" width="9.421875" style="14" customWidth="1"/>
    <col min="15" max="15" width="8.00390625" style="14" customWidth="1"/>
    <col min="16" max="16" width="2.8515625" style="14" customWidth="1"/>
    <col min="17" max="17" width="9.140625" style="14" customWidth="1"/>
    <col min="18" max="18" width="2.7109375" style="14" customWidth="1"/>
    <col min="19" max="19" width="7.8515625" style="14" customWidth="1"/>
    <col min="20" max="20" width="8.00390625" style="14" customWidth="1"/>
    <col min="21" max="16384" width="11.421875" style="14" customWidth="1"/>
  </cols>
  <sheetData>
    <row r="1" spans="2:3" ht="12.75">
      <c r="B1" s="13" t="s">
        <v>0</v>
      </c>
      <c r="C1" s="13"/>
    </row>
    <row r="2" ht="12" customHeight="1"/>
    <row r="3" spans="3:19" ht="12.75">
      <c r="C3" s="14" t="s">
        <v>158</v>
      </c>
      <c r="D3" s="14" t="s">
        <v>32</v>
      </c>
      <c r="E3" s="14" t="s">
        <v>129</v>
      </c>
      <c r="G3" s="15"/>
      <c r="H3" s="15"/>
      <c r="I3" s="15"/>
      <c r="J3" s="15"/>
      <c r="K3" s="15"/>
      <c r="L3" s="25"/>
      <c r="N3" s="15"/>
      <c r="O3" s="15"/>
      <c r="P3" s="15"/>
      <c r="Q3" s="15"/>
      <c r="R3" s="15"/>
      <c r="S3" s="15"/>
    </row>
    <row r="4" spans="7:19" ht="12.75">
      <c r="G4" s="15"/>
      <c r="H4" s="15"/>
      <c r="I4" s="15"/>
      <c r="J4" s="15"/>
      <c r="K4" s="15"/>
      <c r="L4" s="15"/>
      <c r="O4" s="15"/>
      <c r="P4" s="15"/>
      <c r="Q4" s="15"/>
      <c r="R4" s="15"/>
      <c r="S4" s="15"/>
    </row>
    <row r="5" spans="1:19" ht="12.75">
      <c r="A5" s="14">
        <v>1</v>
      </c>
      <c r="B5" s="13" t="s">
        <v>172</v>
      </c>
      <c r="C5" s="13"/>
      <c r="G5" s="15" t="s">
        <v>185</v>
      </c>
      <c r="H5" s="15"/>
      <c r="I5" s="15" t="s">
        <v>186</v>
      </c>
      <c r="J5" s="15"/>
      <c r="K5" s="15" t="s">
        <v>187</v>
      </c>
      <c r="L5" s="15"/>
      <c r="M5" s="15" t="s">
        <v>33</v>
      </c>
      <c r="O5" s="15"/>
      <c r="P5" s="15"/>
      <c r="Q5" s="15"/>
      <c r="R5" s="15"/>
      <c r="S5" s="15"/>
    </row>
    <row r="6" spans="2:12" ht="12.75">
      <c r="B6" s="13"/>
      <c r="C6" s="13"/>
      <c r="G6" s="15"/>
      <c r="H6" s="15"/>
      <c r="I6" s="15"/>
      <c r="J6" s="15"/>
      <c r="K6" s="15"/>
      <c r="L6" s="15"/>
    </row>
    <row r="7" spans="2:4" ht="12" customHeight="1">
      <c r="B7" s="14" t="s">
        <v>170</v>
      </c>
      <c r="C7" s="14" t="s">
        <v>159</v>
      </c>
      <c r="D7" s="14" t="s">
        <v>189</v>
      </c>
    </row>
    <row r="8" spans="2:13" ht="12.75">
      <c r="B8" s="14" t="s">
        <v>34</v>
      </c>
      <c r="D8" s="14" t="s">
        <v>15</v>
      </c>
      <c r="G8" s="22">
        <v>21961</v>
      </c>
      <c r="H8" s="22"/>
      <c r="I8" s="22">
        <v>19962</v>
      </c>
      <c r="J8" s="22"/>
      <c r="K8" s="22">
        <v>20171</v>
      </c>
      <c r="M8" s="22">
        <f>AVERAGE(K8,I8,G8)</f>
        <v>20698</v>
      </c>
    </row>
    <row r="9" spans="2:13" ht="12.75">
      <c r="B9" s="14" t="s">
        <v>163</v>
      </c>
      <c r="D9" s="14" t="s">
        <v>16</v>
      </c>
      <c r="G9" s="14">
        <v>13.6</v>
      </c>
      <c r="I9" s="14">
        <v>13.4</v>
      </c>
      <c r="K9" s="14">
        <v>13.4</v>
      </c>
      <c r="M9" s="19">
        <f>AVERAGE(K9,I9,G9)</f>
        <v>13.466666666666667</v>
      </c>
    </row>
    <row r="10" spans="2:13" ht="12.75">
      <c r="B10" s="14" t="s">
        <v>164</v>
      </c>
      <c r="D10" s="14" t="s">
        <v>16</v>
      </c>
      <c r="G10" s="14">
        <v>5.99</v>
      </c>
      <c r="I10" s="14">
        <v>7.12</v>
      </c>
      <c r="K10" s="14">
        <v>6.92</v>
      </c>
      <c r="M10" s="19">
        <f>AVERAGE(K10,I10,G10)</f>
        <v>6.676666666666667</v>
      </c>
    </row>
    <row r="11" spans="2:13" ht="12.75">
      <c r="B11" s="14" t="s">
        <v>35</v>
      </c>
      <c r="D11" s="14" t="s">
        <v>17</v>
      </c>
      <c r="G11" s="14">
        <v>384</v>
      </c>
      <c r="I11" s="14">
        <v>377</v>
      </c>
      <c r="K11" s="14">
        <v>380</v>
      </c>
      <c r="M11" s="19">
        <f>AVERAGE(K11,I11,G11)</f>
        <v>380.3333333333333</v>
      </c>
    </row>
    <row r="12" ht="12" customHeight="1"/>
    <row r="13" spans="2:13" ht="12.75">
      <c r="B13" s="14" t="s">
        <v>169</v>
      </c>
      <c r="C13" s="14" t="s">
        <v>189</v>
      </c>
      <c r="D13" s="14" t="s">
        <v>11</v>
      </c>
      <c r="E13" s="14" t="s">
        <v>36</v>
      </c>
      <c r="M13" s="19">
        <v>649</v>
      </c>
    </row>
    <row r="14" spans="3:13" ht="12.75">
      <c r="C14" s="14" t="s">
        <v>125</v>
      </c>
      <c r="M14" s="19"/>
    </row>
    <row r="15" spans="3:13" ht="12.75">
      <c r="C15" s="14" t="s">
        <v>127</v>
      </c>
      <c r="M15" s="19"/>
    </row>
    <row r="16" ht="12.75">
      <c r="M16" s="19"/>
    </row>
    <row r="17" spans="2:13" ht="12.75">
      <c r="B17" s="14" t="s">
        <v>110</v>
      </c>
      <c r="D17" s="14" t="s">
        <v>11</v>
      </c>
      <c r="E17" s="14" t="s">
        <v>36</v>
      </c>
      <c r="M17" s="19">
        <v>5</v>
      </c>
    </row>
    <row r="18" spans="3:13" ht="12.75">
      <c r="C18" s="14" t="s">
        <v>126</v>
      </c>
      <c r="G18" s="21"/>
      <c r="H18" s="21"/>
      <c r="I18" s="21"/>
      <c r="J18" s="21"/>
      <c r="K18" s="21"/>
      <c r="L18" s="21"/>
      <c r="M18" s="19"/>
    </row>
    <row r="19" spans="7:13" ht="12.75">
      <c r="G19" s="21"/>
      <c r="H19" s="21"/>
      <c r="I19" s="21"/>
      <c r="J19" s="21"/>
      <c r="K19" s="21"/>
      <c r="L19" s="21"/>
      <c r="M19" s="19"/>
    </row>
    <row r="20" spans="2:3" ht="12.75">
      <c r="B20" s="14" t="s">
        <v>85</v>
      </c>
      <c r="C20" s="14" t="s">
        <v>111</v>
      </c>
    </row>
    <row r="21" spans="2:13" ht="12.75">
      <c r="B21" s="14" t="s">
        <v>161</v>
      </c>
      <c r="D21" s="14" t="s">
        <v>86</v>
      </c>
      <c r="G21" s="14">
        <v>16.2</v>
      </c>
      <c r="I21" s="14">
        <v>18.16</v>
      </c>
      <c r="K21" s="14">
        <v>17.87</v>
      </c>
      <c r="M21" s="22"/>
    </row>
    <row r="22" spans="2:13" ht="12.75">
      <c r="B22" s="14" t="s">
        <v>162</v>
      </c>
      <c r="C22" s="14" t="s">
        <v>189</v>
      </c>
      <c r="D22" s="14" t="s">
        <v>86</v>
      </c>
      <c r="G22" s="20">
        <v>0.0147</v>
      </c>
      <c r="I22" s="20">
        <v>0.00864</v>
      </c>
      <c r="K22" s="20">
        <v>0.013</v>
      </c>
      <c r="M22" s="22"/>
    </row>
    <row r="23" spans="2:11" ht="12.75">
      <c r="B23" s="14" t="s">
        <v>7</v>
      </c>
      <c r="C23" s="14" t="s">
        <v>189</v>
      </c>
      <c r="D23" s="14" t="s">
        <v>16</v>
      </c>
      <c r="G23" s="14">
        <v>99.9093</v>
      </c>
      <c r="I23" s="14">
        <v>99.9524</v>
      </c>
      <c r="K23" s="14">
        <v>99.9273</v>
      </c>
    </row>
    <row r="25" spans="1:13" ht="12.75">
      <c r="A25" s="14">
        <v>2</v>
      </c>
      <c r="B25" s="13" t="s">
        <v>173</v>
      </c>
      <c r="C25" s="13"/>
      <c r="G25" s="15" t="s">
        <v>185</v>
      </c>
      <c r="H25" s="15"/>
      <c r="I25" s="15" t="s">
        <v>186</v>
      </c>
      <c r="J25" s="15"/>
      <c r="K25" s="15" t="s">
        <v>187</v>
      </c>
      <c r="L25" s="15"/>
      <c r="M25" s="15" t="s">
        <v>33</v>
      </c>
    </row>
    <row r="26" spans="7:13" ht="12.75">
      <c r="G26" s="21"/>
      <c r="H26" s="21"/>
      <c r="I26" s="21"/>
      <c r="J26" s="21"/>
      <c r="K26" s="21"/>
      <c r="L26" s="22"/>
      <c r="M26" s="21"/>
    </row>
    <row r="27" spans="2:13" ht="12.75">
      <c r="B27" s="14" t="s">
        <v>170</v>
      </c>
      <c r="C27" s="14" t="s">
        <v>2</v>
      </c>
      <c r="D27" s="14" t="s">
        <v>189</v>
      </c>
      <c r="M27" s="27"/>
    </row>
    <row r="28" spans="2:13" ht="12.75">
      <c r="B28" s="14" t="s">
        <v>34</v>
      </c>
      <c r="D28" s="14" t="s">
        <v>15</v>
      </c>
      <c r="G28" s="22">
        <v>22698</v>
      </c>
      <c r="H28" s="22"/>
      <c r="I28" s="22">
        <v>22566</v>
      </c>
      <c r="J28" s="22"/>
      <c r="K28" s="22">
        <v>22485</v>
      </c>
      <c r="M28" s="19">
        <f>AVERAGE(K28,I28,G28)</f>
        <v>22583</v>
      </c>
    </row>
    <row r="29" spans="2:13" ht="12.75">
      <c r="B29" s="14" t="s">
        <v>163</v>
      </c>
      <c r="D29" s="14" t="s">
        <v>16</v>
      </c>
      <c r="G29" s="14">
        <v>8.2</v>
      </c>
      <c r="I29" s="14">
        <v>8.6</v>
      </c>
      <c r="K29" s="14">
        <v>8.1</v>
      </c>
      <c r="M29" s="19">
        <f>AVERAGE(K29,I29,G29)</f>
        <v>8.299999999999999</v>
      </c>
    </row>
    <row r="30" spans="2:13" ht="12.75">
      <c r="B30" s="14" t="s">
        <v>164</v>
      </c>
      <c r="D30" s="14" t="s">
        <v>16</v>
      </c>
      <c r="G30" s="14">
        <v>10.9</v>
      </c>
      <c r="I30" s="14">
        <v>12.9</v>
      </c>
      <c r="K30" s="14">
        <v>13.1</v>
      </c>
      <c r="M30" s="21">
        <f>AVERAGE(K30,I30,G30)</f>
        <v>12.299999999999999</v>
      </c>
    </row>
    <row r="31" spans="2:13" ht="12.75">
      <c r="B31" s="14" t="s">
        <v>35</v>
      </c>
      <c r="D31" s="14" t="s">
        <v>17</v>
      </c>
      <c r="G31" s="14">
        <v>475</v>
      </c>
      <c r="I31" s="14">
        <v>470</v>
      </c>
      <c r="K31" s="14">
        <v>481</v>
      </c>
      <c r="M31" s="22">
        <f>AVERAGE(K31,I31,G31)</f>
        <v>475.3333333333333</v>
      </c>
    </row>
    <row r="33" spans="2:13" ht="12.75">
      <c r="B33" s="14" t="s">
        <v>2</v>
      </c>
      <c r="C33" s="14" t="s">
        <v>189</v>
      </c>
      <c r="D33" s="14" t="s">
        <v>10</v>
      </c>
      <c r="E33" s="14" t="s">
        <v>36</v>
      </c>
      <c r="G33" s="26">
        <v>0.0397</v>
      </c>
      <c r="I33" s="14">
        <v>0.0357</v>
      </c>
      <c r="K33" s="26">
        <v>0.0307</v>
      </c>
      <c r="M33" s="26">
        <v>0.0352</v>
      </c>
    </row>
    <row r="34" spans="7:13" ht="12.75">
      <c r="G34" s="26"/>
      <c r="K34" s="26"/>
      <c r="M34" s="26"/>
    </row>
    <row r="35" spans="2:13" ht="12.75">
      <c r="B35" s="14" t="s">
        <v>169</v>
      </c>
      <c r="C35" s="14" t="s">
        <v>189</v>
      </c>
      <c r="D35" s="14" t="s">
        <v>11</v>
      </c>
      <c r="E35" s="14" t="s">
        <v>36</v>
      </c>
      <c r="M35" s="22">
        <v>631</v>
      </c>
    </row>
    <row r="36" spans="3:13" ht="12.75">
      <c r="C36" s="14" t="s">
        <v>149</v>
      </c>
      <c r="M36" s="22"/>
    </row>
    <row r="37" ht="12.75">
      <c r="M37" s="22"/>
    </row>
    <row r="38" spans="2:13" ht="12.75">
      <c r="B38" s="14" t="s">
        <v>110</v>
      </c>
      <c r="C38" s="14" t="s">
        <v>189</v>
      </c>
      <c r="D38" s="14" t="s">
        <v>11</v>
      </c>
      <c r="E38" s="14" t="s">
        <v>36</v>
      </c>
      <c r="M38" s="14">
        <v>0</v>
      </c>
    </row>
    <row r="39" ht="12.75">
      <c r="M39" s="21"/>
    </row>
    <row r="40" spans="2:13" ht="12.75">
      <c r="B40" s="14" t="s">
        <v>3</v>
      </c>
      <c r="D40" s="14" t="s">
        <v>11</v>
      </c>
      <c r="E40" s="14" t="s">
        <v>83</v>
      </c>
      <c r="G40" s="14">
        <v>531.2</v>
      </c>
      <c r="I40" s="14">
        <v>676.8</v>
      </c>
      <c r="K40" s="14">
        <v>687.4</v>
      </c>
      <c r="M40" s="21"/>
    </row>
    <row r="41" spans="2:11" ht="12.75">
      <c r="B41" s="14" t="s">
        <v>4</v>
      </c>
      <c r="D41" s="14" t="s">
        <v>11</v>
      </c>
      <c r="E41" s="14" t="s">
        <v>83</v>
      </c>
      <c r="G41" s="14">
        <v>0.3</v>
      </c>
      <c r="I41" s="14">
        <v>0.4</v>
      </c>
      <c r="K41" s="14">
        <v>0.8</v>
      </c>
    </row>
    <row r="42" spans="2:13" ht="12.75">
      <c r="B42" s="14" t="s">
        <v>3</v>
      </c>
      <c r="C42" s="14" t="s">
        <v>189</v>
      </c>
      <c r="D42" s="14" t="s">
        <v>11</v>
      </c>
      <c r="E42" s="14" t="s">
        <v>36</v>
      </c>
      <c r="G42" s="21">
        <f>G40*14/(21-G29)</f>
        <v>581</v>
      </c>
      <c r="H42" s="21"/>
      <c r="I42" s="21">
        <f>I40*14/(21-I29)</f>
        <v>764.1290322580644</v>
      </c>
      <c r="J42" s="21"/>
      <c r="K42" s="21">
        <f>K40*14/(21-K29)</f>
        <v>746.015503875969</v>
      </c>
      <c r="L42" s="21"/>
      <c r="M42" s="21">
        <f>AVERAGE(K42,I42,G42)</f>
        <v>697.0481787113445</v>
      </c>
    </row>
    <row r="43" spans="2:13" ht="12.75">
      <c r="B43" s="14" t="s">
        <v>4</v>
      </c>
      <c r="C43" s="14" t="s">
        <v>189</v>
      </c>
      <c r="D43" s="14" t="s">
        <v>11</v>
      </c>
      <c r="E43" s="14" t="s">
        <v>36</v>
      </c>
      <c r="G43" s="21">
        <f>G41*14/(21-G29)</f>
        <v>0.328125</v>
      </c>
      <c r="H43" s="21"/>
      <c r="I43" s="21">
        <f>I41*14/(21-I29)</f>
        <v>0.4516129032258065</v>
      </c>
      <c r="J43" s="21"/>
      <c r="K43" s="21">
        <f>K41*14/(21-K29)</f>
        <v>0.868217054263566</v>
      </c>
      <c r="L43" s="27"/>
      <c r="M43" s="27">
        <f>AVERAGE(K43,I43,G43)</f>
        <v>0.5493183191631242</v>
      </c>
    </row>
    <row r="44" spans="2:13" ht="12.75">
      <c r="B44" s="14" t="s">
        <v>168</v>
      </c>
      <c r="C44" s="14" t="s">
        <v>189</v>
      </c>
      <c r="D44" s="14" t="s">
        <v>11</v>
      </c>
      <c r="E44" s="14" t="s">
        <v>36</v>
      </c>
      <c r="G44" s="21">
        <f>G42+2*G43</f>
        <v>581.65625</v>
      </c>
      <c r="H44" s="21"/>
      <c r="I44" s="21">
        <f>I42+2*I43</f>
        <v>765.032258064516</v>
      </c>
      <c r="J44" s="21"/>
      <c r="K44" s="21">
        <f>K42+2*K43</f>
        <v>747.7519379844961</v>
      </c>
      <c r="L44" s="21"/>
      <c r="M44" s="21">
        <f>M42+2*M43</f>
        <v>698.1468153496708</v>
      </c>
    </row>
    <row r="46" spans="2:3" ht="12.75">
      <c r="B46" s="14" t="s">
        <v>85</v>
      </c>
      <c r="C46" s="14" t="s">
        <v>111</v>
      </c>
    </row>
    <row r="47" spans="2:13" ht="12.75">
      <c r="B47" s="14" t="s">
        <v>161</v>
      </c>
      <c r="C47" s="14" t="s">
        <v>189</v>
      </c>
      <c r="D47" s="14" t="s">
        <v>86</v>
      </c>
      <c r="G47" s="14">
        <v>64.94</v>
      </c>
      <c r="I47" s="14">
        <v>70.29</v>
      </c>
      <c r="K47" s="14">
        <v>72.38</v>
      </c>
      <c r="M47" s="22">
        <f>AVERAGE(G47,I47,K47)</f>
        <v>69.20333333333333</v>
      </c>
    </row>
    <row r="48" spans="2:3" ht="12.75">
      <c r="B48" s="14" t="s">
        <v>162</v>
      </c>
      <c r="C48" s="14" t="s">
        <v>189</v>
      </c>
    </row>
    <row r="49" spans="2:13" ht="12.75">
      <c r="B49" s="14" t="s">
        <v>7</v>
      </c>
      <c r="C49" s="14" t="s">
        <v>189</v>
      </c>
      <c r="D49" s="14" t="s">
        <v>16</v>
      </c>
      <c r="G49" s="14">
        <v>99.9997</v>
      </c>
      <c r="I49" s="14">
        <v>99.9998</v>
      </c>
      <c r="K49" s="14">
        <v>99.9996</v>
      </c>
      <c r="M49" s="14">
        <f>AVERAGE(G49,I49,K49)</f>
        <v>99.9997</v>
      </c>
    </row>
    <row r="51" spans="2:4" ht="12.75">
      <c r="B51" s="14" t="s">
        <v>170</v>
      </c>
      <c r="C51" s="14" t="s">
        <v>160</v>
      </c>
      <c r="D51" s="14" t="s">
        <v>190</v>
      </c>
    </row>
    <row r="52" spans="2:13" ht="12.75">
      <c r="B52" s="14" t="s">
        <v>34</v>
      </c>
      <c r="D52" s="14" t="s">
        <v>15</v>
      </c>
      <c r="G52" s="14">
        <v>23146</v>
      </c>
      <c r="I52" s="14">
        <v>22821</v>
      </c>
      <c r="K52" s="14">
        <v>22382</v>
      </c>
      <c r="M52" s="14">
        <f>SUM(G52:L52)/3</f>
        <v>22783</v>
      </c>
    </row>
    <row r="53" spans="2:13" ht="12.75">
      <c r="B53" s="14" t="s">
        <v>163</v>
      </c>
      <c r="D53" s="14" t="s">
        <v>16</v>
      </c>
      <c r="G53" s="14">
        <v>7.9</v>
      </c>
      <c r="I53" s="14">
        <v>7.9</v>
      </c>
      <c r="K53" s="14">
        <v>8</v>
      </c>
      <c r="M53" s="21">
        <f>SUM(G53:L53)/3</f>
        <v>7.933333333333334</v>
      </c>
    </row>
    <row r="54" spans="2:13" ht="12.75">
      <c r="B54" s="14" t="s">
        <v>164</v>
      </c>
      <c r="D54" s="14" t="s">
        <v>16</v>
      </c>
      <c r="G54" s="14">
        <v>10.2</v>
      </c>
      <c r="I54" s="14">
        <v>12.5</v>
      </c>
      <c r="K54" s="14">
        <v>12.7</v>
      </c>
      <c r="M54" s="14">
        <f>SUM(G54:L54)/3</f>
        <v>11.799999999999999</v>
      </c>
    </row>
    <row r="55" spans="2:13" ht="12.75">
      <c r="B55" s="14" t="s">
        <v>35</v>
      </c>
      <c r="D55" s="14" t="s">
        <v>17</v>
      </c>
      <c r="G55" s="14">
        <v>485</v>
      </c>
      <c r="I55" s="14">
        <v>477</v>
      </c>
      <c r="K55" s="14">
        <v>484</v>
      </c>
      <c r="M55" s="14">
        <f>SUM(G55:L55)/3</f>
        <v>482</v>
      </c>
    </row>
    <row r="57" spans="2:13" ht="12.75">
      <c r="B57" s="14" t="s">
        <v>142</v>
      </c>
      <c r="D57" s="14" t="s">
        <v>12</v>
      </c>
      <c r="E57" s="14" t="s">
        <v>83</v>
      </c>
      <c r="F57" s="14" t="s">
        <v>37</v>
      </c>
      <c r="G57" s="14">
        <v>0.28</v>
      </c>
      <c r="H57" s="14" t="s">
        <v>37</v>
      </c>
      <c r="I57" s="14">
        <v>0.29</v>
      </c>
      <c r="J57" s="14" t="s">
        <v>37</v>
      </c>
      <c r="K57" s="14">
        <v>0.28</v>
      </c>
      <c r="M57" s="19"/>
    </row>
    <row r="58" spans="2:13" ht="12.75">
      <c r="B58" s="14" t="s">
        <v>141</v>
      </c>
      <c r="D58" s="14" t="s">
        <v>12</v>
      </c>
      <c r="E58" s="14" t="s">
        <v>83</v>
      </c>
      <c r="G58" s="14">
        <v>151</v>
      </c>
      <c r="I58" s="14">
        <v>157</v>
      </c>
      <c r="J58" s="14" t="s">
        <v>37</v>
      </c>
      <c r="K58" s="14">
        <v>169</v>
      </c>
      <c r="M58" s="19"/>
    </row>
    <row r="59" spans="2:13" ht="12.75">
      <c r="B59" s="14" t="s">
        <v>139</v>
      </c>
      <c r="D59" s="14" t="s">
        <v>12</v>
      </c>
      <c r="E59" s="14" t="s">
        <v>83</v>
      </c>
      <c r="G59" s="14">
        <v>1.2</v>
      </c>
      <c r="H59" s="14" t="s">
        <v>37</v>
      </c>
      <c r="I59" s="14">
        <v>0.6</v>
      </c>
      <c r="J59" s="14" t="s">
        <v>37</v>
      </c>
      <c r="K59" s="14">
        <v>0.8</v>
      </c>
      <c r="M59" s="19"/>
    </row>
    <row r="60" spans="2:13" ht="12.75">
      <c r="B60" s="14" t="s">
        <v>135</v>
      </c>
      <c r="D60" s="14" t="s">
        <v>12</v>
      </c>
      <c r="E60" s="14" t="s">
        <v>83</v>
      </c>
      <c r="G60" s="14">
        <v>88.7</v>
      </c>
      <c r="H60" s="14" t="s">
        <v>37</v>
      </c>
      <c r="I60" s="14">
        <v>81.4</v>
      </c>
      <c r="J60" s="14" t="s">
        <v>37</v>
      </c>
      <c r="K60" s="14">
        <v>89.8</v>
      </c>
      <c r="M60" s="19"/>
    </row>
    <row r="61" spans="2:13" ht="12.75">
      <c r="B61" s="14" t="s">
        <v>138</v>
      </c>
      <c r="D61" s="14" t="s">
        <v>12</v>
      </c>
      <c r="E61" s="14" t="s">
        <v>83</v>
      </c>
      <c r="F61" s="14" t="s">
        <v>37</v>
      </c>
      <c r="G61" s="14">
        <v>0.83</v>
      </c>
      <c r="H61" s="14" t="s">
        <v>37</v>
      </c>
      <c r="I61" s="14">
        <v>1.1</v>
      </c>
      <c r="J61" s="14" t="s">
        <v>37</v>
      </c>
      <c r="K61" s="14">
        <v>1.1</v>
      </c>
      <c r="M61" s="19"/>
    </row>
    <row r="62" spans="2:13" ht="12.75">
      <c r="B62" s="14" t="s">
        <v>140</v>
      </c>
      <c r="D62" s="14" t="s">
        <v>12</v>
      </c>
      <c r="E62" s="14" t="s">
        <v>83</v>
      </c>
      <c r="G62" s="21">
        <v>114</v>
      </c>
      <c r="H62" s="21"/>
      <c r="I62" s="21">
        <v>125.4</v>
      </c>
      <c r="J62" s="21"/>
      <c r="K62" s="21">
        <v>151</v>
      </c>
      <c r="L62" s="27"/>
      <c r="M62" s="19"/>
    </row>
    <row r="63" spans="2:13" ht="12.75">
      <c r="B63" s="14" t="s">
        <v>133</v>
      </c>
      <c r="D63" s="14" t="s">
        <v>12</v>
      </c>
      <c r="E63" s="14" t="s">
        <v>83</v>
      </c>
      <c r="G63" s="14">
        <v>21.7</v>
      </c>
      <c r="I63" s="14">
        <v>20.7</v>
      </c>
      <c r="K63" s="14">
        <v>20.7</v>
      </c>
      <c r="M63" s="19"/>
    </row>
    <row r="64" spans="2:13" ht="12.75">
      <c r="B64" s="14" t="s">
        <v>157</v>
      </c>
      <c r="D64" s="14" t="s">
        <v>12</v>
      </c>
      <c r="E64" s="14" t="s">
        <v>83</v>
      </c>
      <c r="F64" s="14" t="s">
        <v>37</v>
      </c>
      <c r="G64" s="14">
        <v>5.4</v>
      </c>
      <c r="I64" s="14">
        <v>9.4</v>
      </c>
      <c r="K64" s="14">
        <v>7.9</v>
      </c>
      <c r="M64" s="19"/>
    </row>
    <row r="66" spans="2:13" ht="12.75">
      <c r="B66" s="14" t="s">
        <v>142</v>
      </c>
      <c r="C66" s="14" t="s">
        <v>190</v>
      </c>
      <c r="D66" s="14" t="s">
        <v>12</v>
      </c>
      <c r="E66" s="14" t="s">
        <v>36</v>
      </c>
      <c r="F66" s="14" t="s">
        <v>37</v>
      </c>
      <c r="G66" s="28">
        <f>G57*14/(21-G$53)</f>
        <v>0.29923664122137406</v>
      </c>
      <c r="H66" s="14" t="s">
        <v>37</v>
      </c>
      <c r="I66" s="28">
        <f>I57*14/(21-I$53)</f>
        <v>0.3099236641221374</v>
      </c>
      <c r="J66" s="14" t="s">
        <v>37</v>
      </c>
      <c r="K66" s="28">
        <f aca="true" t="shared" si="0" ref="K66:K73">K57*14/(21-K$53)</f>
        <v>0.3015384615384616</v>
      </c>
      <c r="L66" s="14">
        <v>100</v>
      </c>
      <c r="M66" s="28">
        <f>AVERAGE(K66,I66,G66)</f>
        <v>0.30356625562732437</v>
      </c>
    </row>
    <row r="67" spans="2:14" ht="12.75">
      <c r="B67" s="14" t="s">
        <v>141</v>
      </c>
      <c r="C67" s="14" t="s">
        <v>190</v>
      </c>
      <c r="D67" s="14" t="s">
        <v>12</v>
      </c>
      <c r="E67" s="14" t="s">
        <v>36</v>
      </c>
      <c r="G67" s="28">
        <f aca="true" t="shared" si="1" ref="G67:G73">G58*14/(21-G$53)</f>
        <v>161.37404580152673</v>
      </c>
      <c r="I67" s="28">
        <f aca="true" t="shared" si="2" ref="I67:I73">I58*14/(21-I$53)</f>
        <v>167.78625954198475</v>
      </c>
      <c r="J67" s="14" t="s">
        <v>37</v>
      </c>
      <c r="K67" s="28">
        <f t="shared" si="0"/>
        <v>182</v>
      </c>
      <c r="L67" s="14">
        <f>K67/(3*M67)*100</f>
        <v>35.605268659836916</v>
      </c>
      <c r="M67" s="28">
        <f>AVERAGE(K67,I67,G67)</f>
        <v>170.38676844783717</v>
      </c>
      <c r="N67" s="14" t="s">
        <v>209</v>
      </c>
    </row>
    <row r="68" spans="2:13" ht="12.75">
      <c r="B68" s="14" t="s">
        <v>139</v>
      </c>
      <c r="C68" s="14" t="s">
        <v>190</v>
      </c>
      <c r="D68" s="14" t="s">
        <v>12</v>
      </c>
      <c r="E68" s="14" t="s">
        <v>36</v>
      </c>
      <c r="G68" s="28">
        <f t="shared" si="1"/>
        <v>1.2824427480916032</v>
      </c>
      <c r="H68" s="14" t="s">
        <v>37</v>
      </c>
      <c r="I68" s="28">
        <f t="shared" si="2"/>
        <v>0.6412213740458016</v>
      </c>
      <c r="J68" s="14" t="s">
        <v>37</v>
      </c>
      <c r="K68" s="28">
        <f t="shared" si="0"/>
        <v>0.8615384615384616</v>
      </c>
      <c r="L68" s="14">
        <f>(I68+K68)/(3*M68)*100</f>
        <v>53.955135773317586</v>
      </c>
      <c r="M68" s="28">
        <f aca="true" t="shared" si="3" ref="M68:M73">AVERAGE(K68,I68,G68)</f>
        <v>0.9284008612252889</v>
      </c>
    </row>
    <row r="69" spans="2:14" ht="12.75">
      <c r="B69" s="14" t="s">
        <v>135</v>
      </c>
      <c r="C69" s="14" t="s">
        <v>190</v>
      </c>
      <c r="D69" s="14" t="s">
        <v>12</v>
      </c>
      <c r="E69" s="14" t="s">
        <v>36</v>
      </c>
      <c r="G69" s="28">
        <f t="shared" si="1"/>
        <v>94.79389312977099</v>
      </c>
      <c r="H69" s="14" t="s">
        <v>37</v>
      </c>
      <c r="I69" s="28">
        <f t="shared" si="2"/>
        <v>86.99236641221376</v>
      </c>
      <c r="J69" s="14" t="s">
        <v>37</v>
      </c>
      <c r="K69" s="28">
        <f t="shared" si="0"/>
        <v>96.70769230769231</v>
      </c>
      <c r="L69" s="14">
        <f>(I69+K69)/(3*M69)*100</f>
        <v>65.96195626505455</v>
      </c>
      <c r="M69" s="28">
        <f t="shared" si="3"/>
        <v>92.83131728322569</v>
      </c>
      <c r="N69" s="14" t="s">
        <v>209</v>
      </c>
    </row>
    <row r="70" spans="2:13" ht="12.75">
      <c r="B70" s="14" t="s">
        <v>138</v>
      </c>
      <c r="C70" s="14" t="s">
        <v>190</v>
      </c>
      <c r="D70" s="14" t="s">
        <v>12</v>
      </c>
      <c r="E70" s="14" t="s">
        <v>36</v>
      </c>
      <c r="F70" s="14" t="s">
        <v>37</v>
      </c>
      <c r="G70" s="28">
        <f t="shared" si="1"/>
        <v>0.8870229007633588</v>
      </c>
      <c r="H70" s="14" t="s">
        <v>37</v>
      </c>
      <c r="I70" s="28">
        <f t="shared" si="2"/>
        <v>1.1755725190839696</v>
      </c>
      <c r="J70" s="14" t="s">
        <v>37</v>
      </c>
      <c r="K70" s="28">
        <f t="shared" si="0"/>
        <v>1.1846153846153848</v>
      </c>
      <c r="L70" s="14">
        <f>(I70+K70+G70)/(3*M70)*100</f>
        <v>100</v>
      </c>
      <c r="M70" s="28">
        <f t="shared" si="3"/>
        <v>1.082403601487571</v>
      </c>
    </row>
    <row r="71" spans="2:13" ht="12.75">
      <c r="B71" s="14" t="s">
        <v>140</v>
      </c>
      <c r="C71" s="14" t="s">
        <v>190</v>
      </c>
      <c r="D71" s="14" t="s">
        <v>12</v>
      </c>
      <c r="E71" s="14" t="s">
        <v>36</v>
      </c>
      <c r="G71" s="28">
        <f t="shared" si="1"/>
        <v>121.83206106870229</v>
      </c>
      <c r="H71" s="21"/>
      <c r="I71" s="28">
        <f t="shared" si="2"/>
        <v>134.01526717557255</v>
      </c>
      <c r="J71" s="21"/>
      <c r="K71" s="28">
        <f t="shared" si="0"/>
        <v>162.6153846153846</v>
      </c>
      <c r="M71" s="28">
        <f t="shared" si="3"/>
        <v>139.4875709532198</v>
      </c>
    </row>
    <row r="72" spans="2:13" ht="12.75">
      <c r="B72" s="14" t="s">
        <v>133</v>
      </c>
      <c r="C72" s="14" t="s">
        <v>190</v>
      </c>
      <c r="D72" s="14" t="s">
        <v>12</v>
      </c>
      <c r="E72" s="14" t="s">
        <v>36</v>
      </c>
      <c r="G72" s="28">
        <f t="shared" si="1"/>
        <v>23.19083969465649</v>
      </c>
      <c r="I72" s="28">
        <f t="shared" si="2"/>
        <v>22.122137404580155</v>
      </c>
      <c r="K72" s="28">
        <f t="shared" si="0"/>
        <v>22.292307692307695</v>
      </c>
      <c r="M72" s="28">
        <f t="shared" si="3"/>
        <v>22.535094930514777</v>
      </c>
    </row>
    <row r="73" spans="2:13" ht="12.75">
      <c r="B73" s="14" t="s">
        <v>157</v>
      </c>
      <c r="C73" s="14" t="s">
        <v>190</v>
      </c>
      <c r="D73" s="14" t="s">
        <v>12</v>
      </c>
      <c r="E73" s="14" t="s">
        <v>36</v>
      </c>
      <c r="F73" s="14" t="s">
        <v>37</v>
      </c>
      <c r="G73" s="28">
        <f t="shared" si="1"/>
        <v>5.770992366412215</v>
      </c>
      <c r="I73" s="28">
        <f t="shared" si="2"/>
        <v>10.045801526717558</v>
      </c>
      <c r="K73" s="28">
        <f t="shared" si="0"/>
        <v>8.507692307692308</v>
      </c>
      <c r="L73" s="14">
        <f>G73/(3*M73)*100</f>
        <v>23.72503295143466</v>
      </c>
      <c r="M73" s="28">
        <f t="shared" si="3"/>
        <v>8.108162066940693</v>
      </c>
    </row>
    <row r="74" ht="12.75">
      <c r="M74" s="19"/>
    </row>
    <row r="75" spans="2:13" ht="12.75">
      <c r="B75" s="14" t="s">
        <v>5</v>
      </c>
      <c r="C75" s="14" t="s">
        <v>190</v>
      </c>
      <c r="D75" s="14" t="s">
        <v>12</v>
      </c>
      <c r="E75" s="14" t="s">
        <v>36</v>
      </c>
      <c r="G75" s="19">
        <f>G68+G67</f>
        <v>162.65648854961833</v>
      </c>
      <c r="H75" s="14">
        <f>I68/I75*100</f>
        <v>0.38071065989847713</v>
      </c>
      <c r="I75" s="19">
        <f>I68+I67</f>
        <v>168.42748091603056</v>
      </c>
      <c r="K75" s="19">
        <f>(K67+K68)</f>
        <v>182.86153846153846</v>
      </c>
      <c r="L75" s="14">
        <f>(H75*I75)/(G75+I75+K75)</f>
        <v>0.12476446707977568</v>
      </c>
      <c r="M75" s="19">
        <f>AVERAGE(K75,I75,G75)</f>
        <v>171.31516930906244</v>
      </c>
    </row>
    <row r="76" spans="2:13" ht="12.75">
      <c r="B76" s="14" t="s">
        <v>6</v>
      </c>
      <c r="C76" s="14" t="s">
        <v>190</v>
      </c>
      <c r="D76" s="14" t="s">
        <v>12</v>
      </c>
      <c r="E76" s="14" t="s">
        <v>36</v>
      </c>
      <c r="F76" s="14">
        <f>(G70/G76)*100</f>
        <v>0.4078022895887584</v>
      </c>
      <c r="G76" s="19">
        <f>G71+G70+G69</f>
        <v>217.51297709923665</v>
      </c>
      <c r="H76" s="14">
        <f>(I70+I69)/I76*100</f>
        <v>39.682539682539684</v>
      </c>
      <c r="I76" s="19">
        <f>I69+I70+I71</f>
        <v>222.18320610687027</v>
      </c>
      <c r="J76" s="14">
        <f>(K70+K69)/K76*100</f>
        <v>37.57751136833402</v>
      </c>
      <c r="K76" s="19">
        <f>K69+K70+K71</f>
        <v>260.5076923076923</v>
      </c>
      <c r="L76" s="14">
        <f>(F76*G76+H76*I76+J76*K76)/(G76+I76+K76)</f>
        <v>26.698976692636794</v>
      </c>
      <c r="M76" s="19">
        <f>AVERAGE(K76,I76,G76)</f>
        <v>233.40129183793306</v>
      </c>
    </row>
    <row r="78" spans="2:3" ht="12.75">
      <c r="B78" s="14" t="s">
        <v>122</v>
      </c>
      <c r="C78" s="14" t="s">
        <v>165</v>
      </c>
    </row>
    <row r="79" spans="2:13" ht="12.75">
      <c r="B79" s="14" t="s">
        <v>123</v>
      </c>
      <c r="D79" s="14" t="s">
        <v>98</v>
      </c>
      <c r="G79" s="14">
        <v>4.7</v>
      </c>
      <c r="I79" s="14">
        <v>4.9</v>
      </c>
      <c r="K79" s="14">
        <v>3.95</v>
      </c>
      <c r="M79" s="14">
        <v>4.51</v>
      </c>
    </row>
    <row r="80" spans="2:13" ht="12.75">
      <c r="B80" s="14" t="s">
        <v>166</v>
      </c>
      <c r="D80" s="14" t="s">
        <v>16</v>
      </c>
      <c r="G80" s="14">
        <v>24.5</v>
      </c>
      <c r="I80" s="14">
        <v>23</v>
      </c>
      <c r="K80" s="14">
        <v>24</v>
      </c>
      <c r="M80" s="14">
        <v>23.8</v>
      </c>
    </row>
    <row r="81" spans="2:13" ht="12.75">
      <c r="B81" s="14" t="s">
        <v>167</v>
      </c>
      <c r="D81" s="14" t="s">
        <v>16</v>
      </c>
      <c r="G81" s="14">
        <v>78.5</v>
      </c>
      <c r="I81" s="14">
        <v>85</v>
      </c>
      <c r="K81" s="14">
        <v>80</v>
      </c>
      <c r="M81" s="14">
        <v>81.2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75"/>
  <sheetViews>
    <sheetView zoomScale="75" zoomScaleNormal="75" workbookViewId="0" topLeftCell="B1">
      <selection activeCell="C26" sqref="C26"/>
    </sheetView>
  </sheetViews>
  <sheetFormatPr defaultColWidth="9.140625" defaultRowHeight="12.75"/>
  <cols>
    <col min="1" max="1" width="3.7109375" style="14" hidden="1" customWidth="1"/>
    <col min="2" max="2" width="19.421875" style="14" customWidth="1"/>
    <col min="3" max="3" width="5.8515625" style="14" customWidth="1"/>
    <col min="4" max="4" width="10.421875" style="14" customWidth="1"/>
    <col min="5" max="5" width="2.00390625" style="14" customWidth="1"/>
    <col min="6" max="6" width="10.7109375" style="14" customWidth="1"/>
    <col min="7" max="7" width="2.7109375" style="14" customWidth="1"/>
    <col min="8" max="8" width="11.57421875" style="14" customWidth="1"/>
    <col min="9" max="9" width="2.8515625" style="14" customWidth="1"/>
    <col min="10" max="10" width="10.28125" style="14" customWidth="1"/>
    <col min="11" max="11" width="2.7109375" style="14" customWidth="1"/>
    <col min="12" max="12" width="10.8515625" style="14" customWidth="1"/>
    <col min="13" max="13" width="3.57421875" style="14" customWidth="1"/>
    <col min="14" max="14" width="11.57421875" style="14" customWidth="1"/>
    <col min="15" max="15" width="3.57421875" style="14" customWidth="1"/>
    <col min="16" max="16" width="9.7109375" style="14" customWidth="1"/>
    <col min="17" max="17" width="3.57421875" style="14" customWidth="1"/>
    <col min="18" max="18" width="10.7109375" style="14" customWidth="1"/>
    <col min="19" max="19" width="3.57421875" style="14" customWidth="1"/>
    <col min="20" max="20" width="10.57421875" style="14" customWidth="1"/>
    <col min="21" max="21" width="2.00390625" style="14" customWidth="1"/>
    <col min="22" max="22" width="14.00390625" style="14" customWidth="1"/>
    <col min="23" max="23" width="3.421875" style="14" customWidth="1"/>
    <col min="24" max="24" width="14.28125" style="14" customWidth="1"/>
    <col min="25" max="25" width="3.00390625" style="14" customWidth="1"/>
    <col min="26" max="26" width="10.57421875" style="14" customWidth="1"/>
    <col min="27" max="27" width="2.7109375" style="14" customWidth="1"/>
    <col min="28" max="28" width="11.7109375" style="14" customWidth="1"/>
    <col min="29" max="29" width="2.8515625" style="14" customWidth="1"/>
    <col min="30" max="30" width="9.8515625" style="14" customWidth="1"/>
    <col min="31" max="31" width="2.57421875" style="14" customWidth="1"/>
    <col min="32" max="32" width="9.00390625" style="14" customWidth="1"/>
    <col min="33" max="33" width="3.28125" style="14" customWidth="1"/>
    <col min="34" max="34" width="11.421875" style="14" customWidth="1"/>
    <col min="35" max="35" width="2.421875" style="14" customWidth="1"/>
    <col min="36" max="36" width="11.421875" style="14" customWidth="1"/>
    <col min="37" max="37" width="3.00390625" style="14" customWidth="1"/>
    <col min="38" max="16384" width="11.421875" style="14" customWidth="1"/>
  </cols>
  <sheetData>
    <row r="1" spans="2:3" ht="12.75">
      <c r="B1" s="13" t="s">
        <v>121</v>
      </c>
      <c r="C1" s="13"/>
    </row>
    <row r="2" spans="2:3" ht="12.75">
      <c r="B2" s="13"/>
      <c r="C2" s="13"/>
    </row>
    <row r="3" ht="12.75">
      <c r="AF3" s="15"/>
    </row>
    <row r="4" spans="1:36" ht="12.75">
      <c r="A4" s="14" t="s">
        <v>174</v>
      </c>
      <c r="B4" s="13" t="s">
        <v>172</v>
      </c>
      <c r="C4" s="13"/>
      <c r="F4" s="14" t="s">
        <v>185</v>
      </c>
      <c r="H4" s="14" t="s">
        <v>186</v>
      </c>
      <c r="J4" s="14" t="s">
        <v>187</v>
      </c>
      <c r="L4" s="14" t="s">
        <v>33</v>
      </c>
      <c r="N4" s="14" t="s">
        <v>185</v>
      </c>
      <c r="P4" s="14" t="s">
        <v>186</v>
      </c>
      <c r="R4" s="14" t="s">
        <v>187</v>
      </c>
      <c r="T4" s="14" t="s">
        <v>33</v>
      </c>
      <c r="V4" s="14" t="s">
        <v>185</v>
      </c>
      <c r="X4" s="14" t="s">
        <v>186</v>
      </c>
      <c r="Z4" s="14" t="s">
        <v>187</v>
      </c>
      <c r="AB4" s="14" t="s">
        <v>33</v>
      </c>
      <c r="AD4" s="14" t="s">
        <v>185</v>
      </c>
      <c r="AF4" s="14" t="s">
        <v>186</v>
      </c>
      <c r="AH4" s="14" t="s">
        <v>187</v>
      </c>
      <c r="AJ4" s="14" t="s">
        <v>33</v>
      </c>
    </row>
    <row r="5" spans="2:32" ht="12.75">
      <c r="B5" s="13"/>
      <c r="C5" s="13"/>
      <c r="AF5" s="15"/>
    </row>
    <row r="6" spans="2:36" ht="12.75">
      <c r="B6" s="34" t="s">
        <v>183</v>
      </c>
      <c r="C6" s="13"/>
      <c r="F6" s="15" t="s">
        <v>203</v>
      </c>
      <c r="G6" s="15"/>
      <c r="H6" s="15" t="s">
        <v>203</v>
      </c>
      <c r="I6" s="15"/>
      <c r="J6" s="15" t="s">
        <v>203</v>
      </c>
      <c r="K6" s="15"/>
      <c r="L6" s="15" t="s">
        <v>203</v>
      </c>
      <c r="M6" s="15"/>
      <c r="N6" s="15" t="s">
        <v>204</v>
      </c>
      <c r="O6" s="15"/>
      <c r="P6" s="15" t="s">
        <v>204</v>
      </c>
      <c r="Q6" s="15"/>
      <c r="R6" s="15" t="s">
        <v>204</v>
      </c>
      <c r="S6" s="15"/>
      <c r="T6" s="15" t="s">
        <v>204</v>
      </c>
      <c r="U6" s="15"/>
      <c r="V6" s="15" t="s">
        <v>205</v>
      </c>
      <c r="W6" s="15"/>
      <c r="X6" s="15" t="s">
        <v>205</v>
      </c>
      <c r="Y6" s="15"/>
      <c r="Z6" s="15" t="s">
        <v>205</v>
      </c>
      <c r="AA6" s="15"/>
      <c r="AB6" s="15" t="s">
        <v>205</v>
      </c>
      <c r="AC6" s="15"/>
      <c r="AD6" s="15" t="s">
        <v>206</v>
      </c>
      <c r="AE6" s="15"/>
      <c r="AF6" s="15" t="s">
        <v>206</v>
      </c>
      <c r="AG6" s="15"/>
      <c r="AH6" s="15" t="s">
        <v>206</v>
      </c>
      <c r="AI6" s="15"/>
      <c r="AJ6" s="15" t="s">
        <v>206</v>
      </c>
    </row>
    <row r="7" spans="2:36" ht="12.75">
      <c r="B7" s="34" t="s">
        <v>184</v>
      </c>
      <c r="C7" s="13"/>
      <c r="F7" s="15" t="s">
        <v>188</v>
      </c>
      <c r="G7" s="15"/>
      <c r="H7" s="15" t="s">
        <v>188</v>
      </c>
      <c r="I7" s="15"/>
      <c r="J7" s="15" t="s">
        <v>188</v>
      </c>
      <c r="K7" s="15"/>
      <c r="L7" s="15" t="s">
        <v>188</v>
      </c>
      <c r="M7" s="15"/>
      <c r="N7" s="15" t="s">
        <v>13</v>
      </c>
      <c r="O7" s="15"/>
      <c r="P7" s="15" t="s">
        <v>13</v>
      </c>
      <c r="Q7" s="15"/>
      <c r="R7" s="15" t="s">
        <v>13</v>
      </c>
      <c r="S7" s="15"/>
      <c r="T7" s="15" t="s">
        <v>13</v>
      </c>
      <c r="U7" s="15"/>
      <c r="V7" s="15" t="s">
        <v>99</v>
      </c>
      <c r="W7" s="15"/>
      <c r="X7" s="15" t="s">
        <v>99</v>
      </c>
      <c r="Y7" s="15"/>
      <c r="Z7" s="15" t="s">
        <v>99</v>
      </c>
      <c r="AA7" s="15"/>
      <c r="AB7" s="15" t="s">
        <v>99</v>
      </c>
      <c r="AC7" s="15"/>
      <c r="AD7" s="43" t="s">
        <v>46</v>
      </c>
      <c r="AE7" s="15"/>
      <c r="AF7" s="43" t="s">
        <v>46</v>
      </c>
      <c r="AG7" s="15"/>
      <c r="AH7" s="43" t="s">
        <v>46</v>
      </c>
      <c r="AI7" s="15"/>
      <c r="AJ7" s="43" t="s">
        <v>46</v>
      </c>
    </row>
    <row r="8" spans="2:36" ht="12.75">
      <c r="B8" s="14" t="s">
        <v>176</v>
      </c>
      <c r="F8" s="15" t="s">
        <v>114</v>
      </c>
      <c r="G8" s="15"/>
      <c r="H8" s="15" t="s">
        <v>114</v>
      </c>
      <c r="I8" s="15"/>
      <c r="J8" s="15" t="s">
        <v>114</v>
      </c>
      <c r="K8" s="15"/>
      <c r="L8" s="15" t="s">
        <v>114</v>
      </c>
      <c r="M8" s="15"/>
      <c r="N8" s="15" t="s">
        <v>13</v>
      </c>
      <c r="O8" s="15"/>
      <c r="P8" s="15" t="s">
        <v>13</v>
      </c>
      <c r="Q8" s="15"/>
      <c r="R8" s="15" t="s">
        <v>13</v>
      </c>
      <c r="S8" s="15"/>
      <c r="T8" s="15" t="s">
        <v>13</v>
      </c>
      <c r="U8" s="15"/>
      <c r="V8" s="15" t="s">
        <v>99</v>
      </c>
      <c r="W8" s="15"/>
      <c r="X8" s="15" t="s">
        <v>99</v>
      </c>
      <c r="Y8" s="15"/>
      <c r="Z8" s="15" t="s">
        <v>99</v>
      </c>
      <c r="AA8" s="15"/>
      <c r="AB8" s="15" t="s">
        <v>99</v>
      </c>
      <c r="AC8" s="15"/>
      <c r="AD8" s="43" t="s">
        <v>46</v>
      </c>
      <c r="AE8" s="15"/>
      <c r="AF8" s="43" t="s">
        <v>46</v>
      </c>
      <c r="AG8" s="15"/>
      <c r="AH8" s="43" t="s">
        <v>46</v>
      </c>
      <c r="AI8" s="15"/>
      <c r="AJ8" s="43" t="s">
        <v>46</v>
      </c>
    </row>
    <row r="9" spans="2:36" ht="12.75">
      <c r="B9" s="14" t="s">
        <v>96</v>
      </c>
      <c r="D9" s="14" t="s">
        <v>86</v>
      </c>
      <c r="F9" s="14">
        <v>867</v>
      </c>
      <c r="H9" s="14">
        <v>951</v>
      </c>
      <c r="J9" s="14">
        <v>961</v>
      </c>
      <c r="L9" s="19">
        <f>AVERAGE(J9,H9,F9)</f>
        <v>926.3333333333334</v>
      </c>
      <c r="T9" s="20"/>
      <c r="U9" s="20"/>
      <c r="V9" s="22">
        <v>4247</v>
      </c>
      <c r="W9" s="22"/>
      <c r="X9" s="22">
        <v>4228</v>
      </c>
      <c r="Y9" s="22"/>
      <c r="Z9" s="22">
        <v>4229</v>
      </c>
      <c r="AA9" s="20"/>
      <c r="AB9" s="19">
        <f>AVERAGE(Z9,X9,V9)</f>
        <v>4234.666666666667</v>
      </c>
      <c r="AC9" s="22"/>
      <c r="AD9" s="22">
        <f>SUM(V9,N9,F9)</f>
        <v>5114</v>
      </c>
      <c r="AE9" s="44"/>
      <c r="AF9" s="22">
        <f>SUM(X9,P9,H9)</f>
        <v>5179</v>
      </c>
      <c r="AG9" s="22"/>
      <c r="AH9" s="22">
        <f>SUM(Z9,R9,J9)</f>
        <v>5190</v>
      </c>
      <c r="AI9" s="22"/>
      <c r="AJ9" s="22">
        <f>SUM(AB9,T9,L9)</f>
        <v>5161</v>
      </c>
    </row>
    <row r="10" spans="2:36" ht="12.75">
      <c r="B10" s="14" t="s">
        <v>148</v>
      </c>
      <c r="D10" s="14" t="s">
        <v>147</v>
      </c>
      <c r="F10" s="14">
        <v>9150</v>
      </c>
      <c r="H10" s="14">
        <v>8870</v>
      </c>
      <c r="J10" s="14">
        <v>8410</v>
      </c>
      <c r="L10" s="19">
        <f>AVERAGE(J10,H10,F10)</f>
        <v>8810</v>
      </c>
      <c r="T10" s="20"/>
      <c r="U10" s="20"/>
      <c r="V10" s="22">
        <v>11000</v>
      </c>
      <c r="W10" s="20"/>
      <c r="X10" s="22">
        <v>12000</v>
      </c>
      <c r="Y10" s="22"/>
      <c r="Z10" s="22">
        <v>11000</v>
      </c>
      <c r="AA10" s="20"/>
      <c r="AB10" s="19">
        <f>AVERAGE(Z10,X10,V10)</f>
        <v>11333.333333333334</v>
      </c>
      <c r="AC10" s="22"/>
      <c r="AD10" s="22">
        <f>SUM(V10,N10,F10)</f>
        <v>20150</v>
      </c>
      <c r="AE10" s="44"/>
      <c r="AF10" s="22">
        <f aca="true" t="shared" si="0" ref="AF10:AJ11">SUM(X10,P10,H10)</f>
        <v>20870</v>
      </c>
      <c r="AG10" s="22"/>
      <c r="AH10" s="22">
        <f t="shared" si="0"/>
        <v>19410</v>
      </c>
      <c r="AI10" s="22"/>
      <c r="AJ10" s="22">
        <f t="shared" si="0"/>
        <v>20143.333333333336</v>
      </c>
    </row>
    <row r="11" spans="2:36" ht="12.75">
      <c r="B11" s="14" t="s">
        <v>175</v>
      </c>
      <c r="D11" s="14" t="s">
        <v>115</v>
      </c>
      <c r="F11" s="14">
        <v>8.8</v>
      </c>
      <c r="H11" s="14">
        <v>2.123</v>
      </c>
      <c r="J11" s="14">
        <v>7.93</v>
      </c>
      <c r="L11" s="19">
        <f>AVERAGE(J11,H11,F11)</f>
        <v>6.2843333333333335</v>
      </c>
      <c r="T11" s="17"/>
      <c r="U11" s="17"/>
      <c r="V11" s="17">
        <v>50.9</v>
      </c>
      <c r="W11" s="17"/>
      <c r="X11" s="17">
        <v>46.5</v>
      </c>
      <c r="Y11" s="17"/>
      <c r="Z11" s="17">
        <v>46.72</v>
      </c>
      <c r="AA11" s="17"/>
      <c r="AB11" s="19">
        <f>AVERAGE(Z11,X11,V11)</f>
        <v>48.04</v>
      </c>
      <c r="AC11" s="17"/>
      <c r="AD11" s="22">
        <f>SUM(V11,N11,F11)</f>
        <v>59.7</v>
      </c>
      <c r="AE11" s="44"/>
      <c r="AF11" s="22">
        <f t="shared" si="0"/>
        <v>48.623</v>
      </c>
      <c r="AG11" s="22"/>
      <c r="AH11" s="22">
        <f t="shared" si="0"/>
        <v>54.65</v>
      </c>
      <c r="AI11" s="22"/>
      <c r="AJ11" s="22">
        <f t="shared" si="0"/>
        <v>54.324333333333335</v>
      </c>
    </row>
    <row r="12" ht="12.75" customHeight="1"/>
    <row r="13" spans="2:31" ht="12.75">
      <c r="B13" s="14" t="s">
        <v>39</v>
      </c>
      <c r="D13" s="14" t="s">
        <v>15</v>
      </c>
      <c r="F13" s="22"/>
      <c r="L13" s="22">
        <v>20698</v>
      </c>
      <c r="M13" s="19"/>
      <c r="N13" s="19"/>
      <c r="O13" s="19"/>
      <c r="P13" s="19"/>
      <c r="Q13" s="19"/>
      <c r="R13" s="19"/>
      <c r="S13" s="19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2:31" ht="12.75">
      <c r="B14" s="14" t="s">
        <v>9</v>
      </c>
      <c r="D14" s="14" t="s">
        <v>16</v>
      </c>
      <c r="L14" s="19">
        <v>13.466666666666667</v>
      </c>
      <c r="M14" s="19"/>
      <c r="N14" s="19"/>
      <c r="O14" s="19"/>
      <c r="P14" s="19"/>
      <c r="Q14" s="19"/>
      <c r="R14" s="19"/>
      <c r="S14" s="19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ht="12.75" customHeight="1"/>
    <row r="16" spans="2:36" ht="12.75">
      <c r="B16" s="14" t="s">
        <v>40</v>
      </c>
      <c r="D16" s="14" t="s">
        <v>115</v>
      </c>
      <c r="T16" s="21"/>
      <c r="U16" s="21"/>
      <c r="V16" s="21"/>
      <c r="W16" s="21"/>
      <c r="X16" s="21"/>
      <c r="Y16" s="21"/>
      <c r="Z16" s="21"/>
      <c r="AA16" s="21"/>
      <c r="AE16" s="20"/>
      <c r="AF16" s="19"/>
      <c r="AH16" s="19"/>
      <c r="AJ16" s="19">
        <f>L13/9000*(21-L14)/21*60</f>
        <v>49.499978835978844</v>
      </c>
    </row>
    <row r="18" spans="1:49" ht="12.75">
      <c r="A18" s="14" t="s">
        <v>174</v>
      </c>
      <c r="B18" s="13" t="s">
        <v>173</v>
      </c>
      <c r="C18" s="13"/>
      <c r="D18" s="13"/>
      <c r="E18" s="13"/>
      <c r="F18" s="15" t="s">
        <v>185</v>
      </c>
      <c r="G18" s="15"/>
      <c r="H18" s="15" t="s">
        <v>186</v>
      </c>
      <c r="I18" s="15"/>
      <c r="J18" s="15" t="s">
        <v>187</v>
      </c>
      <c r="K18" s="15"/>
      <c r="L18" s="15" t="s">
        <v>33</v>
      </c>
      <c r="M18" s="15"/>
      <c r="N18" s="15" t="s">
        <v>185</v>
      </c>
      <c r="O18" s="15"/>
      <c r="P18" s="15" t="s">
        <v>186</v>
      </c>
      <c r="Q18" s="15"/>
      <c r="R18" s="15" t="s">
        <v>187</v>
      </c>
      <c r="S18" s="15"/>
      <c r="T18" s="15" t="s">
        <v>33</v>
      </c>
      <c r="U18" s="15"/>
      <c r="V18" s="15" t="s">
        <v>185</v>
      </c>
      <c r="W18" s="15"/>
      <c r="X18" s="15" t="s">
        <v>186</v>
      </c>
      <c r="Y18" s="15"/>
      <c r="Z18" s="15" t="s">
        <v>187</v>
      </c>
      <c r="AA18" s="15"/>
      <c r="AB18" s="15" t="s">
        <v>33</v>
      </c>
      <c r="AC18" s="15"/>
      <c r="AD18" s="15" t="s">
        <v>185</v>
      </c>
      <c r="AE18" s="15"/>
      <c r="AF18" s="15" t="s">
        <v>186</v>
      </c>
      <c r="AG18" s="15"/>
      <c r="AH18" s="15" t="s">
        <v>187</v>
      </c>
      <c r="AI18" s="15"/>
      <c r="AJ18" s="15" t="s">
        <v>33</v>
      </c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</row>
    <row r="20" spans="2:36" ht="12.75">
      <c r="B20" s="34" t="s">
        <v>183</v>
      </c>
      <c r="C20" s="13"/>
      <c r="F20" s="15" t="s">
        <v>203</v>
      </c>
      <c r="G20" s="15"/>
      <c r="H20" s="15" t="s">
        <v>203</v>
      </c>
      <c r="I20" s="15"/>
      <c r="J20" s="15" t="s">
        <v>203</v>
      </c>
      <c r="K20" s="15"/>
      <c r="L20" s="15" t="s">
        <v>203</v>
      </c>
      <c r="M20" s="15"/>
      <c r="N20" s="15" t="s">
        <v>204</v>
      </c>
      <c r="O20" s="15"/>
      <c r="P20" s="15" t="s">
        <v>204</v>
      </c>
      <c r="Q20" s="15"/>
      <c r="R20" s="15" t="s">
        <v>204</v>
      </c>
      <c r="S20" s="15"/>
      <c r="T20" s="15" t="s">
        <v>204</v>
      </c>
      <c r="U20" s="15"/>
      <c r="V20" s="15" t="s">
        <v>205</v>
      </c>
      <c r="W20" s="15"/>
      <c r="X20" s="15" t="s">
        <v>205</v>
      </c>
      <c r="Y20" s="15"/>
      <c r="Z20" s="15" t="s">
        <v>205</v>
      </c>
      <c r="AA20" s="15"/>
      <c r="AB20" s="15" t="s">
        <v>205</v>
      </c>
      <c r="AC20" s="15"/>
      <c r="AD20" s="15" t="s">
        <v>206</v>
      </c>
      <c r="AE20" s="15"/>
      <c r="AF20" s="15" t="s">
        <v>206</v>
      </c>
      <c r="AG20" s="15"/>
      <c r="AH20" s="15" t="s">
        <v>206</v>
      </c>
      <c r="AI20" s="15"/>
      <c r="AJ20" s="15" t="s">
        <v>206</v>
      </c>
    </row>
    <row r="21" spans="2:36" ht="12.75">
      <c r="B21" s="34" t="s">
        <v>184</v>
      </c>
      <c r="C21" s="13"/>
      <c r="F21" s="15" t="s">
        <v>188</v>
      </c>
      <c r="G21" s="15"/>
      <c r="H21" s="15" t="s">
        <v>188</v>
      </c>
      <c r="I21" s="15"/>
      <c r="J21" s="15" t="s">
        <v>188</v>
      </c>
      <c r="K21" s="15"/>
      <c r="L21" s="15" t="s">
        <v>188</v>
      </c>
      <c r="M21" s="15"/>
      <c r="N21" s="15" t="s">
        <v>13</v>
      </c>
      <c r="O21" s="15"/>
      <c r="P21" s="15" t="s">
        <v>13</v>
      </c>
      <c r="Q21" s="15"/>
      <c r="R21" s="15" t="s">
        <v>13</v>
      </c>
      <c r="S21" s="15"/>
      <c r="T21" s="15" t="s">
        <v>13</v>
      </c>
      <c r="U21" s="15"/>
      <c r="V21" s="15" t="s">
        <v>99</v>
      </c>
      <c r="W21" s="15"/>
      <c r="X21" s="15" t="s">
        <v>99</v>
      </c>
      <c r="Y21" s="15"/>
      <c r="Z21" s="15" t="s">
        <v>99</v>
      </c>
      <c r="AA21" s="15"/>
      <c r="AB21" s="15" t="s">
        <v>99</v>
      </c>
      <c r="AC21" s="15"/>
      <c r="AD21" s="43" t="s">
        <v>46</v>
      </c>
      <c r="AE21" s="15"/>
      <c r="AF21" s="43" t="s">
        <v>46</v>
      </c>
      <c r="AG21" s="15"/>
      <c r="AH21" s="43" t="s">
        <v>46</v>
      </c>
      <c r="AI21" s="15"/>
      <c r="AJ21" s="43" t="s">
        <v>46</v>
      </c>
    </row>
    <row r="22" spans="2:36" ht="12.75">
      <c r="B22" s="34" t="s">
        <v>207</v>
      </c>
      <c r="C22" s="13"/>
      <c r="F22" s="15" t="s">
        <v>1</v>
      </c>
      <c r="G22" s="15"/>
      <c r="H22" s="15" t="s">
        <v>1</v>
      </c>
      <c r="I22" s="15"/>
      <c r="J22" s="15" t="s">
        <v>1</v>
      </c>
      <c r="K22" s="15"/>
      <c r="L22" s="15" t="s">
        <v>1</v>
      </c>
      <c r="M22" s="15"/>
      <c r="N22" s="15" t="s">
        <v>13</v>
      </c>
      <c r="O22" s="15"/>
      <c r="P22" s="15" t="s">
        <v>13</v>
      </c>
      <c r="Q22" s="15"/>
      <c r="R22" s="15" t="s">
        <v>13</v>
      </c>
      <c r="S22" s="15"/>
      <c r="T22" s="15" t="s">
        <v>13</v>
      </c>
      <c r="U22" s="15"/>
      <c r="V22" s="15" t="s">
        <v>99</v>
      </c>
      <c r="W22" s="15"/>
      <c r="X22" s="15" t="s">
        <v>99</v>
      </c>
      <c r="Y22" s="15"/>
      <c r="Z22" s="15" t="s">
        <v>99</v>
      </c>
      <c r="AA22" s="15"/>
      <c r="AB22" s="15" t="s">
        <v>99</v>
      </c>
      <c r="AC22" s="15"/>
      <c r="AD22" s="43" t="s">
        <v>46</v>
      </c>
      <c r="AE22" s="15"/>
      <c r="AF22" s="43" t="s">
        <v>46</v>
      </c>
      <c r="AG22" s="15"/>
      <c r="AH22" s="43" t="s">
        <v>46</v>
      </c>
      <c r="AI22" s="15"/>
      <c r="AJ22" s="43" t="s">
        <v>46</v>
      </c>
    </row>
    <row r="23" spans="2:36" ht="12.75">
      <c r="B23" s="14" t="s">
        <v>176</v>
      </c>
      <c r="F23" s="15" t="s">
        <v>114</v>
      </c>
      <c r="G23" s="15"/>
      <c r="H23" s="15" t="s">
        <v>114</v>
      </c>
      <c r="I23" s="15"/>
      <c r="J23" s="15" t="s">
        <v>114</v>
      </c>
      <c r="K23" s="15"/>
      <c r="L23" s="15" t="s">
        <v>114</v>
      </c>
      <c r="M23" s="15"/>
      <c r="N23" s="15" t="s">
        <v>13</v>
      </c>
      <c r="O23" s="15"/>
      <c r="P23" s="15" t="s">
        <v>13</v>
      </c>
      <c r="Q23" s="15"/>
      <c r="R23" s="15" t="s">
        <v>13</v>
      </c>
      <c r="S23" s="15"/>
      <c r="T23" s="15" t="s">
        <v>13</v>
      </c>
      <c r="U23" s="15"/>
      <c r="V23" s="15" t="s">
        <v>99</v>
      </c>
      <c r="W23" s="15"/>
      <c r="X23" s="15" t="s">
        <v>99</v>
      </c>
      <c r="Y23" s="15"/>
      <c r="Z23" s="15" t="s">
        <v>99</v>
      </c>
      <c r="AA23" s="15"/>
      <c r="AB23" s="15" t="s">
        <v>99</v>
      </c>
      <c r="AC23" s="15"/>
      <c r="AD23" s="43" t="s">
        <v>46</v>
      </c>
      <c r="AE23" s="15"/>
      <c r="AF23" s="43" t="s">
        <v>46</v>
      </c>
      <c r="AG23" s="15"/>
      <c r="AH23" s="43" t="s">
        <v>46</v>
      </c>
      <c r="AI23" s="15"/>
      <c r="AJ23" s="43" t="s">
        <v>46</v>
      </c>
    </row>
    <row r="24" spans="2:36" ht="12.75">
      <c r="B24" s="14" t="s">
        <v>177</v>
      </c>
      <c r="D24" s="14" t="s">
        <v>86</v>
      </c>
      <c r="F24" s="14">
        <v>3510</v>
      </c>
      <c r="H24" s="14">
        <v>3661</v>
      </c>
      <c r="J24" s="14">
        <v>3601</v>
      </c>
      <c r="L24" s="22">
        <f>AVERAGE(J24,H24,F24)</f>
        <v>3590.6666666666665</v>
      </c>
      <c r="N24" s="14">
        <v>60</v>
      </c>
      <c r="P24" s="14">
        <v>60</v>
      </c>
      <c r="R24" s="14">
        <v>62.2</v>
      </c>
      <c r="T24" s="19">
        <f>AVERAGE(R24,P24,N24)</f>
        <v>60.73333333333333</v>
      </c>
      <c r="U24" s="22"/>
      <c r="V24" s="22">
        <v>7399</v>
      </c>
      <c r="W24" s="22"/>
      <c r="X24" s="22">
        <v>7295</v>
      </c>
      <c r="Y24" s="22"/>
      <c r="Z24" s="22">
        <v>7547</v>
      </c>
      <c r="AA24" s="22"/>
      <c r="AB24" s="22">
        <f aca="true" t="shared" si="1" ref="AB24:AB29">AVERAGE(Z24,X24,V24)</f>
        <v>7413.666666666667</v>
      </c>
      <c r="AC24" s="22"/>
      <c r="AD24" s="22">
        <f>SUM(V24,N24,F24)</f>
        <v>10969</v>
      </c>
      <c r="AE24" s="22"/>
      <c r="AF24" s="22">
        <f>SUM(X24,P24,H24)</f>
        <v>11016</v>
      </c>
      <c r="AG24" s="22"/>
      <c r="AH24" s="22">
        <f>SUM(Z24,R24,J24)</f>
        <v>11210.2</v>
      </c>
      <c r="AI24" s="22"/>
      <c r="AJ24" s="22">
        <f>SUM(AB24,T24,L24)</f>
        <v>11065.066666666668</v>
      </c>
    </row>
    <row r="25" spans="2:36" ht="12.75">
      <c r="B25" s="14" t="s">
        <v>148</v>
      </c>
      <c r="D25" s="14" t="s">
        <v>147</v>
      </c>
      <c r="F25" s="14">
        <v>8540</v>
      </c>
      <c r="H25" s="14">
        <v>8780</v>
      </c>
      <c r="J25" s="14">
        <v>8700</v>
      </c>
      <c r="L25" s="22">
        <f>AVERAGE(J25,H25,F25)</f>
        <v>8673.333333333334</v>
      </c>
      <c r="T25" s="22"/>
      <c r="U25" s="22"/>
      <c r="V25" s="22">
        <v>8300</v>
      </c>
      <c r="W25" s="22"/>
      <c r="X25" s="22">
        <v>8700</v>
      </c>
      <c r="Y25" s="22"/>
      <c r="Z25" s="22">
        <v>8200</v>
      </c>
      <c r="AA25" s="22"/>
      <c r="AB25" s="19">
        <f t="shared" si="1"/>
        <v>8400</v>
      </c>
      <c r="AC25" s="22"/>
      <c r="AD25" s="22">
        <f>SUM(V25,N25,F25)</f>
        <v>16840</v>
      </c>
      <c r="AE25" s="22"/>
      <c r="AF25" s="22">
        <f>SUM(X25,P25,H25)</f>
        <v>17480</v>
      </c>
      <c r="AG25" s="22"/>
      <c r="AH25" s="22">
        <f>SUM(Z25,R25,J25)</f>
        <v>16900</v>
      </c>
      <c r="AI25" s="22"/>
      <c r="AJ25" s="22">
        <f>SUM(AB25,T25,L25)</f>
        <v>17073.333333333336</v>
      </c>
    </row>
    <row r="26" spans="2:36" ht="12.75">
      <c r="B26" s="14" t="s">
        <v>175</v>
      </c>
      <c r="D26" s="14" t="s">
        <v>115</v>
      </c>
      <c r="F26" s="14">
        <v>29.98</v>
      </c>
      <c r="H26" s="14">
        <v>32.14</v>
      </c>
      <c r="J26" s="14">
        <v>31.33</v>
      </c>
      <c r="L26" s="19">
        <f>AVERAGE(J26,H26,F26)</f>
        <v>31.150000000000002</v>
      </c>
      <c r="V26" s="19">
        <v>61.411</v>
      </c>
      <c r="W26" s="19"/>
      <c r="X26" s="19">
        <v>63.46</v>
      </c>
      <c r="Y26" s="19"/>
      <c r="Z26" s="19">
        <v>61.89</v>
      </c>
      <c r="AA26" s="19"/>
      <c r="AB26" s="19">
        <f t="shared" si="1"/>
        <v>62.25366666666667</v>
      </c>
      <c r="AC26" s="23"/>
      <c r="AD26" s="22">
        <f>SUM(V26,N26,F26)</f>
        <v>91.391</v>
      </c>
      <c r="AE26" s="22"/>
      <c r="AF26" s="22">
        <f>SUM(X26,P26,H26)</f>
        <v>95.6</v>
      </c>
      <c r="AG26" s="22"/>
      <c r="AH26" s="22">
        <f>SUM(Z26,R26,J26)</f>
        <v>93.22</v>
      </c>
      <c r="AI26" s="22"/>
      <c r="AJ26" s="22">
        <f>SUM(AB26,T26,L26)</f>
        <v>93.40366666666667</v>
      </c>
    </row>
    <row r="27" spans="2:36" ht="12.75">
      <c r="B27" s="14" t="s">
        <v>8</v>
      </c>
      <c r="D27" s="14" t="s">
        <v>86</v>
      </c>
      <c r="L27" s="24"/>
      <c r="M27" s="24"/>
      <c r="N27" s="24"/>
      <c r="O27" s="24"/>
      <c r="P27" s="24"/>
      <c r="Q27" s="24"/>
      <c r="R27" s="24"/>
      <c r="S27" s="24"/>
      <c r="V27" s="14">
        <v>1480</v>
      </c>
      <c r="X27" s="14">
        <v>1678</v>
      </c>
      <c r="Z27" s="14">
        <v>1472</v>
      </c>
      <c r="AB27" s="19">
        <f t="shared" si="1"/>
        <v>1543.3333333333333</v>
      </c>
      <c r="AD27" s="20"/>
      <c r="AE27" s="20"/>
      <c r="AF27" s="20"/>
      <c r="AG27" s="20"/>
      <c r="AH27" s="20"/>
      <c r="AJ27" s="20"/>
    </row>
    <row r="28" spans="2:36" ht="12.75">
      <c r="B28" s="14" t="s">
        <v>38</v>
      </c>
      <c r="D28" s="14" t="s">
        <v>86</v>
      </c>
      <c r="F28" s="14">
        <v>70.2</v>
      </c>
      <c r="H28" s="14">
        <v>73.2</v>
      </c>
      <c r="J28" s="14">
        <v>72</v>
      </c>
      <c r="L28" s="19">
        <f>AVERAGE(J28,H28,F28)</f>
        <v>71.8</v>
      </c>
      <c r="V28" s="14">
        <v>0.74</v>
      </c>
      <c r="X28" s="14">
        <v>0.95</v>
      </c>
      <c r="Z28" s="14">
        <v>1.43</v>
      </c>
      <c r="AB28" s="19">
        <f t="shared" si="1"/>
        <v>1.04</v>
      </c>
      <c r="AD28" s="20"/>
      <c r="AE28" s="20"/>
      <c r="AF28" s="20"/>
      <c r="AG28" s="20"/>
      <c r="AH28" s="20"/>
      <c r="AJ28" s="20"/>
    </row>
    <row r="29" spans="2:36" ht="12.75">
      <c r="B29" s="14" t="s">
        <v>133</v>
      </c>
      <c r="D29" s="14" t="s">
        <v>86</v>
      </c>
      <c r="V29" s="14">
        <v>0.148</v>
      </c>
      <c r="X29" s="14">
        <v>0.1459</v>
      </c>
      <c r="Z29" s="14">
        <v>0.1509</v>
      </c>
      <c r="AB29" s="27">
        <f t="shared" si="1"/>
        <v>0.14826666666666666</v>
      </c>
      <c r="AD29" s="20"/>
      <c r="AE29" s="20"/>
      <c r="AF29" s="20"/>
      <c r="AG29" s="20"/>
      <c r="AH29" s="20"/>
      <c r="AJ29" s="20"/>
    </row>
    <row r="30" spans="2:36" ht="12.75">
      <c r="B30" s="14" t="s">
        <v>135</v>
      </c>
      <c r="D30" s="14" t="s">
        <v>86</v>
      </c>
      <c r="F30" s="14">
        <v>0.0015</v>
      </c>
      <c r="H30" s="14">
        <v>0.0066</v>
      </c>
      <c r="J30" s="14">
        <v>0.0014</v>
      </c>
      <c r="L30" s="26">
        <f>AVERAGE(0.0015,0.0066,0.0014)</f>
        <v>0.0031666666666666666</v>
      </c>
      <c r="M30" s="26"/>
      <c r="N30" s="21">
        <v>0.22</v>
      </c>
      <c r="O30" s="26"/>
      <c r="P30" s="26">
        <v>0.22</v>
      </c>
      <c r="Q30" s="26"/>
      <c r="R30" s="26">
        <v>0.228</v>
      </c>
      <c r="S30" s="26"/>
      <c r="T30" s="21">
        <f>AVERAGE(R30,P30,N30)</f>
        <v>0.22266666666666668</v>
      </c>
      <c r="V30" s="14">
        <v>0.037</v>
      </c>
      <c r="X30" s="14">
        <v>0.0365</v>
      </c>
      <c r="Z30" s="14">
        <v>0.0377</v>
      </c>
      <c r="AB30" s="27">
        <f aca="true" t="shared" si="2" ref="AB30:AB39">AVERAGE(Z30,X30,V30)</f>
        <v>0.037066666666666664</v>
      </c>
      <c r="AD30" s="20"/>
      <c r="AE30" s="20"/>
      <c r="AF30" s="20"/>
      <c r="AG30" s="20"/>
      <c r="AH30" s="20"/>
      <c r="AJ30" s="20"/>
    </row>
    <row r="31" spans="2:36" ht="12.75">
      <c r="B31" s="14" t="s">
        <v>137</v>
      </c>
      <c r="D31" s="14" t="s">
        <v>86</v>
      </c>
      <c r="L31" s="26"/>
      <c r="M31" s="26"/>
      <c r="N31" s="21"/>
      <c r="O31" s="26"/>
      <c r="P31" s="26"/>
      <c r="Q31" s="26"/>
      <c r="R31" s="26"/>
      <c r="S31" s="26"/>
      <c r="T31" s="21"/>
      <c r="V31" s="14">
        <v>0.9619</v>
      </c>
      <c r="X31" s="14">
        <v>0.8025</v>
      </c>
      <c r="Z31" s="14">
        <v>0.7547</v>
      </c>
      <c r="AB31" s="27">
        <f t="shared" si="2"/>
        <v>0.8397</v>
      </c>
      <c r="AD31" s="20"/>
      <c r="AE31" s="20"/>
      <c r="AF31" s="20"/>
      <c r="AG31" s="20"/>
      <c r="AH31" s="20"/>
      <c r="AJ31" s="20"/>
    </row>
    <row r="32" spans="2:36" ht="12.75">
      <c r="B32" s="14" t="s">
        <v>138</v>
      </c>
      <c r="D32" s="14" t="s">
        <v>86</v>
      </c>
      <c r="F32" s="14">
        <v>0.0001</v>
      </c>
      <c r="H32" s="14">
        <v>0.0003</v>
      </c>
      <c r="J32" s="26">
        <v>0.00048</v>
      </c>
      <c r="K32" s="26"/>
      <c r="L32" s="26">
        <f>AVERAGE(0.0003,0.0001,0.00049)</f>
        <v>0.00029666666666666665</v>
      </c>
      <c r="M32" s="40"/>
      <c r="N32" s="27">
        <v>0.015</v>
      </c>
      <c r="O32" s="40"/>
      <c r="P32" s="40">
        <v>0.015</v>
      </c>
      <c r="Q32" s="40"/>
      <c r="R32" s="40">
        <v>0.015</v>
      </c>
      <c r="S32" s="40"/>
      <c r="T32" s="27">
        <f>AVERAGE(R32,P32,N32)</f>
        <v>0.015</v>
      </c>
      <c r="V32" s="14">
        <v>0.0012</v>
      </c>
      <c r="X32" s="14">
        <v>0.001</v>
      </c>
      <c r="Z32" s="14">
        <v>0.0011</v>
      </c>
      <c r="AB32" s="27">
        <f t="shared" si="2"/>
        <v>0.0011</v>
      </c>
      <c r="AD32" s="20"/>
      <c r="AE32" s="20"/>
      <c r="AF32" s="20"/>
      <c r="AG32" s="20"/>
      <c r="AH32" s="20"/>
      <c r="AJ32" s="20"/>
    </row>
    <row r="33" spans="2:36" ht="12.75">
      <c r="B33" s="14" t="s">
        <v>139</v>
      </c>
      <c r="D33" s="14" t="s">
        <v>86</v>
      </c>
      <c r="V33" s="14">
        <v>0.003</v>
      </c>
      <c r="X33" s="14">
        <v>0.0029</v>
      </c>
      <c r="Z33" s="14">
        <v>0.003</v>
      </c>
      <c r="AB33" s="27">
        <f t="shared" si="2"/>
        <v>0.0029666666666666665</v>
      </c>
      <c r="AD33" s="20"/>
      <c r="AE33" s="20"/>
      <c r="AF33" s="20"/>
      <c r="AG33" s="20"/>
      <c r="AH33" s="20"/>
      <c r="AJ33" s="20"/>
    </row>
    <row r="34" spans="2:36" ht="12.75">
      <c r="B34" s="14" t="s">
        <v>140</v>
      </c>
      <c r="D34" s="14" t="s">
        <v>86</v>
      </c>
      <c r="F34" s="14">
        <v>0.0001</v>
      </c>
      <c r="H34" s="14">
        <v>0.0001</v>
      </c>
      <c r="J34" s="14">
        <v>0.0001</v>
      </c>
      <c r="L34" s="14">
        <v>0.0001</v>
      </c>
      <c r="N34" s="14">
        <v>0.895</v>
      </c>
      <c r="P34" s="14">
        <v>0.895</v>
      </c>
      <c r="R34" s="14">
        <v>0.928</v>
      </c>
      <c r="T34" s="27">
        <f>AVERAGE(R34,P34,N34)</f>
        <v>0.906</v>
      </c>
      <c r="V34" s="14">
        <v>0.0281</v>
      </c>
      <c r="X34" s="14">
        <v>0.0233</v>
      </c>
      <c r="Z34" s="14">
        <v>0.0204</v>
      </c>
      <c r="AB34" s="27">
        <f t="shared" si="2"/>
        <v>0.023933333333333334</v>
      </c>
      <c r="AD34" s="20"/>
      <c r="AE34" s="20"/>
      <c r="AF34" s="20"/>
      <c r="AG34" s="20"/>
      <c r="AH34" s="20"/>
      <c r="AJ34" s="20"/>
    </row>
    <row r="35" spans="2:36" ht="12.75">
      <c r="B35" s="14" t="s">
        <v>141</v>
      </c>
      <c r="D35" s="14" t="s">
        <v>86</v>
      </c>
      <c r="F35" s="14">
        <v>0.0005</v>
      </c>
      <c r="H35" s="14">
        <v>0.0005</v>
      </c>
      <c r="J35" s="14">
        <v>0.0005</v>
      </c>
      <c r="L35" s="14">
        <v>0.0005</v>
      </c>
      <c r="N35" s="14">
        <v>0.725</v>
      </c>
      <c r="P35" s="14">
        <v>0.725</v>
      </c>
      <c r="R35" s="14">
        <v>0.751</v>
      </c>
      <c r="T35" s="27">
        <f>AVERAGE(R35,P35,N35)</f>
        <v>0.7336666666666667</v>
      </c>
      <c r="V35" s="14">
        <v>0.0296</v>
      </c>
      <c r="X35" s="14">
        <v>0.0292</v>
      </c>
      <c r="Z35" s="14">
        <v>0.0302</v>
      </c>
      <c r="AB35" s="27">
        <f t="shared" si="2"/>
        <v>0.029666666666666664</v>
      </c>
      <c r="AD35" s="20"/>
      <c r="AE35" s="20"/>
      <c r="AF35" s="20"/>
      <c r="AG35" s="20"/>
      <c r="AH35" s="20"/>
      <c r="AJ35" s="20"/>
    </row>
    <row r="36" spans="2:36" ht="12.75">
      <c r="B36" s="14" t="s">
        <v>142</v>
      </c>
      <c r="D36" s="14" t="s">
        <v>86</v>
      </c>
      <c r="V36" s="14">
        <v>0.0007</v>
      </c>
      <c r="X36" s="14">
        <v>0.0007</v>
      </c>
      <c r="Z36" s="14">
        <v>0.0007</v>
      </c>
      <c r="AB36" s="27">
        <f t="shared" si="2"/>
        <v>0.0007</v>
      </c>
      <c r="AD36" s="20"/>
      <c r="AE36" s="20"/>
      <c r="AF36" s="20"/>
      <c r="AG36" s="20"/>
      <c r="AH36" s="20"/>
      <c r="AJ36" s="20"/>
    </row>
    <row r="37" spans="2:36" ht="12.75">
      <c r="B37" s="14" t="s">
        <v>157</v>
      </c>
      <c r="D37" s="14" t="s">
        <v>86</v>
      </c>
      <c r="V37" s="14">
        <v>0.0252</v>
      </c>
      <c r="X37" s="14">
        <v>0.0219</v>
      </c>
      <c r="Z37" s="14">
        <v>0.0219</v>
      </c>
      <c r="AB37" s="27">
        <f t="shared" si="2"/>
        <v>0.023000000000000003</v>
      </c>
      <c r="AD37" s="20"/>
      <c r="AE37" s="20"/>
      <c r="AF37" s="20"/>
      <c r="AG37" s="20"/>
      <c r="AH37" s="20"/>
      <c r="AJ37" s="20"/>
    </row>
    <row r="38" spans="2:36" ht="12.75" customHeight="1">
      <c r="B38" s="14" t="s">
        <v>143</v>
      </c>
      <c r="D38" s="14" t="s">
        <v>86</v>
      </c>
      <c r="V38" s="14">
        <v>0.0052</v>
      </c>
      <c r="X38" s="14">
        <v>0.0051</v>
      </c>
      <c r="Z38" s="14">
        <v>0.0053</v>
      </c>
      <c r="AB38" s="27">
        <f t="shared" si="2"/>
        <v>0.0052</v>
      </c>
      <c r="AD38" s="20"/>
      <c r="AE38" s="20"/>
      <c r="AF38" s="20"/>
      <c r="AH38" s="20"/>
      <c r="AJ38" s="20"/>
    </row>
    <row r="39" spans="2:36" ht="12.75" customHeight="1">
      <c r="B39" s="14" t="s">
        <v>144</v>
      </c>
      <c r="D39" s="14" t="s">
        <v>86</v>
      </c>
      <c r="V39" s="14">
        <v>0.148</v>
      </c>
      <c r="X39" s="14">
        <v>0.1459</v>
      </c>
      <c r="Z39" s="14">
        <v>0.1509</v>
      </c>
      <c r="AB39" s="27">
        <f t="shared" si="2"/>
        <v>0.14826666666666666</v>
      </c>
      <c r="AD39" s="20"/>
      <c r="AE39" s="20"/>
      <c r="AF39" s="20"/>
      <c r="AH39" s="20"/>
      <c r="AJ39" s="20"/>
    </row>
    <row r="40" ht="12.75" customHeight="1">
      <c r="AE40" s="20"/>
    </row>
    <row r="41" spans="2:36" ht="12.75">
      <c r="B41" s="14" t="s">
        <v>39</v>
      </c>
      <c r="D41" s="14" t="s">
        <v>15</v>
      </c>
      <c r="F41" s="22">
        <f>emiss!$G$28</f>
        <v>22698</v>
      </c>
      <c r="H41" s="22">
        <f>emiss!$I$28</f>
        <v>22566</v>
      </c>
      <c r="J41" s="22">
        <f>emiss!$K$28</f>
        <v>22485</v>
      </c>
      <c r="L41" s="14">
        <f>emiss!$M$28</f>
        <v>22583</v>
      </c>
      <c r="N41" s="22">
        <f>emiss!$G$28</f>
        <v>22698</v>
      </c>
      <c r="P41" s="22">
        <f>emiss!$I$28</f>
        <v>22566</v>
      </c>
      <c r="R41" s="22">
        <f>emiss!$K$28</f>
        <v>22485</v>
      </c>
      <c r="T41" s="14">
        <f>emiss!$M$28</f>
        <v>22583</v>
      </c>
      <c r="V41" s="22">
        <f>emiss!$G$28</f>
        <v>22698</v>
      </c>
      <c r="X41" s="22">
        <f>emiss!$I$28</f>
        <v>22566</v>
      </c>
      <c r="Z41" s="22">
        <f>emiss!$K$28</f>
        <v>22485</v>
      </c>
      <c r="AB41" s="14">
        <f>emiss!$M$28</f>
        <v>22583</v>
      </c>
      <c r="AD41" s="22">
        <f>emiss!$G$28</f>
        <v>22698</v>
      </c>
      <c r="AF41" s="22">
        <f>emiss!$I$28</f>
        <v>22566</v>
      </c>
      <c r="AH41" s="22">
        <f>emiss!$K$28</f>
        <v>22485</v>
      </c>
      <c r="AJ41" s="14">
        <f>emiss!$M$28</f>
        <v>22583</v>
      </c>
    </row>
    <row r="42" spans="2:36" ht="12.75">
      <c r="B42" s="14" t="s">
        <v>9</v>
      </c>
      <c r="D42" s="14" t="s">
        <v>16</v>
      </c>
      <c r="F42" s="14">
        <f>emiss!$G$29</f>
        <v>8.2</v>
      </c>
      <c r="H42" s="14">
        <f>emiss!$I$29</f>
        <v>8.6</v>
      </c>
      <c r="J42" s="14">
        <f>emiss!$K$29</f>
        <v>8.1</v>
      </c>
      <c r="L42" s="14">
        <f>emiss!$M$29</f>
        <v>8.299999999999999</v>
      </c>
      <c r="N42" s="14">
        <f>emiss!$G$29</f>
        <v>8.2</v>
      </c>
      <c r="P42" s="14">
        <f>emiss!$I$29</f>
        <v>8.6</v>
      </c>
      <c r="R42" s="14">
        <f>emiss!$K$29</f>
        <v>8.1</v>
      </c>
      <c r="T42" s="14">
        <f>emiss!$M$29</f>
        <v>8.299999999999999</v>
      </c>
      <c r="V42" s="14">
        <f>emiss!$G$29</f>
        <v>8.2</v>
      </c>
      <c r="X42" s="14">
        <f>emiss!$I$29</f>
        <v>8.6</v>
      </c>
      <c r="Z42" s="14">
        <f>emiss!$K$29</f>
        <v>8.1</v>
      </c>
      <c r="AB42" s="14">
        <f>emiss!$M$29</f>
        <v>8.299999999999999</v>
      </c>
      <c r="AD42" s="14">
        <f>emiss!$G$29</f>
        <v>8.2</v>
      </c>
      <c r="AF42" s="14">
        <f>emiss!$I$29</f>
        <v>8.6</v>
      </c>
      <c r="AH42" s="14">
        <f>emiss!$K$29</f>
        <v>8.1</v>
      </c>
      <c r="AJ42" s="14">
        <f>emiss!$M$29</f>
        <v>8.299999999999999</v>
      </c>
    </row>
    <row r="43" ht="12.75" customHeight="1">
      <c r="AE43" s="20"/>
    </row>
    <row r="44" spans="2:36" ht="12.75">
      <c r="B44" s="14" t="s">
        <v>40</v>
      </c>
      <c r="D44" s="14" t="s">
        <v>115</v>
      </c>
      <c r="T44" s="21"/>
      <c r="U44" s="21"/>
      <c r="V44" s="21"/>
      <c r="W44" s="21"/>
      <c r="X44" s="21"/>
      <c r="Y44" s="21"/>
      <c r="Z44" s="21"/>
      <c r="AA44" s="21"/>
      <c r="AE44" s="20"/>
      <c r="AJ44" s="19">
        <f>AB41/9000*(21-AB42)/21*60</f>
        <v>91.04892063492063</v>
      </c>
    </row>
    <row r="45" spans="20:31" ht="12.75">
      <c r="T45" s="21"/>
      <c r="U45" s="21"/>
      <c r="V45" s="21"/>
      <c r="W45" s="21"/>
      <c r="X45" s="21"/>
      <c r="Y45" s="21"/>
      <c r="Z45" s="21"/>
      <c r="AA45" s="21"/>
      <c r="AD45" s="19"/>
      <c r="AE45" s="20"/>
    </row>
    <row r="46" spans="2:31" ht="12.75">
      <c r="B46" s="35" t="s">
        <v>124</v>
      </c>
      <c r="C46" s="35"/>
      <c r="T46" s="21"/>
      <c r="U46" s="21"/>
      <c r="V46" s="21"/>
      <c r="W46" s="21"/>
      <c r="X46" s="21"/>
      <c r="Y46" s="21"/>
      <c r="Z46" s="21"/>
      <c r="AA46" s="21"/>
      <c r="AD46" s="19"/>
      <c r="AE46" s="20"/>
    </row>
    <row r="47" spans="2:36" ht="12.75">
      <c r="B47" s="14" t="s">
        <v>8</v>
      </c>
      <c r="D47" s="14" t="s">
        <v>14</v>
      </c>
      <c r="F47" s="22">
        <f>(F27*454*1000/60)/F$41/0.0283*(21-7)/(21-F$42)</f>
        <v>0</v>
      </c>
      <c r="H47" s="22">
        <f>(H27*454*1000/60)/H$41/0.0283*(21-7)/(21-H$42)</f>
        <v>0</v>
      </c>
      <c r="J47" s="22">
        <f>(J27*454*1000/60)/J$41/0.0283*(21-7)/(21-J$42)</f>
        <v>0</v>
      </c>
      <c r="L47" s="22">
        <f>(L27*454*1000/60)/L$41/0.0283*(21-7)/(21-L$42)</f>
        <v>0</v>
      </c>
      <c r="M47" s="21"/>
      <c r="N47" s="22">
        <f>(N27*454*1000/60)/N$41/0.0283*(21-7)/(21-N$42)</f>
        <v>0</v>
      </c>
      <c r="O47" s="21"/>
      <c r="P47" s="22">
        <f>(P27*454*1000/60)/P$41/0.0283*(21-7)/(21-P$42)</f>
        <v>0</v>
      </c>
      <c r="Q47" s="21"/>
      <c r="R47" s="22">
        <f>(R27*454*1000/60)/R$41/0.0283*(21-7)/(21-R$42)</f>
        <v>0</v>
      </c>
      <c r="S47" s="21"/>
      <c r="T47" s="22">
        <f>(T27*454*1000/60)/T$41/0.0283*(21-7)/(21-T$42)</f>
        <v>0</v>
      </c>
      <c r="U47" s="21"/>
      <c r="V47" s="22">
        <f>(V27*454*1000/60)/V$41/0.0283*(21-7)/(21-V$42)</f>
        <v>19068.22890120402</v>
      </c>
      <c r="W47" s="21"/>
      <c r="X47" s="22">
        <f>(X27*454*1000/60)/X$41/0.0283*(21-7)/(21-X$42)</f>
        <v>22447.185222539603</v>
      </c>
      <c r="Y47" s="21"/>
      <c r="Z47" s="22">
        <f>(Z27*454*1000/60)/Z$41/0.0283*(21-7)/(21-Z$42)</f>
        <v>18996.404577259396</v>
      </c>
      <c r="AA47" s="21"/>
      <c r="AB47" s="22">
        <f>(AB27*454*1000/60)/$AB$41/0.0283*(21-7)/(21-$AB$42)</f>
        <v>20142.834453450378</v>
      </c>
      <c r="AC47" s="22"/>
      <c r="AD47" s="22">
        <f aca="true" t="shared" si="3" ref="AD47:AD59">SUM(V47,N47,F47)</f>
        <v>19068.22890120402</v>
      </c>
      <c r="AE47" s="22"/>
      <c r="AF47" s="22">
        <f aca="true" t="shared" si="4" ref="AF47:AF59">SUM(X47,P47,H47)</f>
        <v>22447.185222539603</v>
      </c>
      <c r="AG47" s="22"/>
      <c r="AH47" s="22">
        <f aca="true" t="shared" si="5" ref="AH47:AH59">SUM(Z47,R47,J47)</f>
        <v>18996.404577259396</v>
      </c>
      <c r="AI47" s="22"/>
      <c r="AJ47" s="22">
        <f aca="true" t="shared" si="6" ref="AJ47:AJ59">SUM(AB47,T47,L47)</f>
        <v>20142.834453450378</v>
      </c>
    </row>
    <row r="48" spans="2:36" ht="12.75">
      <c r="B48" s="14" t="s">
        <v>38</v>
      </c>
      <c r="D48" s="14" t="s">
        <v>12</v>
      </c>
      <c r="F48" s="22">
        <f aca="true" t="shared" si="7" ref="F48:F59">(F28*454*1000000/60)/F$41/0.0283*(21-7)/(21-F$42)</f>
        <v>904452.4789625151</v>
      </c>
      <c r="H48" s="22">
        <f aca="true" t="shared" si="8" ref="H48:H59">(H28*454*1000000/60)/H$41/0.0283*(21-7)/(21-H$42)</f>
        <v>979221.6676340282</v>
      </c>
      <c r="J48" s="22">
        <f aca="true" t="shared" si="9" ref="J48:J59">(J28*454*1000000/60)/J$41/0.0283*(21-7)/(21-J$42)</f>
        <v>929171.9630181226</v>
      </c>
      <c r="L48" s="22">
        <f aca="true" t="shared" si="10" ref="L48:L59">(L28*454*1000000/60)/L$41/0.0283*(21-7)/(21-L$42)</f>
        <v>937098.6050266116</v>
      </c>
      <c r="M48" s="22"/>
      <c r="N48" s="22">
        <f aca="true" t="shared" si="11" ref="N48:N59">(N28*454*1000000/60)/N$41/0.0283*(21-7)/(21-N$42)</f>
        <v>0</v>
      </c>
      <c r="O48" s="22"/>
      <c r="P48" s="22">
        <f aca="true" t="shared" si="12" ref="P48:P59">(P28*454*1000000/60)/P$41/0.0283*(21-7)/(21-P$42)</f>
        <v>0</v>
      </c>
      <c r="Q48" s="22"/>
      <c r="R48" s="22">
        <f aca="true" t="shared" si="13" ref="R48:R59">(R28*454*1000000/60)/R$41/0.0283*(21-7)/(21-R$42)</f>
        <v>0</v>
      </c>
      <c r="S48" s="22"/>
      <c r="T48" s="22">
        <f aca="true" t="shared" si="14" ref="T48:T59">(T28*454*1000000/60)/T$41/0.0283*(21-7)/(21-T$42)</f>
        <v>0</v>
      </c>
      <c r="U48" s="22"/>
      <c r="V48" s="22">
        <f>(V28*454*1000000/60)/V$41/0.0283*(21-7)/(21-V$42)</f>
        <v>9534.11445060201</v>
      </c>
      <c r="W48" s="22"/>
      <c r="X48" s="22">
        <f>(X28*454*1000000/60)/X$41/0.0283*(21-7)/(21-X$42)</f>
        <v>12708.477926944352</v>
      </c>
      <c r="Y48" s="22"/>
      <c r="Z48" s="22">
        <f aca="true" t="shared" si="15" ref="Z48:Z59">(Z28*454*1000000/60)/Z$41/0.0283*(21-7)/(21-Z$42)</f>
        <v>18454.38759883216</v>
      </c>
      <c r="AA48" s="22"/>
      <c r="AB48" s="22">
        <f>(AB28*454*1000000/60)/$AB$41/0.0283*(21-7)/(21-$AB$42)</f>
        <v>13573.573109020555</v>
      </c>
      <c r="AC48" s="22"/>
      <c r="AD48" s="22">
        <f t="shared" si="3"/>
        <v>913986.5934131171</v>
      </c>
      <c r="AE48" s="22"/>
      <c r="AF48" s="22">
        <f t="shared" si="4"/>
        <v>991930.1455609726</v>
      </c>
      <c r="AG48" s="22"/>
      <c r="AH48" s="22">
        <f t="shared" si="5"/>
        <v>947626.3506169547</v>
      </c>
      <c r="AI48" s="22"/>
      <c r="AJ48" s="22">
        <f t="shared" si="6"/>
        <v>950672.1781356322</v>
      </c>
    </row>
    <row r="49" spans="2:36" ht="12.75">
      <c r="B49" s="14" t="s">
        <v>133</v>
      </c>
      <c r="D49" s="14" t="s">
        <v>12</v>
      </c>
      <c r="F49" s="19">
        <f t="shared" si="7"/>
        <v>0</v>
      </c>
      <c r="G49" s="19"/>
      <c r="H49" s="19">
        <f t="shared" si="8"/>
        <v>0</v>
      </c>
      <c r="I49" s="19"/>
      <c r="J49" s="19">
        <f t="shared" si="9"/>
        <v>0</v>
      </c>
      <c r="K49" s="19"/>
      <c r="L49" s="19">
        <f t="shared" si="10"/>
        <v>0</v>
      </c>
      <c r="M49" s="19"/>
      <c r="N49" s="22">
        <f t="shared" si="11"/>
        <v>0</v>
      </c>
      <c r="O49" s="19"/>
      <c r="P49" s="22">
        <f t="shared" si="12"/>
        <v>0</v>
      </c>
      <c r="Q49" s="19"/>
      <c r="R49" s="22">
        <f t="shared" si="13"/>
        <v>0</v>
      </c>
      <c r="S49" s="19"/>
      <c r="T49" s="22">
        <f t="shared" si="14"/>
        <v>0</v>
      </c>
      <c r="U49" s="19"/>
      <c r="V49" s="22">
        <f>(V29*454*1000000/60)/V$41/0.0283*(21-7)/(21-V$42)</f>
        <v>1906.822890120402</v>
      </c>
      <c r="W49" s="19"/>
      <c r="X49" s="22">
        <f>(X29*454*1000000/60)/X$41/0.0283*(21-7)/(21-X$42)</f>
        <v>1951.7546626749279</v>
      </c>
      <c r="Y49" s="19"/>
      <c r="Z49" s="22">
        <f t="shared" si="15"/>
        <v>1947.3895724921485</v>
      </c>
      <c r="AA49" s="19"/>
      <c r="AB49" s="22">
        <f aca="true" t="shared" si="16" ref="AB49:AB59">(AB29*454*1000000/60)/$AB$41/0.0283*(21-7)/(21-$AB$42)</f>
        <v>1935.1042688757511</v>
      </c>
      <c r="AC49" s="19"/>
      <c r="AD49" s="22">
        <f t="shared" si="3"/>
        <v>1906.822890120402</v>
      </c>
      <c r="AE49" s="22"/>
      <c r="AF49" s="22">
        <f t="shared" si="4"/>
        <v>1951.7546626749279</v>
      </c>
      <c r="AG49" s="22"/>
      <c r="AH49" s="22">
        <f t="shared" si="5"/>
        <v>1947.3895724921485</v>
      </c>
      <c r="AI49" s="22"/>
      <c r="AJ49" s="22">
        <f t="shared" si="6"/>
        <v>1935.1042688757511</v>
      </c>
    </row>
    <row r="50" spans="2:36" ht="12.75">
      <c r="B50" s="14" t="s">
        <v>135</v>
      </c>
      <c r="D50" s="14" t="s">
        <v>12</v>
      </c>
      <c r="F50" s="19">
        <f t="shared" si="7"/>
        <v>19.32590767013921</v>
      </c>
      <c r="G50" s="19"/>
      <c r="H50" s="19">
        <f t="shared" si="8"/>
        <v>88.29047822929762</v>
      </c>
      <c r="I50" s="19"/>
      <c r="J50" s="19">
        <f t="shared" si="9"/>
        <v>18.067232614241274</v>
      </c>
      <c r="K50" s="19"/>
      <c r="L50" s="19">
        <f t="shared" si="10"/>
        <v>41.32978991528696</v>
      </c>
      <c r="M50" s="19"/>
      <c r="N50" s="22">
        <f t="shared" si="11"/>
        <v>2834.466458287084</v>
      </c>
      <c r="O50" s="19"/>
      <c r="P50" s="22">
        <f t="shared" si="12"/>
        <v>2943.0159409765874</v>
      </c>
      <c r="Q50" s="19"/>
      <c r="R50" s="22">
        <f t="shared" si="13"/>
        <v>2942.3778828907216</v>
      </c>
      <c r="S50" s="19"/>
      <c r="T50" s="22">
        <f t="shared" si="14"/>
        <v>2906.136806674915</v>
      </c>
      <c r="U50" s="19"/>
      <c r="V50" s="22">
        <f aca="true" t="shared" si="17" ref="V50:X59">(V30*454*1000000/60)/V$41/0.0283*(21-7)/(21-V$42)</f>
        <v>476.7057225301005</v>
      </c>
      <c r="W50" s="19"/>
      <c r="X50" s="22">
        <f t="shared" si="17"/>
        <v>488.2730992983883</v>
      </c>
      <c r="Y50" s="19"/>
      <c r="Z50" s="22">
        <f t="shared" si="15"/>
        <v>486.52476396921134</v>
      </c>
      <c r="AA50" s="19"/>
      <c r="AB50" s="22">
        <f t="shared" si="16"/>
        <v>483.7760672189378</v>
      </c>
      <c r="AC50" s="19"/>
      <c r="AD50" s="22">
        <f t="shared" si="3"/>
        <v>3330.498088487324</v>
      </c>
      <c r="AE50" s="22"/>
      <c r="AF50" s="22">
        <f t="shared" si="4"/>
        <v>3519.5795185042734</v>
      </c>
      <c r="AG50" s="22"/>
      <c r="AH50" s="22">
        <f t="shared" si="5"/>
        <v>3446.9698794741744</v>
      </c>
      <c r="AI50" s="22"/>
      <c r="AJ50" s="22">
        <f t="shared" si="6"/>
        <v>3431.24266380914</v>
      </c>
    </row>
    <row r="51" spans="2:36" ht="12.75">
      <c r="B51" s="14" t="s">
        <v>137</v>
      </c>
      <c r="D51" s="14" t="s">
        <v>12</v>
      </c>
      <c r="F51" s="19">
        <f t="shared" si="7"/>
        <v>0</v>
      </c>
      <c r="G51" s="19"/>
      <c r="H51" s="19">
        <f t="shared" si="8"/>
        <v>0</v>
      </c>
      <c r="I51" s="19"/>
      <c r="J51" s="19">
        <f t="shared" si="9"/>
        <v>0</v>
      </c>
      <c r="K51" s="19"/>
      <c r="L51" s="19">
        <f t="shared" si="10"/>
        <v>0</v>
      </c>
      <c r="M51" s="19"/>
      <c r="N51" s="22">
        <f t="shared" si="11"/>
        <v>0</v>
      </c>
      <c r="O51" s="19"/>
      <c r="P51" s="22">
        <f t="shared" si="12"/>
        <v>0</v>
      </c>
      <c r="Q51" s="19"/>
      <c r="R51" s="22">
        <f t="shared" si="13"/>
        <v>0</v>
      </c>
      <c r="S51" s="19"/>
      <c r="T51" s="22">
        <f t="shared" si="14"/>
        <v>0</v>
      </c>
      <c r="U51" s="19"/>
      <c r="V51" s="22">
        <f t="shared" si="17"/>
        <v>12393.060391937937</v>
      </c>
      <c r="W51" s="19"/>
      <c r="X51" s="22">
        <f t="shared" si="17"/>
        <v>10735.319511971413</v>
      </c>
      <c r="Y51" s="19"/>
      <c r="Z51" s="22">
        <f t="shared" si="15"/>
        <v>9739.52889569135</v>
      </c>
      <c r="AA51" s="19"/>
      <c r="AB51" s="22">
        <f t="shared" si="16"/>
        <v>10959.355134273617</v>
      </c>
      <c r="AC51" s="19"/>
      <c r="AD51" s="22">
        <f t="shared" si="3"/>
        <v>12393.060391937937</v>
      </c>
      <c r="AE51" s="22"/>
      <c r="AF51" s="22">
        <f t="shared" si="4"/>
        <v>10735.319511971413</v>
      </c>
      <c r="AG51" s="22"/>
      <c r="AH51" s="22">
        <f t="shared" si="5"/>
        <v>9739.52889569135</v>
      </c>
      <c r="AI51" s="22"/>
      <c r="AJ51" s="22">
        <f t="shared" si="6"/>
        <v>10959.355134273617</v>
      </c>
    </row>
    <row r="52" spans="2:36" ht="12.75">
      <c r="B52" s="14" t="s">
        <v>138</v>
      </c>
      <c r="D52" s="14" t="s">
        <v>12</v>
      </c>
      <c r="F52" s="19">
        <f t="shared" si="7"/>
        <v>1.2883938446759473</v>
      </c>
      <c r="G52" s="19"/>
      <c r="H52" s="19">
        <f t="shared" si="8"/>
        <v>4.013203555877164</v>
      </c>
      <c r="I52" s="19"/>
      <c r="J52" s="19">
        <f t="shared" si="9"/>
        <v>6.194479753454151</v>
      </c>
      <c r="K52" s="19"/>
      <c r="L52" s="19">
        <f t="shared" si="10"/>
        <v>3.871948739432147</v>
      </c>
      <c r="M52" s="19"/>
      <c r="N52" s="22">
        <f t="shared" si="11"/>
        <v>193.25907670139208</v>
      </c>
      <c r="O52" s="19"/>
      <c r="P52" s="22">
        <f t="shared" si="12"/>
        <v>200.6601777938582</v>
      </c>
      <c r="Q52" s="19"/>
      <c r="R52" s="22">
        <f t="shared" si="13"/>
        <v>193.57749229544223</v>
      </c>
      <c r="S52" s="19"/>
      <c r="T52" s="22">
        <f t="shared" si="14"/>
        <v>195.7726890724119</v>
      </c>
      <c r="U52" s="19"/>
      <c r="V52" s="22">
        <f t="shared" si="17"/>
        <v>15.46072613611137</v>
      </c>
      <c r="W52" s="19"/>
      <c r="X52" s="22">
        <f t="shared" si="17"/>
        <v>13.377345186257214</v>
      </c>
      <c r="Y52" s="19"/>
      <c r="Z52" s="22">
        <f t="shared" si="15"/>
        <v>14.195682768332432</v>
      </c>
      <c r="AA52" s="19"/>
      <c r="AB52" s="22">
        <f t="shared" si="16"/>
        <v>14.356663865310209</v>
      </c>
      <c r="AC52" s="19"/>
      <c r="AD52" s="22">
        <f t="shared" si="3"/>
        <v>210.00819668217937</v>
      </c>
      <c r="AE52" s="22"/>
      <c r="AF52" s="22">
        <f t="shared" si="4"/>
        <v>218.05072653599257</v>
      </c>
      <c r="AG52" s="22"/>
      <c r="AH52" s="22">
        <f t="shared" si="5"/>
        <v>213.9676548172288</v>
      </c>
      <c r="AI52" s="22"/>
      <c r="AJ52" s="22">
        <f t="shared" si="6"/>
        <v>214.00130167715426</v>
      </c>
    </row>
    <row r="53" spans="2:36" ht="12.75">
      <c r="B53" s="14" t="s">
        <v>139</v>
      </c>
      <c r="D53" s="14" t="s">
        <v>12</v>
      </c>
      <c r="F53" s="19">
        <f t="shared" si="7"/>
        <v>0</v>
      </c>
      <c r="G53" s="19"/>
      <c r="H53" s="19">
        <f t="shared" si="8"/>
        <v>0</v>
      </c>
      <c r="I53" s="19"/>
      <c r="J53" s="19">
        <f t="shared" si="9"/>
        <v>0</v>
      </c>
      <c r="K53" s="19"/>
      <c r="L53" s="19">
        <f t="shared" si="10"/>
        <v>0</v>
      </c>
      <c r="M53" s="19"/>
      <c r="N53" s="22">
        <f t="shared" si="11"/>
        <v>0</v>
      </c>
      <c r="O53" s="19"/>
      <c r="P53" s="22">
        <f t="shared" si="12"/>
        <v>0</v>
      </c>
      <c r="Q53" s="19"/>
      <c r="R53" s="22">
        <f t="shared" si="13"/>
        <v>0</v>
      </c>
      <c r="S53" s="19"/>
      <c r="T53" s="22">
        <f t="shared" si="14"/>
        <v>0</v>
      </c>
      <c r="U53" s="19"/>
      <c r="V53" s="22">
        <f t="shared" si="17"/>
        <v>38.65181534027842</v>
      </c>
      <c r="W53" s="19"/>
      <c r="X53" s="22">
        <f t="shared" si="17"/>
        <v>38.79430104014592</v>
      </c>
      <c r="Y53" s="19"/>
      <c r="Z53" s="22">
        <f t="shared" si="15"/>
        <v>38.715498459088444</v>
      </c>
      <c r="AA53" s="19"/>
      <c r="AB53" s="22">
        <f t="shared" si="16"/>
        <v>38.71948739432147</v>
      </c>
      <c r="AC53" s="19"/>
      <c r="AD53" s="22">
        <f t="shared" si="3"/>
        <v>38.65181534027842</v>
      </c>
      <c r="AE53" s="22"/>
      <c r="AF53" s="22">
        <f t="shared" si="4"/>
        <v>38.79430104014592</v>
      </c>
      <c r="AG53" s="22"/>
      <c r="AH53" s="22">
        <f t="shared" si="5"/>
        <v>38.715498459088444</v>
      </c>
      <c r="AI53" s="22"/>
      <c r="AJ53" s="22">
        <f t="shared" si="6"/>
        <v>38.71948739432147</v>
      </c>
    </row>
    <row r="54" spans="2:36" ht="12.75">
      <c r="B54" s="14" t="s">
        <v>140</v>
      </c>
      <c r="D54" s="14" t="s">
        <v>12</v>
      </c>
      <c r="F54" s="19">
        <f t="shared" si="7"/>
        <v>1.2883938446759473</v>
      </c>
      <c r="G54" s="19"/>
      <c r="H54" s="19">
        <f t="shared" si="8"/>
        <v>1.3377345186257215</v>
      </c>
      <c r="I54" s="19"/>
      <c r="J54" s="19">
        <f t="shared" si="9"/>
        <v>1.2905166153029481</v>
      </c>
      <c r="K54" s="19"/>
      <c r="L54" s="19">
        <f t="shared" si="10"/>
        <v>1.305151260482746</v>
      </c>
      <c r="M54" s="19"/>
      <c r="N54" s="22">
        <f t="shared" si="11"/>
        <v>11531.124909849728</v>
      </c>
      <c r="O54" s="19"/>
      <c r="P54" s="22">
        <f t="shared" si="12"/>
        <v>11972.72394170021</v>
      </c>
      <c r="Q54" s="19"/>
      <c r="R54" s="22">
        <f t="shared" si="13"/>
        <v>11975.994190011359</v>
      </c>
      <c r="S54" s="19"/>
      <c r="T54" s="22">
        <f t="shared" si="14"/>
        <v>11824.67041997368</v>
      </c>
      <c r="U54" s="19"/>
      <c r="V54" s="22">
        <f t="shared" si="17"/>
        <v>362.03867035394126</v>
      </c>
      <c r="W54" s="19"/>
      <c r="X54" s="22">
        <f t="shared" si="17"/>
        <v>311.69214283979306</v>
      </c>
      <c r="Y54" s="19"/>
      <c r="Z54" s="22">
        <f t="shared" si="15"/>
        <v>263.26538952180147</v>
      </c>
      <c r="AA54" s="19"/>
      <c r="AB54" s="22">
        <f t="shared" si="16"/>
        <v>312.3662016755371</v>
      </c>
      <c r="AC54" s="19"/>
      <c r="AD54" s="22">
        <f t="shared" si="3"/>
        <v>11894.451974048345</v>
      </c>
      <c r="AE54" s="22"/>
      <c r="AF54" s="22">
        <f t="shared" si="4"/>
        <v>12285.753819058627</v>
      </c>
      <c r="AG54" s="22"/>
      <c r="AH54" s="22">
        <f t="shared" si="5"/>
        <v>12240.550096148463</v>
      </c>
      <c r="AI54" s="22"/>
      <c r="AJ54" s="22">
        <f t="shared" si="6"/>
        <v>12138.3417729097</v>
      </c>
    </row>
    <row r="55" spans="2:36" ht="12.75">
      <c r="B55" s="14" t="s">
        <v>141</v>
      </c>
      <c r="D55" s="14" t="s">
        <v>12</v>
      </c>
      <c r="F55" s="19">
        <f t="shared" si="7"/>
        <v>6.441969223379737</v>
      </c>
      <c r="G55" s="19"/>
      <c r="H55" s="19">
        <f t="shared" si="8"/>
        <v>6.688672593128607</v>
      </c>
      <c r="I55" s="19"/>
      <c r="J55" s="19">
        <f t="shared" si="9"/>
        <v>6.452583076514741</v>
      </c>
      <c r="K55" s="19"/>
      <c r="L55" s="19">
        <f t="shared" si="10"/>
        <v>6.525756302413729</v>
      </c>
      <c r="M55" s="19"/>
      <c r="N55" s="22">
        <f t="shared" si="11"/>
        <v>9340.855373900617</v>
      </c>
      <c r="O55" s="19"/>
      <c r="P55" s="22">
        <f t="shared" si="12"/>
        <v>9698.57526003648</v>
      </c>
      <c r="Q55" s="19"/>
      <c r="R55" s="22">
        <f t="shared" si="13"/>
        <v>9691.77978092514</v>
      </c>
      <c r="S55" s="19"/>
      <c r="T55" s="22">
        <f t="shared" si="14"/>
        <v>9575.459747741745</v>
      </c>
      <c r="U55" s="19"/>
      <c r="V55" s="22">
        <f t="shared" si="17"/>
        <v>381.36457802408046</v>
      </c>
      <c r="W55" s="19"/>
      <c r="X55" s="22">
        <f t="shared" si="17"/>
        <v>390.61847943871066</v>
      </c>
      <c r="Y55" s="19"/>
      <c r="Z55" s="22">
        <f t="shared" si="15"/>
        <v>389.73601782149035</v>
      </c>
      <c r="AA55" s="19"/>
      <c r="AB55" s="22">
        <f t="shared" si="16"/>
        <v>387.19487394321465</v>
      </c>
      <c r="AC55" s="19"/>
      <c r="AD55" s="22">
        <f t="shared" si="3"/>
        <v>9728.661921148077</v>
      </c>
      <c r="AE55" s="22"/>
      <c r="AF55" s="22">
        <f t="shared" si="4"/>
        <v>10095.882412068318</v>
      </c>
      <c r="AG55" s="22"/>
      <c r="AH55" s="22">
        <f t="shared" si="5"/>
        <v>10087.968381823144</v>
      </c>
      <c r="AI55" s="22"/>
      <c r="AJ55" s="22">
        <f t="shared" si="6"/>
        <v>9969.180377987374</v>
      </c>
    </row>
    <row r="56" spans="2:36" ht="12.75">
      <c r="B56" s="14" t="s">
        <v>142</v>
      </c>
      <c r="D56" s="14" t="s">
        <v>12</v>
      </c>
      <c r="F56" s="19">
        <f t="shared" si="7"/>
        <v>0</v>
      </c>
      <c r="G56" s="19"/>
      <c r="H56" s="19">
        <f t="shared" si="8"/>
        <v>0</v>
      </c>
      <c r="I56" s="19"/>
      <c r="J56" s="19">
        <f t="shared" si="9"/>
        <v>0</v>
      </c>
      <c r="K56" s="19"/>
      <c r="L56" s="19">
        <f t="shared" si="10"/>
        <v>0</v>
      </c>
      <c r="M56" s="19"/>
      <c r="N56" s="22">
        <f t="shared" si="11"/>
        <v>0</v>
      </c>
      <c r="O56" s="19"/>
      <c r="P56" s="22">
        <f t="shared" si="12"/>
        <v>0</v>
      </c>
      <c r="Q56" s="19"/>
      <c r="R56" s="22">
        <f t="shared" si="13"/>
        <v>0</v>
      </c>
      <c r="S56" s="19"/>
      <c r="T56" s="22">
        <f t="shared" si="14"/>
        <v>0</v>
      </c>
      <c r="U56" s="19"/>
      <c r="V56" s="22">
        <f t="shared" si="17"/>
        <v>9.01875691273163</v>
      </c>
      <c r="W56" s="19"/>
      <c r="X56" s="22">
        <f t="shared" si="17"/>
        <v>9.36414163038005</v>
      </c>
      <c r="Y56" s="19"/>
      <c r="Z56" s="22">
        <f t="shared" si="15"/>
        <v>9.033616307120637</v>
      </c>
      <c r="AA56" s="19"/>
      <c r="AB56" s="22">
        <f t="shared" si="16"/>
        <v>9.136058823379223</v>
      </c>
      <c r="AC56" s="19"/>
      <c r="AD56" s="22">
        <f t="shared" si="3"/>
        <v>9.01875691273163</v>
      </c>
      <c r="AE56" s="22"/>
      <c r="AF56" s="22">
        <f t="shared" si="4"/>
        <v>9.36414163038005</v>
      </c>
      <c r="AG56" s="22"/>
      <c r="AH56" s="22">
        <f t="shared" si="5"/>
        <v>9.033616307120637</v>
      </c>
      <c r="AI56" s="22"/>
      <c r="AJ56" s="22">
        <f t="shared" si="6"/>
        <v>9.136058823379223</v>
      </c>
    </row>
    <row r="57" spans="2:36" ht="12.75">
      <c r="B57" s="14" t="s">
        <v>157</v>
      </c>
      <c r="D57" s="14" t="s">
        <v>12</v>
      </c>
      <c r="F57" s="19">
        <f t="shared" si="7"/>
        <v>0</v>
      </c>
      <c r="G57" s="19"/>
      <c r="H57" s="19">
        <f t="shared" si="8"/>
        <v>0</v>
      </c>
      <c r="I57" s="19"/>
      <c r="J57" s="19">
        <f t="shared" si="9"/>
        <v>0</v>
      </c>
      <c r="K57" s="19"/>
      <c r="L57" s="19">
        <f t="shared" si="10"/>
        <v>0</v>
      </c>
      <c r="M57" s="19"/>
      <c r="N57" s="22">
        <f t="shared" si="11"/>
        <v>0</v>
      </c>
      <c r="O57" s="19"/>
      <c r="P57" s="22">
        <f t="shared" si="12"/>
        <v>0</v>
      </c>
      <c r="Q57" s="19"/>
      <c r="R57" s="22">
        <f t="shared" si="13"/>
        <v>0</v>
      </c>
      <c r="S57" s="19"/>
      <c r="T57" s="22">
        <f t="shared" si="14"/>
        <v>0</v>
      </c>
      <c r="U57" s="19"/>
      <c r="V57" s="22">
        <f t="shared" si="17"/>
        <v>324.6752488583387</v>
      </c>
      <c r="W57" s="19"/>
      <c r="X57" s="22">
        <f t="shared" si="17"/>
        <v>292.963859579033</v>
      </c>
      <c r="Y57" s="19"/>
      <c r="Z57" s="22">
        <f t="shared" si="15"/>
        <v>282.62313875134566</v>
      </c>
      <c r="AA57" s="19"/>
      <c r="AB57" s="22">
        <f t="shared" si="16"/>
        <v>300.18478991103166</v>
      </c>
      <c r="AC57" s="19"/>
      <c r="AD57" s="22">
        <f t="shared" si="3"/>
        <v>324.6752488583387</v>
      </c>
      <c r="AE57" s="22"/>
      <c r="AF57" s="22">
        <f t="shared" si="4"/>
        <v>292.963859579033</v>
      </c>
      <c r="AG57" s="22"/>
      <c r="AH57" s="22">
        <f t="shared" si="5"/>
        <v>282.62313875134566</v>
      </c>
      <c r="AI57" s="22"/>
      <c r="AJ57" s="22">
        <f t="shared" si="6"/>
        <v>300.18478991103166</v>
      </c>
    </row>
    <row r="58" spans="2:36" ht="12.75">
      <c r="B58" s="14" t="s">
        <v>143</v>
      </c>
      <c r="D58" s="14" t="s">
        <v>12</v>
      </c>
      <c r="F58" s="19">
        <f t="shared" si="7"/>
        <v>0</v>
      </c>
      <c r="G58" s="19"/>
      <c r="H58" s="19">
        <f t="shared" si="8"/>
        <v>0</v>
      </c>
      <c r="I58" s="19"/>
      <c r="J58" s="19">
        <f t="shared" si="9"/>
        <v>0</v>
      </c>
      <c r="K58" s="19"/>
      <c r="L58" s="19">
        <f t="shared" si="10"/>
        <v>0</v>
      </c>
      <c r="M58" s="19"/>
      <c r="N58" s="22">
        <f t="shared" si="11"/>
        <v>0</v>
      </c>
      <c r="O58" s="19"/>
      <c r="P58" s="22">
        <f t="shared" si="12"/>
        <v>0</v>
      </c>
      <c r="Q58" s="19"/>
      <c r="R58" s="22">
        <f t="shared" si="13"/>
        <v>0</v>
      </c>
      <c r="S58" s="19"/>
      <c r="T58" s="22">
        <f t="shared" si="14"/>
        <v>0</v>
      </c>
      <c r="U58" s="19"/>
      <c r="V58" s="22">
        <f t="shared" si="17"/>
        <v>66.99647992314925</v>
      </c>
      <c r="W58" s="19"/>
      <c r="X58" s="22">
        <f t="shared" si="17"/>
        <v>68.2244604499118</v>
      </c>
      <c r="Y58" s="19"/>
      <c r="Z58" s="22">
        <f t="shared" si="15"/>
        <v>68.39738061105625</v>
      </c>
      <c r="AA58" s="19"/>
      <c r="AB58" s="22">
        <f t="shared" si="16"/>
        <v>67.86786554510279</v>
      </c>
      <c r="AC58" s="19"/>
      <c r="AD58" s="22">
        <f t="shared" si="3"/>
        <v>66.99647992314925</v>
      </c>
      <c r="AE58" s="22"/>
      <c r="AF58" s="22">
        <f t="shared" si="4"/>
        <v>68.2244604499118</v>
      </c>
      <c r="AG58" s="22"/>
      <c r="AH58" s="22">
        <f t="shared" si="5"/>
        <v>68.39738061105625</v>
      </c>
      <c r="AI58" s="22"/>
      <c r="AJ58" s="22">
        <f t="shared" si="6"/>
        <v>67.86786554510279</v>
      </c>
    </row>
    <row r="59" spans="1:256" ht="12.75">
      <c r="A59" s="19"/>
      <c r="B59" s="14" t="s">
        <v>144</v>
      </c>
      <c r="C59" s="19"/>
      <c r="D59" s="14" t="s">
        <v>12</v>
      </c>
      <c r="E59" s="19"/>
      <c r="F59" s="19">
        <f t="shared" si="7"/>
        <v>0</v>
      </c>
      <c r="G59" s="19"/>
      <c r="H59" s="19">
        <f t="shared" si="8"/>
        <v>0</v>
      </c>
      <c r="I59" s="19"/>
      <c r="J59" s="19">
        <f t="shared" si="9"/>
        <v>0</v>
      </c>
      <c r="K59" s="19"/>
      <c r="L59" s="19">
        <f t="shared" si="10"/>
        <v>0</v>
      </c>
      <c r="M59" s="19"/>
      <c r="N59" s="22">
        <f t="shared" si="11"/>
        <v>0</v>
      </c>
      <c r="O59" s="19"/>
      <c r="P59" s="22">
        <f t="shared" si="12"/>
        <v>0</v>
      </c>
      <c r="Q59" s="19"/>
      <c r="R59" s="22">
        <f t="shared" si="13"/>
        <v>0</v>
      </c>
      <c r="S59" s="19"/>
      <c r="T59" s="22">
        <f t="shared" si="14"/>
        <v>0</v>
      </c>
      <c r="U59" s="19"/>
      <c r="V59" s="22">
        <f t="shared" si="17"/>
        <v>1906.822890120402</v>
      </c>
      <c r="W59" s="19"/>
      <c r="X59" s="22">
        <f t="shared" si="17"/>
        <v>1951.7546626749279</v>
      </c>
      <c r="Y59" s="19"/>
      <c r="Z59" s="22">
        <f t="shared" si="15"/>
        <v>1947.3895724921485</v>
      </c>
      <c r="AA59" s="19"/>
      <c r="AB59" s="22">
        <f t="shared" si="16"/>
        <v>1935.1042688757511</v>
      </c>
      <c r="AC59" s="19"/>
      <c r="AD59" s="22">
        <f t="shared" si="3"/>
        <v>1906.822890120402</v>
      </c>
      <c r="AE59" s="22"/>
      <c r="AF59" s="22">
        <f t="shared" si="4"/>
        <v>1951.7546626749279</v>
      </c>
      <c r="AG59" s="22"/>
      <c r="AH59" s="22">
        <f t="shared" si="5"/>
        <v>1947.3895724921485</v>
      </c>
      <c r="AI59" s="22"/>
      <c r="AJ59" s="22">
        <f t="shared" si="6"/>
        <v>1935.1042688757511</v>
      </c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ht="12.75">
      <c r="A60" s="19"/>
      <c r="C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22"/>
      <c r="W60" s="19"/>
      <c r="X60" s="22"/>
      <c r="Y60" s="19"/>
      <c r="Z60" s="22"/>
      <c r="AA60" s="19"/>
      <c r="AB60" s="22"/>
      <c r="AC60" s="19"/>
      <c r="AD60" s="22"/>
      <c r="AE60" s="22"/>
      <c r="AF60" s="22"/>
      <c r="AG60" s="22"/>
      <c r="AH60" s="22"/>
      <c r="AI60" s="22"/>
      <c r="AJ60" s="22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2:36" ht="12.75">
      <c r="B61" s="14" t="s">
        <v>5</v>
      </c>
      <c r="D61" s="14" t="s">
        <v>12</v>
      </c>
      <c r="F61" s="19">
        <f>SUM(F53,F55)</f>
        <v>6.441969223379737</v>
      </c>
      <c r="H61" s="19">
        <f>SUM(H53,H55)</f>
        <v>6.688672593128607</v>
      </c>
      <c r="J61" s="19">
        <f>SUM(J53,J55)</f>
        <v>6.452583076514741</v>
      </c>
      <c r="L61" s="19">
        <f>SUM(L53,L55)</f>
        <v>6.525756302413729</v>
      </c>
      <c r="M61" s="19"/>
      <c r="N61" s="22">
        <f>SUM(N53,N55)</f>
        <v>9340.855373900617</v>
      </c>
      <c r="O61" s="22"/>
      <c r="P61" s="22">
        <f>SUM(P53,P55)</f>
        <v>9698.57526003648</v>
      </c>
      <c r="Q61" s="22"/>
      <c r="R61" s="22">
        <f>SUM(R53,R55)</f>
        <v>9691.77978092514</v>
      </c>
      <c r="S61" s="22"/>
      <c r="T61" s="22">
        <f>SUM(T53,T55)</f>
        <v>9575.459747741745</v>
      </c>
      <c r="U61" s="19"/>
      <c r="V61" s="19">
        <f>SUM(V53,V55)</f>
        <v>420.01639336435886</v>
      </c>
      <c r="W61" s="19"/>
      <c r="X61" s="19">
        <f>SUM(X53,X55)</f>
        <v>429.4127804788566</v>
      </c>
      <c r="Y61" s="19"/>
      <c r="Z61" s="19">
        <f>SUM(Z53,Z55)</f>
        <v>428.4515162805788</v>
      </c>
      <c r="AA61" s="19"/>
      <c r="AB61" s="19">
        <f>SUM(AB53,AB55)</f>
        <v>425.9143613375361</v>
      </c>
      <c r="AC61" s="19"/>
      <c r="AD61" s="22">
        <f>SUM(V61,N61,F61)</f>
        <v>9767.313736488355</v>
      </c>
      <c r="AE61" s="22"/>
      <c r="AF61" s="22">
        <f>SUM(X61,P61,H61)</f>
        <v>10134.676713108465</v>
      </c>
      <c r="AG61" s="22"/>
      <c r="AH61" s="22">
        <f>SUM(Z61,R61,J61)</f>
        <v>10126.683880282233</v>
      </c>
      <c r="AI61" s="22"/>
      <c r="AJ61" s="22">
        <f>SUM(AB61,T61,L61)</f>
        <v>10007.899865381694</v>
      </c>
    </row>
    <row r="62" spans="2:36" ht="12.75">
      <c r="B62" s="14" t="s">
        <v>6</v>
      </c>
      <c r="D62" s="14" t="s">
        <v>12</v>
      </c>
      <c r="F62" s="19">
        <f>SUM(F54,F50,F52)</f>
        <v>21.902695359491105</v>
      </c>
      <c r="H62" s="19">
        <f>SUM(H54,H50,H52)</f>
        <v>93.64141630380051</v>
      </c>
      <c r="J62" s="19">
        <f>SUM(J54,J50,J52)</f>
        <v>25.552228982998372</v>
      </c>
      <c r="L62" s="19">
        <f>SUM(L54,L50,L52)</f>
        <v>46.50688991520185</v>
      </c>
      <c r="M62" s="19"/>
      <c r="N62" s="22">
        <f>SUM(N54,N50,N52)</f>
        <v>14558.850444838205</v>
      </c>
      <c r="O62" s="22"/>
      <c r="P62" s="22">
        <f>SUM(P54,P50,P52)</f>
        <v>15116.400060470654</v>
      </c>
      <c r="Q62" s="22"/>
      <c r="R62" s="22">
        <f>SUM(R54,R50,R52)</f>
        <v>15111.949565197523</v>
      </c>
      <c r="S62" s="22"/>
      <c r="T62" s="22">
        <f>SUM(T54,T50,T52)</f>
        <v>14926.579915721006</v>
      </c>
      <c r="U62" s="19"/>
      <c r="V62" s="19">
        <f>SUM(V54,V50,V52)</f>
        <v>854.2051190201531</v>
      </c>
      <c r="W62" s="19"/>
      <c r="X62" s="19">
        <f>SUM(X54,X50,X52)</f>
        <v>813.3425873244386</v>
      </c>
      <c r="Y62" s="19"/>
      <c r="Z62" s="19">
        <f>SUM(Z54,Z50,Z52)</f>
        <v>763.9858362593452</v>
      </c>
      <c r="AA62" s="19"/>
      <c r="AB62" s="19">
        <f>SUM(AB54,AB50,AB52)</f>
        <v>810.4989327597851</v>
      </c>
      <c r="AC62" s="19"/>
      <c r="AD62" s="22">
        <f>SUM(V62,N62,F62)</f>
        <v>15434.958259217849</v>
      </c>
      <c r="AE62" s="22"/>
      <c r="AF62" s="22">
        <f>SUM(X62,P62,H62)</f>
        <v>16023.384064098893</v>
      </c>
      <c r="AG62" s="22"/>
      <c r="AH62" s="22">
        <f>SUM(Z62,R62,J62)</f>
        <v>15901.487630439868</v>
      </c>
      <c r="AI62" s="22"/>
      <c r="AJ62" s="22">
        <f>SUM(AB62,T62,L62)</f>
        <v>15783.585738395992</v>
      </c>
    </row>
    <row r="63" spans="30:36" ht="12.75">
      <c r="AD63" s="20"/>
      <c r="AE63" s="20"/>
      <c r="AF63" s="20"/>
      <c r="AH63" s="20"/>
      <c r="AJ63" s="20"/>
    </row>
    <row r="64" spans="2:3" ht="12.75">
      <c r="B64" s="13" t="s">
        <v>171</v>
      </c>
      <c r="C64" s="13"/>
    </row>
    <row r="66" spans="2:19" ht="12.75">
      <c r="B66" s="14" t="s">
        <v>133</v>
      </c>
      <c r="D66" s="14" t="s">
        <v>134</v>
      </c>
      <c r="L66" s="22">
        <f>8.9*453.6</f>
        <v>4037.0400000000004</v>
      </c>
      <c r="M66" s="22"/>
      <c r="N66" s="22"/>
      <c r="O66" s="22"/>
      <c r="P66" s="22"/>
      <c r="Q66" s="22"/>
      <c r="R66" s="22"/>
      <c r="S66" s="22"/>
    </row>
    <row r="67" spans="2:12" ht="12.75">
      <c r="B67" s="14" t="s">
        <v>135</v>
      </c>
      <c r="D67" s="14" t="s">
        <v>134</v>
      </c>
      <c r="L67" s="14" t="s">
        <v>136</v>
      </c>
    </row>
    <row r="68" spans="2:19" ht="12.75">
      <c r="B68" s="14" t="s">
        <v>137</v>
      </c>
      <c r="D68" s="14" t="s">
        <v>134</v>
      </c>
      <c r="L68" s="17">
        <f>1478*453.6</f>
        <v>670420.8</v>
      </c>
      <c r="M68" s="17"/>
      <c r="N68" s="17"/>
      <c r="O68" s="17"/>
      <c r="P68" s="17"/>
      <c r="Q68" s="17"/>
      <c r="R68" s="17"/>
      <c r="S68" s="17"/>
    </row>
    <row r="69" spans="2:12" ht="12.75">
      <c r="B69" s="14" t="s">
        <v>138</v>
      </c>
      <c r="D69" s="14" t="s">
        <v>134</v>
      </c>
      <c r="L69" s="14" t="s">
        <v>136</v>
      </c>
    </row>
    <row r="70" spans="2:19" ht="12.75">
      <c r="B70" s="14" t="s">
        <v>139</v>
      </c>
      <c r="D70" s="14" t="s">
        <v>134</v>
      </c>
      <c r="L70" s="19">
        <f>0.069*453.6</f>
        <v>31.298400000000004</v>
      </c>
      <c r="M70" s="19"/>
      <c r="N70" s="19"/>
      <c r="O70" s="19"/>
      <c r="P70" s="19"/>
      <c r="Q70" s="19"/>
      <c r="R70" s="19"/>
      <c r="S70" s="19"/>
    </row>
    <row r="71" spans="2:12" ht="12.75">
      <c r="B71" s="14" t="s">
        <v>140</v>
      </c>
      <c r="D71" s="14" t="s">
        <v>134</v>
      </c>
      <c r="L71" s="14" t="s">
        <v>136</v>
      </c>
    </row>
    <row r="72" spans="2:19" ht="12.75">
      <c r="B72" s="14" t="s">
        <v>141</v>
      </c>
      <c r="D72" s="14" t="s">
        <v>134</v>
      </c>
      <c r="L72" s="22">
        <f>2.7*453.6</f>
        <v>1224.7200000000003</v>
      </c>
      <c r="M72" s="22"/>
      <c r="N72" s="22"/>
      <c r="O72" s="22"/>
      <c r="P72" s="22"/>
      <c r="Q72" s="22"/>
      <c r="R72" s="22"/>
      <c r="S72" s="22"/>
    </row>
    <row r="73" spans="2:19" ht="12.75">
      <c r="B73" s="14" t="s">
        <v>142</v>
      </c>
      <c r="D73" s="14" t="s">
        <v>134</v>
      </c>
      <c r="L73" s="22">
        <f>8.9*453.6</f>
        <v>4037.0400000000004</v>
      </c>
      <c r="M73" s="22"/>
      <c r="N73" s="22"/>
      <c r="O73" s="22"/>
      <c r="P73" s="22"/>
      <c r="Q73" s="22"/>
      <c r="R73" s="22"/>
      <c r="S73" s="22"/>
    </row>
    <row r="74" spans="2:19" ht="12.75">
      <c r="B74" s="14" t="s">
        <v>143</v>
      </c>
      <c r="D74" s="14" t="s">
        <v>134</v>
      </c>
      <c r="L74" s="22">
        <f>88.7*453.6</f>
        <v>40234.32</v>
      </c>
      <c r="M74" s="22"/>
      <c r="N74" s="22"/>
      <c r="O74" s="22"/>
      <c r="P74" s="22"/>
      <c r="Q74" s="22"/>
      <c r="R74" s="22"/>
      <c r="S74" s="22"/>
    </row>
    <row r="75" spans="2:19" ht="12.75">
      <c r="B75" s="14" t="s">
        <v>144</v>
      </c>
      <c r="D75" s="14" t="s">
        <v>134</v>
      </c>
      <c r="L75" s="22">
        <f>14.8*453.6</f>
        <v>6713.280000000001</v>
      </c>
      <c r="M75" s="22"/>
      <c r="N75" s="22"/>
      <c r="O75" s="22"/>
      <c r="P75" s="22"/>
      <c r="Q75" s="22"/>
      <c r="R75" s="22"/>
      <c r="S75" s="22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C26" sqref="C26"/>
    </sheetView>
  </sheetViews>
  <sheetFormatPr defaultColWidth="9.140625" defaultRowHeight="12.75"/>
  <cols>
    <col min="1" max="1" width="29.140625" style="14" customWidth="1"/>
    <col min="2" max="2" width="11.7109375" style="14" customWidth="1"/>
    <col min="3" max="3" width="12.28125" style="14" customWidth="1"/>
    <col min="4" max="4" width="11.140625" style="14" customWidth="1"/>
    <col min="5" max="5" width="8.28125" style="14" customWidth="1"/>
    <col min="6" max="16384" width="11.421875" style="14" customWidth="1"/>
  </cols>
  <sheetData>
    <row r="1" ht="12.75">
      <c r="A1" s="13" t="s">
        <v>41</v>
      </c>
    </row>
    <row r="3" spans="2:5" ht="12.75">
      <c r="B3" s="14" t="s">
        <v>32</v>
      </c>
      <c r="C3" s="15" t="s">
        <v>79</v>
      </c>
      <c r="D3" s="15"/>
      <c r="E3" s="15"/>
    </row>
    <row r="4" spans="3:5" ht="12.75">
      <c r="C4" s="15"/>
      <c r="D4" s="15"/>
      <c r="E4" s="15"/>
    </row>
    <row r="5" spans="1:5" ht="12.75">
      <c r="A5" s="13" t="str">
        <f>feed!B4</f>
        <v>1009C1</v>
      </c>
      <c r="C5" s="14" t="s">
        <v>33</v>
      </c>
      <c r="E5" s="15"/>
    </row>
    <row r="6" spans="1:5" ht="12.75">
      <c r="A6" s="13"/>
      <c r="D6" s="16"/>
      <c r="E6" s="17"/>
    </row>
    <row r="7" spans="1:3" ht="12.75">
      <c r="A7" s="14" t="s">
        <v>130</v>
      </c>
      <c r="B7" s="14" t="s">
        <v>17</v>
      </c>
      <c r="C7" s="14">
        <v>989</v>
      </c>
    </row>
    <row r="8" spans="1:3" ht="12.75">
      <c r="A8" s="14" t="s">
        <v>131</v>
      </c>
      <c r="B8" s="14" t="s">
        <v>17</v>
      </c>
      <c r="C8" s="14">
        <v>396</v>
      </c>
    </row>
    <row r="9" spans="1:3" ht="12.75">
      <c r="A9" s="14" t="s">
        <v>132</v>
      </c>
      <c r="B9" s="14" t="s">
        <v>97</v>
      </c>
      <c r="C9" s="14">
        <v>19</v>
      </c>
    </row>
    <row r="11" ht="12.75">
      <c r="A11" s="13" t="str">
        <f>feed!B18</f>
        <v>1009C2</v>
      </c>
    </row>
    <row r="12" ht="12.75">
      <c r="A12" s="13"/>
    </row>
    <row r="13" spans="1:3" ht="12.75">
      <c r="A13" s="14" t="s">
        <v>130</v>
      </c>
      <c r="B13" s="14" t="s">
        <v>17</v>
      </c>
      <c r="C13" s="18">
        <v>1426</v>
      </c>
    </row>
    <row r="14" spans="1:3" ht="12.75">
      <c r="A14" s="14" t="s">
        <v>131</v>
      </c>
      <c r="B14" s="14" t="s">
        <v>17</v>
      </c>
      <c r="C14" s="14">
        <v>502</v>
      </c>
    </row>
    <row r="15" spans="1:3" ht="12.75">
      <c r="A15" s="14" t="s">
        <v>132</v>
      </c>
      <c r="B15" s="14" t="s">
        <v>97</v>
      </c>
      <c r="C15" s="14">
        <v>9</v>
      </c>
    </row>
    <row r="16" ht="12.75">
      <c r="C16" s="17"/>
    </row>
    <row r="20" ht="12.75">
      <c r="C20" s="1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64"/>
  <sheetViews>
    <sheetView workbookViewId="0" topLeftCell="A33">
      <selection activeCell="C26" sqref="C26"/>
    </sheetView>
  </sheetViews>
  <sheetFormatPr defaultColWidth="9.140625" defaultRowHeight="12.75"/>
  <cols>
    <col min="1" max="1" width="2.28125" style="2" customWidth="1"/>
    <col min="2" max="2" width="25.8515625" style="2" customWidth="1"/>
    <col min="3" max="3" width="6.57421875" style="2" customWidth="1"/>
    <col min="4" max="4" width="5.28125" style="2" customWidth="1"/>
    <col min="5" max="5" width="8.8515625" style="3" customWidth="1"/>
    <col min="6" max="6" width="9.57421875" style="4" customWidth="1"/>
    <col min="7" max="7" width="9.421875" style="3" customWidth="1"/>
    <col min="8" max="8" width="9.57421875" style="4" customWidth="1"/>
    <col min="9" max="9" width="6.421875" style="8" customWidth="1"/>
    <col min="10" max="10" width="7.00390625" style="3" customWidth="1"/>
    <col min="11" max="11" width="8.7109375" style="3" customWidth="1"/>
    <col min="12" max="12" width="7.8515625" style="3" customWidth="1"/>
    <col min="13" max="13" width="8.7109375" style="3" customWidth="1"/>
    <col min="14" max="14" width="6.8515625" style="8" customWidth="1"/>
    <col min="15" max="15" width="7.8515625" style="3" customWidth="1"/>
    <col min="16" max="16" width="8.8515625" style="3" customWidth="1"/>
    <col min="17" max="17" width="8.7109375" style="3" customWidth="1"/>
    <col min="18" max="18" width="8.8515625" style="3" customWidth="1"/>
    <col min="19" max="19" width="7.7109375" style="2" customWidth="1"/>
    <col min="20" max="20" width="7.8515625" style="2" customWidth="1"/>
    <col min="21" max="21" width="7.7109375" style="2" customWidth="1"/>
    <col min="22" max="22" width="7.00390625" style="2" customWidth="1"/>
    <col min="23" max="23" width="7.421875" style="2" customWidth="1"/>
    <col min="24" max="16384" width="10.8515625" style="2" customWidth="1"/>
  </cols>
  <sheetData>
    <row r="1" ht="12.75" customHeight="1">
      <c r="A1" s="1" t="s">
        <v>106</v>
      </c>
    </row>
    <row r="2" ht="12" customHeight="1">
      <c r="A2" s="2" t="s">
        <v>211</v>
      </c>
    </row>
    <row r="3" spans="1:3" ht="12.75">
      <c r="A3" s="2" t="s">
        <v>80</v>
      </c>
      <c r="C3" s="2" t="str">
        <f>source!C5</f>
        <v>Eastman Chemicals Co. - Arkansas Eastman Div</v>
      </c>
    </row>
    <row r="4" spans="1:18" ht="12.75">
      <c r="A4" s="2" t="s">
        <v>82</v>
      </c>
      <c r="C4" s="5" t="str">
        <f>process!A11</f>
        <v>1009C2</v>
      </c>
      <c r="D4" s="5"/>
      <c r="E4" s="6"/>
      <c r="F4" s="7"/>
      <c r="G4" s="6"/>
      <c r="H4" s="7"/>
      <c r="J4" s="6"/>
      <c r="K4" s="6"/>
      <c r="L4" s="6"/>
      <c r="M4" s="6"/>
      <c r="O4" s="6"/>
      <c r="P4" s="6"/>
      <c r="Q4" s="6"/>
      <c r="R4" s="6"/>
    </row>
    <row r="5" spans="1:4" ht="12.75">
      <c r="A5" s="2" t="s">
        <v>81</v>
      </c>
      <c r="C5" s="34" t="s">
        <v>118</v>
      </c>
      <c r="D5" s="5"/>
    </row>
    <row r="6" spans="3:17" ht="12.75">
      <c r="C6" s="5"/>
      <c r="D6" s="5"/>
      <c r="E6" s="8"/>
      <c r="G6" s="8"/>
      <c r="J6" s="8"/>
      <c r="L6" s="8"/>
      <c r="O6" s="8"/>
      <c r="Q6" s="8"/>
    </row>
    <row r="7" spans="3:18" ht="12.75">
      <c r="C7" s="5" t="s">
        <v>42</v>
      </c>
      <c r="D7" s="5"/>
      <c r="E7" s="9" t="s">
        <v>84</v>
      </c>
      <c r="F7" s="9"/>
      <c r="G7" s="9"/>
      <c r="H7" s="9"/>
      <c r="I7" s="10"/>
      <c r="J7" s="9" t="s">
        <v>43</v>
      </c>
      <c r="K7" s="9"/>
      <c r="L7" s="9"/>
      <c r="M7" s="9"/>
      <c r="N7" s="10"/>
      <c r="O7" s="9" t="s">
        <v>44</v>
      </c>
      <c r="P7" s="9"/>
      <c r="Q7" s="9"/>
      <c r="R7" s="9"/>
    </row>
    <row r="8" spans="3:18" ht="12.75">
      <c r="C8" s="5" t="s">
        <v>45</v>
      </c>
      <c r="E8" s="8" t="s">
        <v>46</v>
      </c>
      <c r="F8" s="7" t="s">
        <v>47</v>
      </c>
      <c r="G8" s="8" t="s">
        <v>46</v>
      </c>
      <c r="H8" s="7" t="s">
        <v>47</v>
      </c>
      <c r="J8" s="8" t="s">
        <v>46</v>
      </c>
      <c r="K8" s="8" t="s">
        <v>48</v>
      </c>
      <c r="L8" s="8" t="s">
        <v>46</v>
      </c>
      <c r="M8" s="8" t="s">
        <v>48</v>
      </c>
      <c r="O8" s="8" t="s">
        <v>46</v>
      </c>
      <c r="P8" s="8" t="s">
        <v>48</v>
      </c>
      <c r="Q8" s="8" t="s">
        <v>46</v>
      </c>
      <c r="R8" s="8" t="s">
        <v>48</v>
      </c>
    </row>
    <row r="9" spans="3:18" ht="12.75">
      <c r="C9" s="5"/>
      <c r="E9" s="8" t="s">
        <v>208</v>
      </c>
      <c r="F9" s="8" t="s">
        <v>208</v>
      </c>
      <c r="G9" s="8" t="s">
        <v>107</v>
      </c>
      <c r="H9" s="7" t="s">
        <v>107</v>
      </c>
      <c r="J9" s="8" t="s">
        <v>208</v>
      </c>
      <c r="K9" s="8" t="s">
        <v>208</v>
      </c>
      <c r="L9" s="8" t="s">
        <v>107</v>
      </c>
      <c r="M9" s="7" t="s">
        <v>107</v>
      </c>
      <c r="O9" s="8" t="s">
        <v>208</v>
      </c>
      <c r="P9" s="8" t="s">
        <v>208</v>
      </c>
      <c r="Q9" s="8" t="s">
        <v>107</v>
      </c>
      <c r="R9" s="7" t="s">
        <v>107</v>
      </c>
    </row>
    <row r="10" ht="13.5" customHeight="1">
      <c r="A10" s="2" t="s">
        <v>49</v>
      </c>
    </row>
    <row r="11" spans="2:18" ht="12.75">
      <c r="B11" s="2" t="s">
        <v>50</v>
      </c>
      <c r="C11" s="5">
        <v>1</v>
      </c>
      <c r="D11" s="5" t="s">
        <v>37</v>
      </c>
      <c r="E11" s="4">
        <v>0.0279</v>
      </c>
      <c r="F11" s="4">
        <f aca="true" t="shared" si="0" ref="F11:H35">IF(E11="","",E11*$C11)</f>
        <v>0.0279</v>
      </c>
      <c r="G11" s="4">
        <f>IF(E11=0,"",IF(D11="nd",E11/2,E11))</f>
        <v>0.01395</v>
      </c>
      <c r="H11" s="4">
        <f t="shared" si="0"/>
        <v>0.01395</v>
      </c>
      <c r="I11" s="7" t="s">
        <v>37</v>
      </c>
      <c r="J11" s="4">
        <v>0.0147</v>
      </c>
      <c r="K11" s="4">
        <f>IF(J11="","",J11*$C11)</f>
        <v>0.0147</v>
      </c>
      <c r="L11" s="4">
        <f>IF(J11=0,"",IF(I11="nd",J11/2,J11))</f>
        <v>0.00735</v>
      </c>
      <c r="M11" s="4">
        <f>IF(L11="","",L11*$C11)</f>
        <v>0.00735</v>
      </c>
      <c r="N11" s="7" t="s">
        <v>37</v>
      </c>
      <c r="O11" s="4">
        <v>0.0302</v>
      </c>
      <c r="P11" s="4">
        <f>IF(O11="","",O11*$C11)</f>
        <v>0.0302</v>
      </c>
      <c r="Q11" s="4">
        <f>IF(O11=0,"",IF(N11="nd",O11/2,O11))</f>
        <v>0.0151</v>
      </c>
      <c r="R11" s="4">
        <f>IF(Q11="","",Q11*$C11)</f>
        <v>0.0151</v>
      </c>
    </row>
    <row r="12" spans="2:18" ht="12.75">
      <c r="B12" s="2" t="s">
        <v>51</v>
      </c>
      <c r="C12" s="5">
        <v>0</v>
      </c>
      <c r="D12" s="5"/>
      <c r="E12" s="4">
        <v>1.1</v>
      </c>
      <c r="F12" s="4">
        <f t="shared" si="0"/>
        <v>0</v>
      </c>
      <c r="G12" s="4">
        <f>IF(E12=0,"",IF(D12="nd",E12/2,E12))</f>
        <v>1.1</v>
      </c>
      <c r="H12" s="4">
        <f t="shared" si="0"/>
        <v>0</v>
      </c>
      <c r="I12" s="7" t="s">
        <v>37</v>
      </c>
      <c r="J12" s="4">
        <v>0.685</v>
      </c>
      <c r="K12" s="4">
        <f>IF(J12="","",J12*$C12)</f>
        <v>0</v>
      </c>
      <c r="L12" s="4">
        <f>IF(J12=0,"",IF(I12="nd",J12/2,J12))</f>
        <v>0.3425</v>
      </c>
      <c r="M12" s="4">
        <f>IF(L12="","",L12*$C12)</f>
        <v>0</v>
      </c>
      <c r="N12" s="7"/>
      <c r="O12" s="4">
        <v>1.062</v>
      </c>
      <c r="P12" s="4">
        <f>IF(O12="","",O12*$C12)</f>
        <v>0</v>
      </c>
      <c r="Q12" s="4">
        <f>IF(O12=0,"",IF(N12="nd",O12/2,O12))</f>
        <v>1.062</v>
      </c>
      <c r="R12" s="4">
        <f>IF(Q12="","",Q12*$C12)</f>
        <v>0</v>
      </c>
    </row>
    <row r="13" spans="2:18" ht="12.75">
      <c r="B13" s="2" t="s">
        <v>52</v>
      </c>
      <c r="C13" s="5">
        <v>0.5</v>
      </c>
      <c r="D13" s="5" t="s">
        <v>37</v>
      </c>
      <c r="E13" s="4">
        <v>0.06</v>
      </c>
      <c r="F13" s="4">
        <f t="shared" si="0"/>
        <v>0.03</v>
      </c>
      <c r="G13" s="4">
        <f>IF(E13=0,"",IF(D13="nd",E13/2,E13))</f>
        <v>0.03</v>
      </c>
      <c r="H13" s="4">
        <f t="shared" si="0"/>
        <v>0.015</v>
      </c>
      <c r="I13" s="7" t="s">
        <v>37</v>
      </c>
      <c r="J13" s="4">
        <v>0.0299</v>
      </c>
      <c r="K13" s="4">
        <f aca="true" t="shared" si="1" ref="K13:M28">IF(J13="","",J13*$C13)</f>
        <v>0.01495</v>
      </c>
      <c r="L13" s="4">
        <f>IF(J13=0,"",IF(I13="nd",J13/2,J13))</f>
        <v>0.01495</v>
      </c>
      <c r="M13" s="4">
        <f t="shared" si="1"/>
        <v>0.007475</v>
      </c>
      <c r="N13" s="7" t="s">
        <v>37</v>
      </c>
      <c r="O13" s="4">
        <v>0.0717</v>
      </c>
      <c r="P13" s="4">
        <f aca="true" t="shared" si="2" ref="P13:R28">IF(O13="","",O13*$C13)</f>
        <v>0.03585</v>
      </c>
      <c r="Q13" s="4">
        <f>IF(O13=0,"",IF(N13="nd",O13/2,O13))</f>
        <v>0.03585</v>
      </c>
      <c r="R13" s="4">
        <f t="shared" si="2"/>
        <v>0.017925</v>
      </c>
    </row>
    <row r="14" spans="2:18" ht="12.75">
      <c r="B14" s="2" t="s">
        <v>53</v>
      </c>
      <c r="C14" s="5">
        <v>0</v>
      </c>
      <c r="D14" s="5" t="s">
        <v>37</v>
      </c>
      <c r="E14" s="4">
        <v>0.916</v>
      </c>
      <c r="F14" s="4">
        <f t="shared" si="0"/>
        <v>0</v>
      </c>
      <c r="G14" s="4">
        <f aca="true" t="shared" si="3" ref="G14:G35">IF(E14=0,"",IF(D14="nd",E14/2,E14))</f>
        <v>0.458</v>
      </c>
      <c r="H14" s="4">
        <f t="shared" si="0"/>
        <v>0</v>
      </c>
      <c r="I14" s="7" t="s">
        <v>37</v>
      </c>
      <c r="J14" s="4">
        <v>0.4679</v>
      </c>
      <c r="K14" s="4">
        <f t="shared" si="1"/>
        <v>0</v>
      </c>
      <c r="L14" s="4">
        <f aca="true" t="shared" si="4" ref="L14:L29">IF(J14=0,"",IF(I14="nd",J14/2,J14))</f>
        <v>0.23395</v>
      </c>
      <c r="M14" s="4">
        <f t="shared" si="1"/>
        <v>0</v>
      </c>
      <c r="N14" s="7" t="s">
        <v>37</v>
      </c>
      <c r="O14" s="4">
        <v>0.921</v>
      </c>
      <c r="P14" s="4">
        <f t="shared" si="2"/>
        <v>0</v>
      </c>
      <c r="Q14" s="4">
        <f aca="true" t="shared" si="5" ref="Q14:Q29">IF(O14=0,"",IF(N14="nd",O14/2,O14))</f>
        <v>0.4605</v>
      </c>
      <c r="R14" s="4">
        <f t="shared" si="2"/>
        <v>0</v>
      </c>
    </row>
    <row r="15" spans="2:18" ht="12.75">
      <c r="B15" s="2" t="s">
        <v>54</v>
      </c>
      <c r="C15" s="5">
        <v>0.1</v>
      </c>
      <c r="D15" s="5" t="s">
        <v>37</v>
      </c>
      <c r="E15" s="4">
        <v>0.042</v>
      </c>
      <c r="F15" s="4">
        <f t="shared" si="0"/>
        <v>0.004200000000000001</v>
      </c>
      <c r="G15" s="4">
        <f t="shared" si="3"/>
        <v>0.021</v>
      </c>
      <c r="H15" s="4">
        <f t="shared" si="0"/>
        <v>0.0021000000000000003</v>
      </c>
      <c r="I15" s="7" t="s">
        <v>37</v>
      </c>
      <c r="J15" s="4">
        <v>0.0279</v>
      </c>
      <c r="K15" s="4">
        <f t="shared" si="1"/>
        <v>0.0027900000000000004</v>
      </c>
      <c r="L15" s="4">
        <f t="shared" si="4"/>
        <v>0.01395</v>
      </c>
      <c r="M15" s="4">
        <f t="shared" si="1"/>
        <v>0.0013950000000000002</v>
      </c>
      <c r="N15" s="7" t="s">
        <v>37</v>
      </c>
      <c r="O15" s="4">
        <v>0.0545</v>
      </c>
      <c r="P15" s="4">
        <f t="shared" si="2"/>
        <v>0.00545</v>
      </c>
      <c r="Q15" s="4">
        <f t="shared" si="5"/>
        <v>0.02725</v>
      </c>
      <c r="R15" s="4">
        <f t="shared" si="2"/>
        <v>0.002725</v>
      </c>
    </row>
    <row r="16" spans="2:18" ht="12.75">
      <c r="B16" s="2" t="s">
        <v>55</v>
      </c>
      <c r="C16" s="5">
        <v>0.1</v>
      </c>
      <c r="D16" s="5" t="s">
        <v>37</v>
      </c>
      <c r="E16" s="4">
        <v>0.0724</v>
      </c>
      <c r="F16" s="4">
        <f t="shared" si="0"/>
        <v>0.007240000000000001</v>
      </c>
      <c r="G16" s="4">
        <f t="shared" si="3"/>
        <v>0.0362</v>
      </c>
      <c r="H16" s="4">
        <f t="shared" si="0"/>
        <v>0.0036200000000000004</v>
      </c>
      <c r="I16" s="7" t="s">
        <v>37</v>
      </c>
      <c r="J16" s="4">
        <v>0.0474</v>
      </c>
      <c r="K16" s="4">
        <f t="shared" si="1"/>
        <v>0.00474</v>
      </c>
      <c r="L16" s="4">
        <f t="shared" si="4"/>
        <v>0.0237</v>
      </c>
      <c r="M16" s="4">
        <f t="shared" si="1"/>
        <v>0.00237</v>
      </c>
      <c r="N16" s="7" t="s">
        <v>37</v>
      </c>
      <c r="O16" s="4">
        <v>0.1166</v>
      </c>
      <c r="P16" s="4">
        <f t="shared" si="2"/>
        <v>0.01166</v>
      </c>
      <c r="Q16" s="4">
        <f t="shared" si="5"/>
        <v>0.0583</v>
      </c>
      <c r="R16" s="4">
        <f t="shared" si="2"/>
        <v>0.00583</v>
      </c>
    </row>
    <row r="17" spans="2:18" ht="12.75">
      <c r="B17" s="2" t="s">
        <v>56</v>
      </c>
      <c r="C17" s="5">
        <v>0.1</v>
      </c>
      <c r="D17" s="5" t="s">
        <v>37</v>
      </c>
      <c r="E17" s="4">
        <v>0.0658</v>
      </c>
      <c r="F17" s="4">
        <f t="shared" si="0"/>
        <v>0.00658</v>
      </c>
      <c r="G17" s="4">
        <f t="shared" si="3"/>
        <v>0.0329</v>
      </c>
      <c r="H17" s="4">
        <f t="shared" si="0"/>
        <v>0.00329</v>
      </c>
      <c r="I17" s="7" t="s">
        <v>37</v>
      </c>
      <c r="J17" s="4">
        <v>0.0374</v>
      </c>
      <c r="K17" s="4">
        <f t="shared" si="1"/>
        <v>0.0037400000000000003</v>
      </c>
      <c r="L17" s="4">
        <f t="shared" si="4"/>
        <v>0.0187</v>
      </c>
      <c r="M17" s="4">
        <f t="shared" si="1"/>
        <v>0.0018700000000000001</v>
      </c>
      <c r="N17" s="7" t="s">
        <v>37</v>
      </c>
      <c r="O17" s="4">
        <v>0.0925</v>
      </c>
      <c r="P17" s="4">
        <f t="shared" si="2"/>
        <v>0.00925</v>
      </c>
      <c r="Q17" s="4">
        <f t="shared" si="5"/>
        <v>0.04625</v>
      </c>
      <c r="R17" s="4">
        <f t="shared" si="2"/>
        <v>0.004625</v>
      </c>
    </row>
    <row r="18" spans="2:18" ht="12.75">
      <c r="B18" s="2" t="s">
        <v>57</v>
      </c>
      <c r="C18" s="5">
        <v>0</v>
      </c>
      <c r="D18" s="5" t="s">
        <v>37</v>
      </c>
      <c r="E18" s="4">
        <v>0.807</v>
      </c>
      <c r="F18" s="4">
        <f t="shared" si="0"/>
        <v>0</v>
      </c>
      <c r="G18" s="4">
        <f t="shared" si="3"/>
        <v>0.4035</v>
      </c>
      <c r="H18" s="4">
        <f t="shared" si="0"/>
        <v>0</v>
      </c>
      <c r="I18" s="7" t="s">
        <v>37</v>
      </c>
      <c r="J18" s="4">
        <v>0.4139</v>
      </c>
      <c r="K18" s="4">
        <f t="shared" si="1"/>
        <v>0</v>
      </c>
      <c r="L18" s="4">
        <f t="shared" si="4"/>
        <v>0.20695</v>
      </c>
      <c r="M18" s="4">
        <f t="shared" si="1"/>
        <v>0</v>
      </c>
      <c r="N18" s="7" t="s">
        <v>37</v>
      </c>
      <c r="O18" s="4">
        <v>1.012</v>
      </c>
      <c r="P18" s="4">
        <f t="shared" si="2"/>
        <v>0</v>
      </c>
      <c r="Q18" s="4">
        <f t="shared" si="5"/>
        <v>0.506</v>
      </c>
      <c r="R18" s="4">
        <f t="shared" si="2"/>
        <v>0</v>
      </c>
    </row>
    <row r="19" spans="2:18" ht="12.75">
      <c r="B19" s="2" t="s">
        <v>58</v>
      </c>
      <c r="C19" s="5">
        <v>0.01</v>
      </c>
      <c r="D19" s="5" t="s">
        <v>37</v>
      </c>
      <c r="E19" s="4">
        <v>0.372</v>
      </c>
      <c r="F19" s="4">
        <f t="shared" si="0"/>
        <v>0.00372</v>
      </c>
      <c r="G19" s="4">
        <f t="shared" si="3"/>
        <v>0.186</v>
      </c>
      <c r="H19" s="4">
        <f t="shared" si="0"/>
        <v>0.00186</v>
      </c>
      <c r="I19" s="7" t="s">
        <v>37</v>
      </c>
      <c r="J19" s="4">
        <v>0.1691</v>
      </c>
      <c r="K19" s="4">
        <f t="shared" si="1"/>
        <v>0.001691</v>
      </c>
      <c r="L19" s="4">
        <f t="shared" si="4"/>
        <v>0.08455</v>
      </c>
      <c r="M19" s="4">
        <f t="shared" si="1"/>
        <v>0.0008455</v>
      </c>
      <c r="N19" s="7" t="s">
        <v>37</v>
      </c>
      <c r="O19" s="4">
        <v>0.554</v>
      </c>
      <c r="P19" s="4">
        <f t="shared" si="2"/>
        <v>0.005540000000000001</v>
      </c>
      <c r="Q19" s="4">
        <f t="shared" si="5"/>
        <v>0.277</v>
      </c>
      <c r="R19" s="4">
        <f t="shared" si="2"/>
        <v>0.0027700000000000003</v>
      </c>
    </row>
    <row r="20" spans="2:18" ht="12.75">
      <c r="B20" s="2" t="s">
        <v>59</v>
      </c>
      <c r="C20" s="5">
        <v>0</v>
      </c>
      <c r="D20" s="5" t="s">
        <v>37</v>
      </c>
      <c r="E20" s="4">
        <v>0.682</v>
      </c>
      <c r="F20" s="4">
        <f t="shared" si="0"/>
        <v>0</v>
      </c>
      <c r="G20" s="4">
        <f t="shared" si="3"/>
        <v>0.341</v>
      </c>
      <c r="H20" s="4">
        <f t="shared" si="0"/>
        <v>0</v>
      </c>
      <c r="I20" s="7" t="s">
        <v>37</v>
      </c>
      <c r="J20" s="4">
        <v>0.3291</v>
      </c>
      <c r="K20" s="4">
        <f t="shared" si="1"/>
        <v>0</v>
      </c>
      <c r="L20" s="4">
        <f t="shared" si="4"/>
        <v>0.16455</v>
      </c>
      <c r="M20" s="4">
        <f t="shared" si="1"/>
        <v>0</v>
      </c>
      <c r="N20" s="7" t="s">
        <v>37</v>
      </c>
      <c r="O20" s="4">
        <v>1.024</v>
      </c>
      <c r="P20" s="4">
        <f t="shared" si="2"/>
        <v>0</v>
      </c>
      <c r="Q20" s="4">
        <f t="shared" si="5"/>
        <v>0.512</v>
      </c>
      <c r="R20" s="4">
        <f t="shared" si="2"/>
        <v>0</v>
      </c>
    </row>
    <row r="21" spans="2:18" ht="12.75">
      <c r="B21" s="2" t="s">
        <v>60</v>
      </c>
      <c r="C21" s="5">
        <v>0.001</v>
      </c>
      <c r="D21" s="5" t="s">
        <v>37</v>
      </c>
      <c r="E21" s="4">
        <v>0.597</v>
      </c>
      <c r="F21" s="4">
        <f t="shared" si="0"/>
        <v>0.000597</v>
      </c>
      <c r="G21" s="4">
        <f t="shared" si="3"/>
        <v>0.2985</v>
      </c>
      <c r="H21" s="4">
        <f t="shared" si="0"/>
        <v>0.0002985</v>
      </c>
      <c r="I21" s="7" t="s">
        <v>37</v>
      </c>
      <c r="J21" s="4">
        <v>0.291</v>
      </c>
      <c r="K21" s="4">
        <f t="shared" si="1"/>
        <v>0.00029099999999999997</v>
      </c>
      <c r="L21" s="4">
        <f t="shared" si="4"/>
        <v>0.1455</v>
      </c>
      <c r="M21" s="4">
        <f t="shared" si="1"/>
        <v>0.00014549999999999999</v>
      </c>
      <c r="N21" s="7" t="s">
        <v>37</v>
      </c>
      <c r="O21" s="4">
        <v>0.98</v>
      </c>
      <c r="P21" s="4">
        <f t="shared" si="2"/>
        <v>0.00098</v>
      </c>
      <c r="Q21" s="4">
        <f t="shared" si="5"/>
        <v>0.49</v>
      </c>
      <c r="R21" s="4">
        <f t="shared" si="2"/>
        <v>0.00049</v>
      </c>
    </row>
    <row r="22" spans="2:18" ht="12.75">
      <c r="B22" s="2" t="s">
        <v>61</v>
      </c>
      <c r="C22" s="5">
        <v>0.1</v>
      </c>
      <c r="D22" s="5"/>
      <c r="E22" s="4">
        <v>0.127</v>
      </c>
      <c r="F22" s="4">
        <f t="shared" si="0"/>
        <v>0.012700000000000001</v>
      </c>
      <c r="G22" s="4">
        <f t="shared" si="3"/>
        <v>0.127</v>
      </c>
      <c r="H22" s="4">
        <f t="shared" si="0"/>
        <v>0.012700000000000001</v>
      </c>
      <c r="I22" s="7" t="s">
        <v>37</v>
      </c>
      <c r="J22" s="4">
        <v>0.0757</v>
      </c>
      <c r="K22" s="4">
        <f t="shared" si="1"/>
        <v>0.00757</v>
      </c>
      <c r="L22" s="4">
        <f t="shared" si="4"/>
        <v>0.03785</v>
      </c>
      <c r="M22" s="4">
        <f t="shared" si="1"/>
        <v>0.003785</v>
      </c>
      <c r="N22" s="7" t="s">
        <v>37</v>
      </c>
      <c r="O22" s="4">
        <v>0.123</v>
      </c>
      <c r="P22" s="4">
        <f t="shared" si="2"/>
        <v>0.0123</v>
      </c>
      <c r="Q22" s="4">
        <f t="shared" si="5"/>
        <v>0.0615</v>
      </c>
      <c r="R22" s="4">
        <f t="shared" si="2"/>
        <v>0.00615</v>
      </c>
    </row>
    <row r="23" spans="2:18" ht="12.75">
      <c r="B23" s="2" t="s">
        <v>62</v>
      </c>
      <c r="C23" s="5">
        <v>0</v>
      </c>
      <c r="D23" s="5"/>
      <c r="E23" s="4">
        <v>4.1</v>
      </c>
      <c r="F23" s="4">
        <f t="shared" si="0"/>
        <v>0</v>
      </c>
      <c r="G23" s="4">
        <f t="shared" si="3"/>
        <v>4.1</v>
      </c>
      <c r="H23" s="4">
        <f t="shared" si="0"/>
        <v>0</v>
      </c>
      <c r="I23" s="7"/>
      <c r="J23" s="4">
        <v>2.292</v>
      </c>
      <c r="K23" s="4">
        <f t="shared" si="1"/>
        <v>0</v>
      </c>
      <c r="L23" s="4">
        <f t="shared" si="4"/>
        <v>2.292</v>
      </c>
      <c r="M23" s="4">
        <f t="shared" si="1"/>
        <v>0</v>
      </c>
      <c r="N23" s="7"/>
      <c r="O23" s="4">
        <v>5.08</v>
      </c>
      <c r="P23" s="4">
        <f t="shared" si="2"/>
        <v>0</v>
      </c>
      <c r="Q23" s="4">
        <f t="shared" si="5"/>
        <v>5.08</v>
      </c>
      <c r="R23" s="4">
        <f t="shared" si="2"/>
        <v>0</v>
      </c>
    </row>
    <row r="24" spans="2:18" ht="12.75">
      <c r="B24" s="2" t="s">
        <v>63</v>
      </c>
      <c r="C24" s="5">
        <v>0.05</v>
      </c>
      <c r="D24" s="5" t="s">
        <v>37</v>
      </c>
      <c r="E24" s="4">
        <v>0.13</v>
      </c>
      <c r="F24" s="4">
        <f t="shared" si="0"/>
        <v>0.006500000000000001</v>
      </c>
      <c r="G24" s="4">
        <f t="shared" si="3"/>
        <v>0.065</v>
      </c>
      <c r="H24" s="4">
        <f t="shared" si="0"/>
        <v>0.0032500000000000003</v>
      </c>
      <c r="I24" s="7" t="s">
        <v>37</v>
      </c>
      <c r="J24" s="4">
        <v>0.053</v>
      </c>
      <c r="K24" s="4">
        <f t="shared" si="1"/>
        <v>0.00265</v>
      </c>
      <c r="L24" s="4">
        <f t="shared" si="4"/>
        <v>0.0265</v>
      </c>
      <c r="M24" s="4">
        <f t="shared" si="1"/>
        <v>0.001325</v>
      </c>
      <c r="N24" s="7" t="s">
        <v>37</v>
      </c>
      <c r="O24" s="4">
        <v>0.17</v>
      </c>
      <c r="P24" s="4">
        <f t="shared" si="2"/>
        <v>0.0085</v>
      </c>
      <c r="Q24" s="4">
        <f t="shared" si="5"/>
        <v>0.085</v>
      </c>
      <c r="R24" s="4">
        <f t="shared" si="2"/>
        <v>0.00425</v>
      </c>
    </row>
    <row r="25" spans="2:18" ht="12.75">
      <c r="B25" s="2" t="s">
        <v>64</v>
      </c>
      <c r="C25" s="5">
        <v>0.5</v>
      </c>
      <c r="D25" s="5" t="s">
        <v>37</v>
      </c>
      <c r="E25" s="4">
        <v>0.18</v>
      </c>
      <c r="F25" s="4">
        <f t="shared" si="0"/>
        <v>0.09</v>
      </c>
      <c r="G25" s="4">
        <f t="shared" si="3"/>
        <v>0.09</v>
      </c>
      <c r="H25" s="4">
        <f t="shared" si="0"/>
        <v>0.045</v>
      </c>
      <c r="I25" s="7" t="s">
        <v>37</v>
      </c>
      <c r="J25" s="4">
        <v>0.0735</v>
      </c>
      <c r="K25" s="4">
        <f t="shared" si="1"/>
        <v>0.03675</v>
      </c>
      <c r="L25" s="4">
        <f t="shared" si="4"/>
        <v>0.03675</v>
      </c>
      <c r="M25" s="4">
        <f t="shared" si="1"/>
        <v>0.018375</v>
      </c>
      <c r="N25" s="7" t="s">
        <v>37</v>
      </c>
      <c r="O25" s="4">
        <v>0.226</v>
      </c>
      <c r="P25" s="4">
        <f t="shared" si="2"/>
        <v>0.113</v>
      </c>
      <c r="Q25" s="4">
        <f t="shared" si="5"/>
        <v>0.113</v>
      </c>
      <c r="R25" s="4">
        <f t="shared" si="2"/>
        <v>0.0565</v>
      </c>
    </row>
    <row r="26" spans="2:18" ht="12.75">
      <c r="B26" s="2" t="s">
        <v>65</v>
      </c>
      <c r="C26" s="5">
        <v>0</v>
      </c>
      <c r="D26" s="5"/>
      <c r="E26" s="4">
        <v>1.4</v>
      </c>
      <c r="F26" s="4">
        <f t="shared" si="0"/>
        <v>0</v>
      </c>
      <c r="G26" s="4">
        <f t="shared" si="3"/>
        <v>1.4</v>
      </c>
      <c r="H26" s="4">
        <f t="shared" si="0"/>
        <v>0</v>
      </c>
      <c r="I26" s="7" t="s">
        <v>37</v>
      </c>
      <c r="J26" s="4">
        <v>0.666</v>
      </c>
      <c r="K26" s="4">
        <f t="shared" si="1"/>
        <v>0</v>
      </c>
      <c r="L26" s="4">
        <f t="shared" si="4"/>
        <v>0.333</v>
      </c>
      <c r="M26" s="4">
        <f t="shared" si="1"/>
        <v>0</v>
      </c>
      <c r="N26" s="7"/>
      <c r="O26" s="4">
        <v>2.42</v>
      </c>
      <c r="P26" s="4">
        <f t="shared" si="2"/>
        <v>0</v>
      </c>
      <c r="Q26" s="4">
        <f t="shared" si="5"/>
        <v>2.42</v>
      </c>
      <c r="R26" s="4">
        <f t="shared" si="2"/>
        <v>0</v>
      </c>
    </row>
    <row r="27" spans="2:18" ht="12.75">
      <c r="B27" s="2" t="s">
        <v>66</v>
      </c>
      <c r="C27" s="5">
        <v>0.1</v>
      </c>
      <c r="D27" s="5" t="s">
        <v>37</v>
      </c>
      <c r="E27" s="4">
        <v>0.152</v>
      </c>
      <c r="F27" s="4">
        <f t="shared" si="0"/>
        <v>0.0152</v>
      </c>
      <c r="G27" s="4">
        <f t="shared" si="3"/>
        <v>0.076</v>
      </c>
      <c r="H27" s="4">
        <f t="shared" si="0"/>
        <v>0.0076</v>
      </c>
      <c r="I27" s="7" t="s">
        <v>37</v>
      </c>
      <c r="J27" s="4">
        <v>0.0666</v>
      </c>
      <c r="K27" s="4">
        <f t="shared" si="1"/>
        <v>0.006660000000000001</v>
      </c>
      <c r="L27" s="4">
        <f t="shared" si="4"/>
        <v>0.0333</v>
      </c>
      <c r="M27" s="4">
        <f t="shared" si="1"/>
        <v>0.0033300000000000005</v>
      </c>
      <c r="N27" s="7" t="s">
        <v>37</v>
      </c>
      <c r="O27" s="4">
        <v>0.243</v>
      </c>
      <c r="P27" s="4">
        <f t="shared" si="2"/>
        <v>0.024300000000000002</v>
      </c>
      <c r="Q27" s="4">
        <f t="shared" si="5"/>
        <v>0.1215</v>
      </c>
      <c r="R27" s="4">
        <f t="shared" si="2"/>
        <v>0.012150000000000001</v>
      </c>
    </row>
    <row r="28" spans="2:18" ht="12.75">
      <c r="B28" s="2" t="s">
        <v>67</v>
      </c>
      <c r="C28" s="5">
        <v>0.1</v>
      </c>
      <c r="D28" s="5" t="s">
        <v>37</v>
      </c>
      <c r="E28" s="4">
        <v>0.119</v>
      </c>
      <c r="F28" s="4">
        <f t="shared" si="0"/>
        <v>0.0119</v>
      </c>
      <c r="G28" s="4">
        <f t="shared" si="3"/>
        <v>0.0595</v>
      </c>
      <c r="H28" s="4">
        <f t="shared" si="0"/>
        <v>0.00595</v>
      </c>
      <c r="I28" s="7" t="s">
        <v>37</v>
      </c>
      <c r="J28" s="4">
        <v>0.0497</v>
      </c>
      <c r="K28" s="4">
        <f t="shared" si="1"/>
        <v>0.0049700000000000005</v>
      </c>
      <c r="L28" s="4">
        <f t="shared" si="4"/>
        <v>0.02485</v>
      </c>
      <c r="M28" s="4">
        <f t="shared" si="1"/>
        <v>0.0024850000000000002</v>
      </c>
      <c r="N28" s="7" t="s">
        <v>37</v>
      </c>
      <c r="O28" s="4">
        <v>0.159</v>
      </c>
      <c r="P28" s="4">
        <f t="shared" si="2"/>
        <v>0.0159</v>
      </c>
      <c r="Q28" s="4">
        <f t="shared" si="5"/>
        <v>0.0795</v>
      </c>
      <c r="R28" s="4">
        <f t="shared" si="2"/>
        <v>0.00795</v>
      </c>
    </row>
    <row r="29" spans="2:18" ht="12.75">
      <c r="B29" s="2" t="s">
        <v>68</v>
      </c>
      <c r="C29" s="5">
        <v>0.1</v>
      </c>
      <c r="D29" s="5" t="s">
        <v>37</v>
      </c>
      <c r="E29" s="4">
        <v>0.098</v>
      </c>
      <c r="F29" s="4">
        <f t="shared" si="0"/>
        <v>0.009800000000000001</v>
      </c>
      <c r="G29" s="4">
        <f t="shared" si="3"/>
        <v>0.049</v>
      </c>
      <c r="H29" s="4">
        <f t="shared" si="0"/>
        <v>0.004900000000000001</v>
      </c>
      <c r="I29" s="7" t="s">
        <v>37</v>
      </c>
      <c r="J29" s="4">
        <v>0.0423</v>
      </c>
      <c r="K29" s="4">
        <f aca="true" t="shared" si="6" ref="K29:M35">IF(J29="","",J29*$C29)</f>
        <v>0.00423</v>
      </c>
      <c r="L29" s="4">
        <f t="shared" si="4"/>
        <v>0.02115</v>
      </c>
      <c r="M29" s="4">
        <f t="shared" si="6"/>
        <v>0.002115</v>
      </c>
      <c r="N29" s="7" t="s">
        <v>37</v>
      </c>
      <c r="O29" s="4">
        <v>0.12</v>
      </c>
      <c r="P29" s="4">
        <f aca="true" t="shared" si="7" ref="P29:R35">IF(O29="","",O29*$C29)</f>
        <v>0.012</v>
      </c>
      <c r="Q29" s="4">
        <f t="shared" si="5"/>
        <v>0.06</v>
      </c>
      <c r="R29" s="4">
        <f t="shared" si="7"/>
        <v>0.006</v>
      </c>
    </row>
    <row r="30" spans="2:18" ht="12.75">
      <c r="B30" s="2" t="s">
        <v>69</v>
      </c>
      <c r="C30" s="5">
        <v>0.1</v>
      </c>
      <c r="D30" s="5" t="s">
        <v>37</v>
      </c>
      <c r="E30" s="4">
        <v>0.016</v>
      </c>
      <c r="F30" s="4">
        <f t="shared" si="0"/>
        <v>0.0016</v>
      </c>
      <c r="G30" s="4">
        <f t="shared" si="3"/>
        <v>0.008</v>
      </c>
      <c r="H30" s="4">
        <f t="shared" si="0"/>
        <v>0.0008</v>
      </c>
      <c r="I30" s="7" t="s">
        <v>37</v>
      </c>
      <c r="J30" s="4">
        <v>0.0078</v>
      </c>
      <c r="K30" s="4">
        <f t="shared" si="6"/>
        <v>0.00078</v>
      </c>
      <c r="L30" s="4">
        <f aca="true" t="shared" si="8" ref="L30:L35">IF(J30=0,"",IF(I30="nd",J30/2,J30))</f>
        <v>0.0039</v>
      </c>
      <c r="M30" s="4">
        <f t="shared" si="6"/>
        <v>0.00039</v>
      </c>
      <c r="N30" s="7" t="s">
        <v>37</v>
      </c>
      <c r="O30" s="4">
        <v>0.0165</v>
      </c>
      <c r="P30" s="4">
        <f t="shared" si="7"/>
        <v>0.0016500000000000002</v>
      </c>
      <c r="Q30" s="4">
        <f aca="true" t="shared" si="9" ref="Q30:Q35">IF(O30=0,"",IF(N30="nd",O30/2,O30))</f>
        <v>0.00825</v>
      </c>
      <c r="R30" s="4">
        <f t="shared" si="7"/>
        <v>0.0008250000000000001</v>
      </c>
    </row>
    <row r="31" spans="2:18" ht="12.75">
      <c r="B31" s="2" t="s">
        <v>70</v>
      </c>
      <c r="C31" s="5">
        <v>0</v>
      </c>
      <c r="D31" s="5" t="s">
        <v>37</v>
      </c>
      <c r="E31" s="4">
        <v>0.586</v>
      </c>
      <c r="F31" s="4">
        <f t="shared" si="0"/>
        <v>0</v>
      </c>
      <c r="G31" s="4">
        <f t="shared" si="3"/>
        <v>0.293</v>
      </c>
      <c r="H31" s="4">
        <f t="shared" si="0"/>
        <v>0</v>
      </c>
      <c r="I31" s="7" t="s">
        <v>37</v>
      </c>
      <c r="J31" s="4">
        <v>0.1266</v>
      </c>
      <c r="K31" s="4">
        <f t="shared" si="6"/>
        <v>0</v>
      </c>
      <c r="L31" s="4">
        <f t="shared" si="8"/>
        <v>0.0633</v>
      </c>
      <c r="M31" s="4">
        <f t="shared" si="6"/>
        <v>0</v>
      </c>
      <c r="N31" s="7" t="s">
        <v>37</v>
      </c>
      <c r="O31" s="4">
        <v>0.852</v>
      </c>
      <c r="P31" s="4">
        <f t="shared" si="7"/>
        <v>0</v>
      </c>
      <c r="Q31" s="4">
        <f t="shared" si="9"/>
        <v>0.426</v>
      </c>
      <c r="R31" s="4">
        <f t="shared" si="7"/>
        <v>0</v>
      </c>
    </row>
    <row r="32" spans="2:18" ht="12.75">
      <c r="B32" s="2" t="s">
        <v>71</v>
      </c>
      <c r="C32" s="5">
        <v>0.01</v>
      </c>
      <c r="D32" s="5" t="s">
        <v>37</v>
      </c>
      <c r="E32" s="4">
        <v>0.316</v>
      </c>
      <c r="F32" s="4">
        <f t="shared" si="0"/>
        <v>0.00316</v>
      </c>
      <c r="G32" s="4">
        <f t="shared" si="3"/>
        <v>0.158</v>
      </c>
      <c r="H32" s="4">
        <f t="shared" si="0"/>
        <v>0.00158</v>
      </c>
      <c r="I32" s="7" t="s">
        <v>37</v>
      </c>
      <c r="J32" s="4">
        <v>0.133</v>
      </c>
      <c r="K32" s="4">
        <f t="shared" si="6"/>
        <v>0.00133</v>
      </c>
      <c r="L32" s="4">
        <f t="shared" si="8"/>
        <v>0.0665</v>
      </c>
      <c r="M32" s="4">
        <f t="shared" si="6"/>
        <v>0.000665</v>
      </c>
      <c r="N32" s="7" t="s">
        <v>37</v>
      </c>
      <c r="O32" s="4">
        <v>0.402</v>
      </c>
      <c r="P32" s="4">
        <f t="shared" si="7"/>
        <v>0.00402</v>
      </c>
      <c r="Q32" s="4">
        <f t="shared" si="9"/>
        <v>0.201</v>
      </c>
      <c r="R32" s="4">
        <f t="shared" si="7"/>
        <v>0.00201</v>
      </c>
    </row>
    <row r="33" spans="2:18" ht="12.75">
      <c r="B33" s="2" t="s">
        <v>72</v>
      </c>
      <c r="C33" s="5">
        <v>0.01</v>
      </c>
      <c r="D33" s="5" t="s">
        <v>37</v>
      </c>
      <c r="E33" s="4">
        <v>0.081</v>
      </c>
      <c r="F33" s="4">
        <f t="shared" si="0"/>
        <v>0.0008100000000000001</v>
      </c>
      <c r="G33" s="4">
        <f t="shared" si="3"/>
        <v>0.0405</v>
      </c>
      <c r="H33" s="4">
        <f t="shared" si="0"/>
        <v>0.00040500000000000003</v>
      </c>
      <c r="I33" s="7" t="s">
        <v>37</v>
      </c>
      <c r="J33" s="4">
        <v>0.0358</v>
      </c>
      <c r="K33" s="4">
        <f t="shared" si="6"/>
        <v>0.000358</v>
      </c>
      <c r="L33" s="4">
        <f t="shared" si="8"/>
        <v>0.0179</v>
      </c>
      <c r="M33" s="4">
        <f t="shared" si="6"/>
        <v>0.000179</v>
      </c>
      <c r="N33" s="7" t="s">
        <v>37</v>
      </c>
      <c r="O33" s="4">
        <v>0.098</v>
      </c>
      <c r="P33" s="4">
        <f t="shared" si="7"/>
        <v>0.00098</v>
      </c>
      <c r="Q33" s="4">
        <f t="shared" si="9"/>
        <v>0.049</v>
      </c>
      <c r="R33" s="4">
        <f t="shared" si="7"/>
        <v>0.00049</v>
      </c>
    </row>
    <row r="34" spans="2:18" ht="12.75">
      <c r="B34" s="2" t="s">
        <v>73</v>
      </c>
      <c r="C34" s="5">
        <v>0</v>
      </c>
      <c r="D34" s="5" t="s">
        <v>37</v>
      </c>
      <c r="E34" s="4">
        <v>0.476</v>
      </c>
      <c r="F34" s="4">
        <f t="shared" si="0"/>
        <v>0</v>
      </c>
      <c r="G34" s="4">
        <f t="shared" si="3"/>
        <v>0.238</v>
      </c>
      <c r="H34" s="4">
        <f t="shared" si="0"/>
        <v>0</v>
      </c>
      <c r="I34" s="7" t="s">
        <v>37</v>
      </c>
      <c r="J34" s="4">
        <v>0.133</v>
      </c>
      <c r="K34" s="4">
        <f t="shared" si="6"/>
        <v>0</v>
      </c>
      <c r="L34" s="4">
        <f t="shared" si="8"/>
        <v>0.0665</v>
      </c>
      <c r="M34" s="4">
        <f t="shared" si="6"/>
        <v>0</v>
      </c>
      <c r="N34" s="7" t="s">
        <v>37</v>
      </c>
      <c r="O34" s="4">
        <v>0.702</v>
      </c>
      <c r="P34" s="4">
        <f t="shared" si="7"/>
        <v>0</v>
      </c>
      <c r="Q34" s="4">
        <f t="shared" si="9"/>
        <v>0.351</v>
      </c>
      <c r="R34" s="4">
        <f t="shared" si="7"/>
        <v>0</v>
      </c>
    </row>
    <row r="35" spans="2:18" ht="12.75">
      <c r="B35" s="2" t="s">
        <v>74</v>
      </c>
      <c r="C35" s="5">
        <v>0.001</v>
      </c>
      <c r="D35" s="5" t="s">
        <v>37</v>
      </c>
      <c r="E35" s="4">
        <v>0.227</v>
      </c>
      <c r="F35" s="4">
        <f t="shared" si="0"/>
        <v>0.00022700000000000002</v>
      </c>
      <c r="G35" s="4">
        <f t="shared" si="3"/>
        <v>0.1135</v>
      </c>
      <c r="H35" s="4">
        <f t="shared" si="0"/>
        <v>0.00011350000000000001</v>
      </c>
      <c r="I35" s="7" t="s">
        <v>37</v>
      </c>
      <c r="J35" s="4">
        <v>0.111</v>
      </c>
      <c r="K35" s="4">
        <f t="shared" si="6"/>
        <v>0.000111</v>
      </c>
      <c r="L35" s="4">
        <f t="shared" si="8"/>
        <v>0.0555</v>
      </c>
      <c r="M35" s="4">
        <f t="shared" si="6"/>
        <v>5.55E-05</v>
      </c>
      <c r="N35" s="7" t="s">
        <v>37</v>
      </c>
      <c r="O35" s="4">
        <v>0.263</v>
      </c>
      <c r="P35" s="4">
        <f t="shared" si="7"/>
        <v>0.000263</v>
      </c>
      <c r="Q35" s="4">
        <f t="shared" si="9"/>
        <v>0.1315</v>
      </c>
      <c r="R35" s="4">
        <f t="shared" si="7"/>
        <v>0.0001315</v>
      </c>
    </row>
    <row r="36" spans="5:17" ht="12.75">
      <c r="E36" s="11"/>
      <c r="G36" s="11"/>
      <c r="I36" s="32"/>
      <c r="J36" s="11"/>
      <c r="K36" s="11"/>
      <c r="L36" s="11"/>
      <c r="M36" s="11"/>
      <c r="N36" s="32"/>
      <c r="O36" s="11"/>
      <c r="Q36" s="11"/>
    </row>
    <row r="37" spans="2:18" ht="12.75">
      <c r="B37" s="2" t="s">
        <v>75</v>
      </c>
      <c r="E37" s="11">
        <v>122.171</v>
      </c>
      <c r="F37" s="11">
        <v>122.171</v>
      </c>
      <c r="G37" s="11">
        <v>122.171</v>
      </c>
      <c r="H37" s="11">
        <v>122.171</v>
      </c>
      <c r="I37" s="32"/>
      <c r="J37" s="11">
        <v>124.556</v>
      </c>
      <c r="K37" s="11">
        <v>124.556</v>
      </c>
      <c r="L37" s="11">
        <v>124.556</v>
      </c>
      <c r="M37" s="11">
        <v>124.556</v>
      </c>
      <c r="N37" s="32"/>
      <c r="O37" s="11">
        <v>126.513</v>
      </c>
      <c r="P37" s="11">
        <v>126.513</v>
      </c>
      <c r="Q37" s="11">
        <v>126.513</v>
      </c>
      <c r="R37" s="11">
        <v>126.513</v>
      </c>
    </row>
    <row r="38" spans="2:18" ht="12.75">
      <c r="B38" s="2" t="s">
        <v>76</v>
      </c>
      <c r="E38" s="11">
        <v>8.5</v>
      </c>
      <c r="F38" s="11">
        <v>8.5</v>
      </c>
      <c r="G38" s="11">
        <v>8.5</v>
      </c>
      <c r="H38" s="11">
        <v>8.5</v>
      </c>
      <c r="I38" s="32"/>
      <c r="J38" s="11">
        <v>8.1</v>
      </c>
      <c r="K38" s="11">
        <v>8.1</v>
      </c>
      <c r="L38" s="11">
        <v>8.1</v>
      </c>
      <c r="M38" s="11">
        <v>8.1</v>
      </c>
      <c r="N38" s="32"/>
      <c r="O38" s="11">
        <v>9.4</v>
      </c>
      <c r="P38" s="11">
        <v>9.4</v>
      </c>
      <c r="Q38" s="11">
        <v>9.4</v>
      </c>
      <c r="R38" s="11">
        <v>9.4</v>
      </c>
    </row>
    <row r="39" spans="5:17" ht="12.75">
      <c r="E39" s="11"/>
      <c r="G39" s="11"/>
      <c r="I39" s="32"/>
      <c r="J39" s="11"/>
      <c r="K39" s="11"/>
      <c r="L39" s="11"/>
      <c r="M39" s="11"/>
      <c r="N39" s="32"/>
      <c r="O39" s="11"/>
      <c r="Q39" s="11"/>
    </row>
    <row r="40" spans="2:18" ht="13.5" customHeight="1">
      <c r="B40" s="2" t="s">
        <v>77</v>
      </c>
      <c r="C40" s="4"/>
      <c r="D40" s="4"/>
      <c r="E40" s="4">
        <f>SUM(E35,E34,E31,E26,E23,E21,E20,E18,E14,E12)</f>
        <v>10.891</v>
      </c>
      <c r="F40" s="4">
        <f>SUM(F11:F35)</f>
        <v>0.232134</v>
      </c>
      <c r="G40" s="4">
        <f>SUM(G35,G34,G31,G26,G23,G21,G20,G18,G14,G12)</f>
        <v>8.7455</v>
      </c>
      <c r="H40" s="4">
        <f>SUM(H11:H35)</f>
        <v>0.122417</v>
      </c>
      <c r="I40" s="7"/>
      <c r="J40" s="4">
        <f>SUM(J35,J34,J31,J26,J23,J21,J20,J18,J14,J12)</f>
        <v>5.515499999999999</v>
      </c>
      <c r="K40" s="4">
        <f>SUM(K11:K35)</f>
        <v>0.10831099999999999</v>
      </c>
      <c r="L40" s="4">
        <f>SUM(L35,L34,L31,L26,L23,L21,L20,L18,L14,L12)</f>
        <v>3.9037500000000005</v>
      </c>
      <c r="M40" s="4">
        <f>SUM(M11:M35)</f>
        <v>0.054155499999999995</v>
      </c>
      <c r="N40" s="7"/>
      <c r="O40" s="4">
        <f>SUM(O35,O34,O31,O26,O23,O21,O20,O18,O14,O12)</f>
        <v>14.316</v>
      </c>
      <c r="P40" s="4">
        <f>SUM(P11:P35)</f>
        <v>0.291843</v>
      </c>
      <c r="Q40" s="4">
        <f>SUM(Q35,Q34,Q31,Q26,Q23,Q21,Q20,Q18,Q14,Q12)</f>
        <v>11.439</v>
      </c>
      <c r="R40" s="4">
        <f>SUM(R11:R35)</f>
        <v>0.1459215</v>
      </c>
    </row>
    <row r="41" spans="2:18" ht="12.75">
      <c r="B41" s="2" t="s">
        <v>78</v>
      </c>
      <c r="C41" s="4"/>
      <c r="D41" s="42">
        <f>(F41-H41)*2/F41*100</f>
        <v>94.529022030379</v>
      </c>
      <c r="E41" s="4">
        <f>E40/E37/0.0283*(21-7)/(21-E38)</f>
        <v>3.528021446392421</v>
      </c>
      <c r="F41" s="4">
        <f>F40/F37/0.0283*(21-7)/(21-F38)</f>
        <v>0.07519729413615446</v>
      </c>
      <c r="G41" s="4">
        <f>G40/G37/0.0283*(21-7)/(21-G38)</f>
        <v>2.83300996781057</v>
      </c>
      <c r="H41" s="4">
        <f>H40/H37/0.0283*(21-7)/(21-H38)</f>
        <v>0.03965566076604729</v>
      </c>
      <c r="I41" s="42">
        <f>(K41-M41)*2/K41*100</f>
        <v>100</v>
      </c>
      <c r="J41" s="4">
        <f>J40/J37/0.0283*(21-7)/(21-J38)</f>
        <v>1.698134658685991</v>
      </c>
      <c r="K41" s="4">
        <f>K40/K37/0.0283*(21-7)/(21-K38)</f>
        <v>0.03334723289220168</v>
      </c>
      <c r="L41" s="4">
        <f>L40/L37/0.0283*(21-7)/(21-L38)</f>
        <v>1.2019024882323341</v>
      </c>
      <c r="M41" s="4">
        <f>M40/M37/0.0283*(21-7)/(21-M38)</f>
        <v>0.01667361644610084</v>
      </c>
      <c r="N41" s="42">
        <f>(P41-R41)*2/P41*100</f>
        <v>100</v>
      </c>
      <c r="O41" s="4">
        <f>O40/O37/0.0283*(21-7)/(21-O38)</f>
        <v>4.825809192664919</v>
      </c>
      <c r="P41" s="4">
        <f>P40/P37/0.0283*(21-7)/(21-P38)</f>
        <v>0.09837794301584998</v>
      </c>
      <c r="Q41" s="4">
        <f>Q40/Q37/0.0283*(21-7)/(21-Q38)</f>
        <v>3.8559954844156197</v>
      </c>
      <c r="R41" s="4">
        <f>R40/R37/0.0283*(21-7)/(21-R38)</f>
        <v>0.04918897150792499</v>
      </c>
    </row>
    <row r="42" spans="5:17" ht="12.75">
      <c r="E42" s="12"/>
      <c r="G42" s="12"/>
      <c r="I42" s="33"/>
      <c r="J42" s="12"/>
      <c r="K42" s="12"/>
      <c r="L42" s="12"/>
      <c r="M42" s="12"/>
      <c r="N42" s="33"/>
      <c r="O42" s="12"/>
      <c r="Q42" s="12"/>
    </row>
    <row r="43" spans="2:23" s="11" customFormat="1" ht="12.75">
      <c r="B43" s="11" t="s">
        <v>108</v>
      </c>
      <c r="C43" s="11">
        <f>AVERAGE(G$40,L40,Q40)</f>
        <v>8.029416666666668</v>
      </c>
      <c r="F43" s="4"/>
      <c r="H43" s="4"/>
      <c r="I43" s="32"/>
      <c r="N43" s="32"/>
      <c r="P43" s="3"/>
      <c r="R43" s="3"/>
      <c r="S43" s="2"/>
      <c r="T43" s="2"/>
      <c r="U43" s="2"/>
      <c r="V43" s="2"/>
      <c r="W43" s="2"/>
    </row>
    <row r="44" spans="2:3" ht="12.75">
      <c r="B44" s="2" t="s">
        <v>109</v>
      </c>
      <c r="C44" s="4">
        <f>AVERAGE(H$41,M41,R41)</f>
        <v>0.035172749573357705</v>
      </c>
    </row>
    <row r="45" spans="5:18" ht="12.75">
      <c r="E45" s="2"/>
      <c r="G45" s="2"/>
      <c r="I45" s="5"/>
      <c r="J45" s="2"/>
      <c r="K45" s="2"/>
      <c r="L45" s="2"/>
      <c r="M45" s="2"/>
      <c r="N45" s="5"/>
      <c r="O45" s="2"/>
      <c r="P45" s="2"/>
      <c r="Q45" s="2"/>
      <c r="R45" s="2"/>
    </row>
    <row r="46" spans="5:18" ht="12.75">
      <c r="E46" s="2"/>
      <c r="G46" s="2"/>
      <c r="I46" s="5"/>
      <c r="J46" s="2"/>
      <c r="K46" s="2"/>
      <c r="L46" s="2"/>
      <c r="M46" s="2"/>
      <c r="N46" s="5"/>
      <c r="O46" s="2"/>
      <c r="P46" s="2"/>
      <c r="Q46" s="2"/>
      <c r="R46" s="2"/>
    </row>
    <row r="47" spans="5:18" ht="12.75">
      <c r="E47" s="2"/>
      <c r="G47" s="2"/>
      <c r="I47" s="5"/>
      <c r="J47" s="2"/>
      <c r="K47" s="2"/>
      <c r="L47" s="2"/>
      <c r="M47" s="2"/>
      <c r="N47" s="5"/>
      <c r="O47" s="2"/>
      <c r="P47" s="2"/>
      <c r="Q47" s="2"/>
      <c r="R47" s="2"/>
    </row>
    <row r="48" spans="5:18" ht="12.75">
      <c r="E48" s="2"/>
      <c r="G48" s="2"/>
      <c r="I48" s="5"/>
      <c r="J48" s="2"/>
      <c r="K48" s="2"/>
      <c r="L48" s="2"/>
      <c r="M48" s="2"/>
      <c r="N48" s="5"/>
      <c r="O48" s="2"/>
      <c r="P48" s="2"/>
      <c r="Q48" s="2"/>
      <c r="R48" s="2"/>
    </row>
    <row r="49" spans="5:18" ht="12.75">
      <c r="E49" s="2"/>
      <c r="G49" s="2"/>
      <c r="I49" s="5"/>
      <c r="J49" s="2"/>
      <c r="K49" s="2"/>
      <c r="L49" s="2"/>
      <c r="M49" s="2"/>
      <c r="N49" s="5"/>
      <c r="O49" s="2"/>
      <c r="P49" s="2"/>
      <c r="Q49" s="2"/>
      <c r="R49" s="2"/>
    </row>
    <row r="50" spans="5:18" ht="12.75">
      <c r="E50" s="2"/>
      <c r="G50" s="2"/>
      <c r="I50" s="5"/>
      <c r="J50" s="2"/>
      <c r="K50" s="2"/>
      <c r="L50" s="2"/>
      <c r="M50" s="2"/>
      <c r="N50" s="5"/>
      <c r="O50" s="2"/>
      <c r="P50" s="2"/>
      <c r="Q50" s="2"/>
      <c r="R50" s="2"/>
    </row>
    <row r="51" spans="5:18" ht="12.75">
      <c r="E51" s="2"/>
      <c r="G51" s="2"/>
      <c r="I51" s="5"/>
      <c r="J51" s="2"/>
      <c r="K51" s="2"/>
      <c r="L51" s="2"/>
      <c r="M51" s="2"/>
      <c r="N51" s="5"/>
      <c r="O51" s="2"/>
      <c r="P51" s="2"/>
      <c r="Q51" s="2"/>
      <c r="R51" s="2"/>
    </row>
    <row r="52" spans="5:18" ht="12.75">
      <c r="E52" s="2"/>
      <c r="G52" s="2"/>
      <c r="I52" s="5"/>
      <c r="J52" s="2"/>
      <c r="K52" s="2"/>
      <c r="L52" s="2"/>
      <c r="M52" s="2"/>
      <c r="N52" s="5"/>
      <c r="O52" s="2"/>
      <c r="P52" s="2"/>
      <c r="Q52" s="2"/>
      <c r="R52" s="2"/>
    </row>
    <row r="53" spans="5:18" ht="12.75">
      <c r="E53" s="2"/>
      <c r="G53" s="2"/>
      <c r="I53" s="5"/>
      <c r="J53" s="2"/>
      <c r="K53" s="2"/>
      <c r="L53" s="2"/>
      <c r="M53" s="2"/>
      <c r="N53" s="5"/>
      <c r="O53" s="2"/>
      <c r="P53" s="2"/>
      <c r="Q53" s="2"/>
      <c r="R53" s="2"/>
    </row>
    <row r="54" spans="5:18" ht="12.75">
      <c r="E54" s="2"/>
      <c r="G54" s="2"/>
      <c r="I54" s="5"/>
      <c r="J54" s="2"/>
      <c r="K54" s="2"/>
      <c r="L54" s="2"/>
      <c r="M54" s="2"/>
      <c r="N54" s="5"/>
      <c r="O54" s="2"/>
      <c r="P54" s="2"/>
      <c r="Q54" s="2"/>
      <c r="R54" s="2"/>
    </row>
    <row r="55" spans="5:18" ht="12.75">
      <c r="E55" s="2"/>
      <c r="G55" s="2"/>
      <c r="I55" s="5"/>
      <c r="J55" s="2"/>
      <c r="K55" s="2"/>
      <c r="L55" s="2"/>
      <c r="M55" s="2"/>
      <c r="N55" s="5"/>
      <c r="O55" s="2"/>
      <c r="P55" s="2"/>
      <c r="Q55" s="2"/>
      <c r="R55" s="2"/>
    </row>
    <row r="56" spans="5:18" ht="12.75">
      <c r="E56" s="2"/>
      <c r="G56" s="2"/>
      <c r="I56" s="5"/>
      <c r="J56" s="2"/>
      <c r="K56" s="2"/>
      <c r="L56" s="2"/>
      <c r="M56" s="2"/>
      <c r="N56" s="5"/>
      <c r="O56" s="2"/>
      <c r="P56" s="2"/>
      <c r="Q56" s="2"/>
      <c r="R56" s="2"/>
    </row>
    <row r="57" spans="5:18" ht="12.75">
      <c r="E57" s="2"/>
      <c r="G57" s="2"/>
      <c r="I57" s="5"/>
      <c r="J57" s="2"/>
      <c r="K57" s="2"/>
      <c r="L57" s="2"/>
      <c r="M57" s="2"/>
      <c r="N57" s="5"/>
      <c r="O57" s="2"/>
      <c r="P57" s="2"/>
      <c r="Q57" s="2"/>
      <c r="R57" s="2"/>
    </row>
    <row r="58" spans="5:18" ht="12.75">
      <c r="E58" s="2"/>
      <c r="G58" s="2"/>
      <c r="I58" s="5"/>
      <c r="J58" s="2"/>
      <c r="K58" s="2"/>
      <c r="L58" s="2"/>
      <c r="M58" s="2"/>
      <c r="N58" s="5"/>
      <c r="O58" s="2"/>
      <c r="P58" s="2"/>
      <c r="Q58" s="2"/>
      <c r="R58" s="2"/>
    </row>
    <row r="59" spans="5:18" ht="12.75">
      <c r="E59" s="2"/>
      <c r="G59" s="2"/>
      <c r="I59" s="5"/>
      <c r="J59" s="2"/>
      <c r="K59" s="2"/>
      <c r="L59" s="2"/>
      <c r="M59" s="2"/>
      <c r="N59" s="5"/>
      <c r="O59" s="2"/>
      <c r="P59" s="2"/>
      <c r="Q59" s="2"/>
      <c r="R59" s="2"/>
    </row>
    <row r="60" spans="5:18" ht="12.75">
      <c r="E60" s="2"/>
      <c r="G60" s="2"/>
      <c r="I60" s="5"/>
      <c r="J60" s="2"/>
      <c r="K60" s="2"/>
      <c r="L60" s="2"/>
      <c r="M60" s="2"/>
      <c r="N60" s="5"/>
      <c r="O60" s="2"/>
      <c r="P60" s="2"/>
      <c r="Q60" s="2"/>
      <c r="R60" s="2"/>
    </row>
    <row r="61" spans="5:18" ht="12.75">
      <c r="E61" s="2"/>
      <c r="G61" s="2"/>
      <c r="I61" s="5"/>
      <c r="J61" s="2"/>
      <c r="K61" s="2"/>
      <c r="L61" s="2"/>
      <c r="M61" s="2"/>
      <c r="N61" s="5"/>
      <c r="O61" s="2"/>
      <c r="P61" s="2"/>
      <c r="Q61" s="2"/>
      <c r="R61" s="2"/>
    </row>
    <row r="62" spans="5:18" ht="12.75">
      <c r="E62" s="2"/>
      <c r="G62" s="2"/>
      <c r="I62" s="5"/>
      <c r="J62" s="2"/>
      <c r="K62" s="2"/>
      <c r="L62" s="2"/>
      <c r="M62" s="2"/>
      <c r="N62" s="5"/>
      <c r="O62" s="2"/>
      <c r="P62" s="2"/>
      <c r="Q62" s="2"/>
      <c r="R62" s="2"/>
    </row>
    <row r="63" spans="5:18" ht="12.75">
      <c r="E63" s="2"/>
      <c r="G63" s="2"/>
      <c r="I63" s="5"/>
      <c r="J63" s="2"/>
      <c r="K63" s="2"/>
      <c r="L63" s="2"/>
      <c r="M63" s="2"/>
      <c r="N63" s="5"/>
      <c r="O63" s="2"/>
      <c r="P63" s="2"/>
      <c r="Q63" s="2"/>
      <c r="R63" s="2"/>
    </row>
    <row r="64" spans="5:18" ht="12.75">
      <c r="E64" s="2"/>
      <c r="G64" s="2"/>
      <c r="I64" s="5"/>
      <c r="J64" s="2"/>
      <c r="K64" s="2"/>
      <c r="L64" s="2"/>
      <c r="M64" s="2"/>
      <c r="N64" s="5"/>
      <c r="O64" s="2"/>
      <c r="P64" s="2"/>
      <c r="Q64" s="2"/>
      <c r="R64" s="2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2004-02-25T00:32:02Z</cp:lastPrinted>
  <dcterms:created xsi:type="dcterms:W3CDTF">2000-02-25T16:38:56Z</dcterms:created>
  <dcterms:modified xsi:type="dcterms:W3CDTF">2004-02-25T00:32:15Z</dcterms:modified>
  <cp:category/>
  <cp:version/>
  <cp:contentType/>
  <cp:contentStatus/>
</cp:coreProperties>
</file>