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lternatives" sheetId="1" r:id="rId1"/>
    <sheet name="Equilibrium" sheetId="2" r:id="rId2"/>
    <sheet name="15,25-5" sheetId="3" r:id="rId3"/>
    <sheet name="10,25-5" sheetId="4" r:id="rId4"/>
    <sheet name="15,45-0" sheetId="5" r:id="rId5"/>
    <sheet name="10,20-5" sheetId="6" r:id="rId6"/>
    <sheet name="20,20-0" sheetId="7" r:id="rId7"/>
    <sheet name="15,25-0" sheetId="8" r:id="rId8"/>
    <sheet name="Price Sensitivity" sheetId="9" r:id="rId9"/>
    <sheet name="$4.50 gas" sheetId="10" r:id="rId10"/>
    <sheet name="EIA Prices" sheetId="11" r:id="rId11"/>
    <sheet name="Total Roy" sheetId="12" r:id="rId12"/>
  </sheets>
  <definedNames>
    <definedName name="_xlnm.Print_Area" localSheetId="9">'$4.50 gas'!$A$1:$R$70</definedName>
    <definedName name="_xlnm.Print_Area" localSheetId="5">'10,20-5'!$A$1:$R$70</definedName>
    <definedName name="_xlnm.Print_Area" localSheetId="2">'15,25-5'!$A$1:$R$70</definedName>
    <definedName name="_xlnm.Print_Area" localSheetId="4">'15,45-0'!$A$1:$R$70</definedName>
    <definedName name="_xlnm.Print_Area" localSheetId="6">'20,20-0'!$A$1:$R$70</definedName>
    <definedName name="_xlnm.Print_Area" localSheetId="0">'Alternatives'!$A$1:$N$19</definedName>
    <definedName name="_xlnm.Print_Area" localSheetId="10">'EIA Prices'!$A$1:$S$70</definedName>
    <definedName name="_xlnm.Print_Area" localSheetId="11">'Total Roy'!$A$1:$K$70</definedName>
  </definedNames>
  <calcPr fullCalcOnLoad="1"/>
</workbook>
</file>

<file path=xl/sharedStrings.xml><?xml version="1.0" encoding="utf-8"?>
<sst xmlns="http://schemas.openxmlformats.org/spreadsheetml/2006/main" count="1920" uniqueCount="363">
  <si>
    <t>Assumptions</t>
  </si>
  <si>
    <t>Net Royalty Production Change</t>
  </si>
  <si>
    <t>RSV to leases that would have drilled deep well w/o incentive</t>
  </si>
  <si>
    <t>Bcf</t>
  </si>
  <si>
    <t>Average landed price of gas</t>
  </si>
  <si>
    <t>per mcf</t>
  </si>
  <si>
    <t>Average transportation cost</t>
  </si>
  <si>
    <t>Royalty rate</t>
  </si>
  <si>
    <t>Bcfe</t>
  </si>
  <si>
    <t>Tax rate</t>
  </si>
  <si>
    <t>Net benefits in extra royalties (Bcf)</t>
  </si>
  <si>
    <t>RSV at 15K to 18K ft</t>
  </si>
  <si>
    <t>RSV at &gt; 18K ft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</si>
  <si>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</si>
  <si>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</si>
  <si>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</si>
  <si>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</si>
  <si>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</si>
  <si>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</si>
  <si>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</si>
  <si>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</si>
  <si>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</si>
  <si>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</si>
  <si>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Foregone Royalties</t>
  </si>
  <si>
    <t>Incremetal</t>
  </si>
  <si>
    <t>RSV on</t>
  </si>
  <si>
    <t>Royalty-Free</t>
  </si>
  <si>
    <t>Incremental Royalty-Bearing</t>
  </si>
  <si>
    <t>Incremental</t>
  </si>
  <si>
    <t>Net Change in</t>
  </si>
  <si>
    <t>Earned</t>
  </si>
  <si>
    <t>Used</t>
  </si>
  <si>
    <t>Reserves</t>
  </si>
  <si>
    <t>Increment</t>
  </si>
  <si>
    <t>Gas Flow</t>
  </si>
  <si>
    <t>Gas</t>
  </si>
  <si>
    <t>Condensate</t>
  </si>
  <si>
    <t>Production</t>
  </si>
  <si>
    <t>AT Royalty</t>
  </si>
  <si>
    <t>Average duration of RSV production (yrs)</t>
  </si>
  <si>
    <t>Year</t>
  </si>
  <si>
    <t>RSV</t>
  </si>
  <si>
    <t>RSS</t>
  </si>
  <si>
    <t>MMbbls</t>
  </si>
  <si>
    <t>million $</t>
  </si>
  <si>
    <t>Gas/oil production ratio</t>
  </si>
  <si>
    <t>mcf/bbl</t>
  </si>
  <si>
    <t>Thermal Gas/oil ratio</t>
  </si>
  <si>
    <t>/bbl//mcf</t>
  </si>
  <si>
    <t>Average duration of post RSV production-15</t>
  </si>
  <si>
    <t>Average duration of post RSV production-18</t>
  </si>
  <si>
    <t>Average duration of all post RSV prodn</t>
  </si>
  <si>
    <t>RSS at &gt; 18K ft</t>
  </si>
  <si>
    <t>Average duration of RSS production</t>
  </si>
  <si>
    <t>years</t>
  </si>
  <si>
    <t># deep wells</t>
  </si>
  <si>
    <t>15K-18K '</t>
  </si>
  <si>
    <t>18K '</t>
  </si>
  <si>
    <t>drilled/discovered</t>
  </si>
  <si>
    <t>without</t>
  </si>
  <si>
    <t>with</t>
  </si>
  <si>
    <t>Annual average #</t>
  </si>
  <si>
    <t>incentive</t>
  </si>
  <si>
    <t>at historic rates</t>
  </si>
  <si>
    <t>at 1/3 COS</t>
  </si>
  <si>
    <t>at 1/5 COS</t>
  </si>
  <si>
    <t>Discoveries</t>
  </si>
  <si>
    <t>15K'-18K'</t>
  </si>
  <si>
    <t>&gt;18K'</t>
  </si>
  <si>
    <t>Undiscovered Resources</t>
  </si>
  <si>
    <t>2 - 4</t>
  </si>
  <si>
    <t>4 - 16</t>
  </si>
  <si>
    <t>Resources discovered/yr w/o incentive</t>
  </si>
  <si>
    <t>Total discovered over 6 yrs</t>
  </si>
  <si>
    <t>Resoruces discovered/yr w/ incentive</t>
  </si>
  <si>
    <t>Incremental reserves</t>
  </si>
  <si>
    <t>Total reserves found 2003-2008</t>
  </si>
  <si>
    <t>Net Present Value at</t>
  </si>
  <si>
    <t>Avg discovery size Bcfe</t>
  </si>
  <si>
    <t>Resource effects (TCFE)</t>
  </si>
  <si>
    <t>EIA Price</t>
  </si>
  <si>
    <t>L</t>
  </si>
  <si>
    <t>Forecast</t>
  </si>
  <si>
    <t>Net Change</t>
  </si>
  <si>
    <t>Forecast Absolute Royalties With and Without Proposal</t>
  </si>
  <si>
    <t>Gas (BCF)</t>
  </si>
  <si>
    <t>Oil (MMB)</t>
  </si>
  <si>
    <t>(OMB prices)</t>
  </si>
  <si>
    <t>Royalty Receipts</t>
  </si>
  <si>
    <t>BT Royalty with</t>
  </si>
  <si>
    <t>Total</t>
  </si>
  <si>
    <t>Ineligible Leases</t>
  </si>
  <si>
    <t>11-yr Total</t>
  </si>
  <si>
    <t>BCF</t>
  </si>
  <si>
    <t>Wellhead gas price used in Economic Analysis =</t>
  </si>
  <si>
    <t>OMB wellhead gas price, simple average =</t>
  </si>
  <si>
    <t>Ratio of price assumed in analysis =</t>
  </si>
  <si>
    <t>A</t>
  </si>
  <si>
    <t>Oil ($MM)</t>
  </si>
  <si>
    <t>Gas ($MM)</t>
  </si>
  <si>
    <t>Column K is 12% larger than column F because column F includes royalties that would</t>
  </si>
  <si>
    <t>N</t>
  </si>
  <si>
    <t>O</t>
  </si>
  <si>
    <t>Deep Wells Drilled Anyway</t>
  </si>
  <si>
    <t>Totals</t>
  </si>
  <si>
    <t>RSS Used</t>
  </si>
  <si>
    <t>RSS Earned</t>
  </si>
  <si>
    <t>w/ Incentive</t>
  </si>
  <si>
    <t>Difference</t>
  </si>
  <si>
    <t>Gas Production</t>
  </si>
  <si>
    <t>On Leases w/ no prior deep production</t>
  </si>
  <si>
    <t>Res. Added</t>
  </si>
  <si>
    <t>Wells per field discovered with incentive</t>
  </si>
  <si>
    <t>Production w/ no incentive</t>
  </si>
  <si>
    <t>Checks</t>
  </si>
  <si>
    <t>no Incentive</t>
  </si>
  <si>
    <t>RSS to leases w/shallow production that drilled very deep w/ incentive</t>
  </si>
  <si>
    <t xml:space="preserve">B </t>
  </si>
  <si>
    <t>M</t>
  </si>
  <si>
    <t>P</t>
  </si>
  <si>
    <t>Q</t>
  </si>
  <si>
    <t>R</t>
  </si>
  <si>
    <t>S</t>
  </si>
  <si>
    <t>T</t>
  </si>
  <si>
    <t>Discount Rate</t>
  </si>
  <si>
    <t>Base U.S.</t>
  </si>
  <si>
    <t>Equilibrium</t>
  </si>
  <si>
    <t>Price</t>
  </si>
  <si>
    <t>Production and Fiscal Effects of Incentive</t>
  </si>
  <si>
    <t>Elasticity of U.S. Supply</t>
  </si>
  <si>
    <t>Liquids portion of RSV value</t>
  </si>
  <si>
    <t>Elasticity of U.S. Demand</t>
  </si>
  <si>
    <t>Leases w/ 18K' dry wells w/ other production</t>
  </si>
  <si>
    <t>Average well flow rate Bcfy</t>
  </si>
  <si>
    <t>Discount Period</t>
  </si>
  <si>
    <t>Discount Factor</t>
  </si>
  <si>
    <t>Incentives apply to wells drilled 2003-08, production starting 2004-09</t>
  </si>
  <si>
    <t>Market and Product Characteristics</t>
  </si>
  <si>
    <t>Incentive Size and Duration</t>
  </si>
  <si>
    <t>Production years without incentive, rounded</t>
  </si>
  <si>
    <t>Rounded</t>
  </si>
  <si>
    <t>Social Welfare Effects</t>
  </si>
  <si>
    <t>Drilling Intensity Effects</t>
  </si>
  <si>
    <t>Condensate/Gas price</t>
  </si>
  <si>
    <t>Gas in deep production</t>
  </si>
  <si>
    <t>Net Social</t>
  </si>
  <si>
    <t>U</t>
  </si>
  <si>
    <t>PV</t>
  </si>
  <si>
    <t>Production on</t>
  </si>
  <si>
    <t>Ratio of change in supply to change in equilibrium quantity</t>
  </si>
  <si>
    <t>Royalty Effect of Deep Gas Rule (10, 20/5)</t>
  </si>
  <si>
    <t>Added Production/Forgone Royalty Production</t>
  </si>
  <si>
    <t>Exp Value</t>
  </si>
  <si>
    <t>Royalty Effect of Deep Gas Rule (15, 25/5)</t>
  </si>
  <si>
    <t>Average well flow rate shallower than 15K' (Bcfy)</t>
  </si>
  <si>
    <t>Option</t>
  </si>
  <si>
    <t># of Wells Drilled Annually (successful)</t>
  </si>
  <si>
    <t>Expected Size of reservoirs, Bcfe</t>
  </si>
  <si>
    <t>BCF Gas</t>
  </si>
  <si>
    <t>MMbbls Oil</t>
  </si>
  <si>
    <t>No incentive</t>
  </si>
  <si>
    <t>37 (12), 11 (3)</t>
  </si>
  <si>
    <t>21, 30.5</t>
  </si>
  <si>
    <t>45.5 (60), 97.3</t>
  </si>
  <si>
    <t>Gas share of deep well flow</t>
  </si>
  <si>
    <t>Incremental hydrocarbons discovered, Bcfe</t>
  </si>
  <si>
    <t>Acceleration premium for hydrocarbons discovered earlier,        Bcfe</t>
  </si>
  <si>
    <t>18-yr total</t>
  </si>
  <si>
    <t>Royalty shares</t>
  </si>
  <si>
    <t>MM$</t>
  </si>
  <si>
    <t>na</t>
  </si>
  <si>
    <t>Discount rate</t>
  </si>
  <si>
    <t>Each Year Incentive in Effect</t>
  </si>
  <si>
    <t>Cumulative Effects</t>
  </si>
  <si>
    <t>Deep Production from Undiscovered Fields, TCF</t>
  </si>
  <si>
    <t>Total hydrocarbon + Acceleration premium Discovered, Bcfe</t>
  </si>
  <si>
    <t xml:space="preserve">Proposed Alternative I: 15 BCF 15,000-18,000 ft, 25 BCF &gt;18,000ft + 5 BCF for up to 2 unsucessful wells&gt;18,000 ft </t>
  </si>
  <si>
    <t>Implicit royalty/mcf</t>
  </si>
  <si>
    <t>Total incremental reserves Tcfe</t>
  </si>
  <si>
    <t>Added Production, TCFE relative to Forgone Royalty,TCF</t>
  </si>
  <si>
    <t>Value of added production</t>
  </si>
  <si>
    <t>$/mcf</t>
  </si>
  <si>
    <t>Base w/ higher price: $3.50 to $5/mcf =&gt; effect of incentive; so $3.50 to $4.50/mcf =&gt; 2/3s the effect of proposed incentive.</t>
  </si>
  <si>
    <t>Incentive at $4.50 =&gt; 30% (vs 50%) more wells in 15K'-18K', 80% (vs 200%) more wells in &gt;18k".</t>
  </si>
  <si>
    <t>Royalty Effect of Deep Gas Rule (15, 25/5) with $4.50/mcf Gas Prices</t>
  </si>
  <si>
    <t>Royalty Effect of Deep Gas Rule (15, 25/5) with EIA Price Forecast</t>
  </si>
  <si>
    <t>average</t>
  </si>
  <si>
    <t>wt avg</t>
  </si>
  <si>
    <t>Revenue</t>
  </si>
  <si>
    <t>w/ EIA</t>
  </si>
  <si>
    <t>Prices</t>
  </si>
  <si>
    <t>Price Sensitivity</t>
  </si>
  <si>
    <t>Alternative I: $4.50/mcf rather than $3.50/mcf</t>
  </si>
  <si>
    <t>Alternative I: EIA price trend rather than flat $3.50/mcf</t>
  </si>
  <si>
    <t>Incentive at EIA prices =&gt; same increment as proposal.</t>
  </si>
  <si>
    <t>Added</t>
  </si>
  <si>
    <t>Added Royalty-Bearing</t>
  </si>
  <si>
    <t>Incremental + accelerated reserves</t>
  </si>
  <si>
    <t>GOM Royalty Production</t>
  </si>
  <si>
    <t>Leased Developed</t>
  </si>
  <si>
    <t>Implicit Royalty/mcf  =  G/E =</t>
  </si>
  <si>
    <t>Implicit Royalty/bbl  =  F/D =</t>
  </si>
  <si>
    <t>PV at</t>
  </si>
  <si>
    <t>Total Gulf of Mexico (GOM) production</t>
  </si>
  <si>
    <t>Percent Change in Price</t>
  </si>
  <si>
    <t xml:space="preserve">Sensitivty of Proposal Effects to Price Assumption </t>
  </si>
  <si>
    <t>Base w/ EIA (lower) prices (average $2.90/mcf) =&gt; 1 less success at 15K'-18K' and 1/2 less success in &gt;18K'.</t>
  </si>
  <si>
    <t>OIL AND GAS PRICE EFFECTS</t>
  </si>
  <si>
    <t>assuming constant elasticity of demand and supply across changes</t>
  </si>
  <si>
    <t>INPUT ASSUMPTIONS</t>
  </si>
  <si>
    <t>GAS (in 2005)</t>
  </si>
  <si>
    <t>GAS (in 2010)</t>
  </si>
  <si>
    <t>GAS (in 2015)</t>
  </si>
  <si>
    <t>SOURCE</t>
  </si>
  <si>
    <t>Quantity Demanded U.S.</t>
  </si>
  <si>
    <r>
      <t>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a</t>
    </r>
  </si>
  <si>
    <t>TCF/yr</t>
  </si>
  <si>
    <t>[AEO 2003, T A11 &amp; A13]</t>
  </si>
  <si>
    <r>
      <t>E</t>
    </r>
    <r>
      <rPr>
        <vertAlign val="subscript"/>
        <sz val="10"/>
        <rFont val="Arial"/>
        <family val="2"/>
      </rPr>
      <t>D</t>
    </r>
  </si>
  <si>
    <r>
      <t>(%</t>
    </r>
    <r>
      <rPr>
        <sz val="10"/>
        <rFont val="Arial"/>
        <family val="2"/>
      </rPr>
      <t>∆Q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/%</t>
    </r>
    <r>
      <rPr>
        <sz val="10"/>
        <rFont val="Arial"/>
        <family val="2"/>
      </rPr>
      <t>∆</t>
    </r>
    <r>
      <rPr>
        <sz val="10"/>
        <rFont val="Arial"/>
        <family val="0"/>
      </rPr>
      <t>P); [Foster, T7, 2000]</t>
    </r>
  </si>
  <si>
    <t>P = b</t>
  </si>
  <si>
    <t>[AEO 2003, T A12 &amp; A14]</t>
  </si>
  <si>
    <t>Quantity Supplied  U.S.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</si>
  <si>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a</t>
    </r>
  </si>
  <si>
    <r>
      <t>E</t>
    </r>
    <r>
      <rPr>
        <vertAlign val="subscript"/>
        <sz val="10"/>
        <rFont val="Arial"/>
        <family val="2"/>
      </rPr>
      <t>S</t>
    </r>
  </si>
  <si>
    <t>wtd avg</t>
  </si>
  <si>
    <r>
      <t>(%</t>
    </r>
    <r>
      <rPr>
        <sz val="10"/>
        <rFont val="Arial"/>
        <family val="2"/>
      </rPr>
      <t>∆Q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/%</t>
    </r>
    <r>
      <rPr>
        <sz val="10"/>
        <rFont val="Arial"/>
        <family val="2"/>
      </rPr>
      <t>∆</t>
    </r>
    <r>
      <rPr>
        <sz val="10"/>
        <rFont val="Arial"/>
        <family val="0"/>
      </rPr>
      <t>P); [Foster, T7, 2000]</t>
    </r>
  </si>
  <si>
    <t>CALCULATIONS</t>
  </si>
  <si>
    <t>Change in OCS Supply</t>
  </si>
  <si>
    <t>x</t>
  </si>
  <si>
    <t>= e - a</t>
  </si>
  <si>
    <t>Change in Price</t>
  </si>
  <si>
    <t>∆P</t>
  </si>
  <si>
    <t>= b - d</t>
  </si>
  <si>
    <t>U.S. Demand</t>
  </si>
  <si>
    <r>
      <t>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c</t>
    </r>
  </si>
  <si>
    <r>
      <t>= [(Q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/P) * (Ed * </t>
    </r>
    <r>
      <rPr>
        <sz val="10"/>
        <rFont val="Arial"/>
        <family val="2"/>
      </rPr>
      <t>∆P</t>
    </r>
    <r>
      <rPr>
        <sz val="10"/>
        <rFont val="Arial"/>
        <family val="0"/>
      </rPr>
      <t>)] + Q</t>
    </r>
    <r>
      <rPr>
        <vertAlign val="subscript"/>
        <sz val="10"/>
        <rFont val="Arial"/>
        <family val="2"/>
      </rPr>
      <t>D</t>
    </r>
  </si>
  <si>
    <t>U.S. Supply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</si>
  <si>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</t>
    </r>
  </si>
  <si>
    <r>
      <t>= {[(Q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+ x)/P] * (E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* </t>
    </r>
    <r>
      <rPr>
        <sz val="10"/>
        <rFont val="Arial"/>
        <family val="2"/>
      </rPr>
      <t>∆P</t>
    </r>
    <r>
      <rPr>
        <sz val="10"/>
        <rFont val="Arial"/>
        <family val="0"/>
      </rPr>
      <t>)} + (Q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+ x)</t>
    </r>
  </si>
  <si>
    <t>Net change in quantity</t>
  </si>
  <si>
    <t>c - a</t>
  </si>
  <si>
    <t>BCF/yr</t>
  </si>
  <si>
    <r>
      <t>= (c - a</t>
    </r>
    <r>
      <rPr>
        <sz val="10"/>
        <rFont val="Arial"/>
        <family val="0"/>
      </rPr>
      <t>)</t>
    </r>
  </si>
  <si>
    <t>% of S shift</t>
  </si>
  <si>
    <t>= (c - a)/(e - a)</t>
  </si>
  <si>
    <t>New price</t>
  </si>
  <si>
    <t>d</t>
  </si>
  <si>
    <t>= b + (d - b)</t>
  </si>
  <si>
    <t>Supply price change</t>
  </si>
  <si>
    <t>b - f</t>
  </si>
  <si>
    <t>= $3.25/6</t>
  </si>
  <si>
    <t>Net social surplus</t>
  </si>
  <si>
    <t>ghj</t>
  </si>
  <si>
    <t>= [(b - f) * (c - a)]/2</t>
  </si>
  <si>
    <t>Gas Supply Elasticity</t>
  </si>
  <si>
    <t>Onshore</t>
  </si>
  <si>
    <r>
      <t>Es</t>
    </r>
    <r>
      <rPr>
        <vertAlign val="superscript"/>
        <sz val="10"/>
        <rFont val="Arial"/>
        <family val="2"/>
      </rPr>
      <t>gas</t>
    </r>
    <r>
      <rPr>
        <sz val="10"/>
        <rFont val="Arial"/>
        <family val="0"/>
      </rPr>
      <t xml:space="preserve"> =</t>
    </r>
  </si>
  <si>
    <t>Net Imports</t>
  </si>
  <si>
    <t>Offshore</t>
  </si>
  <si>
    <t>Weighted average</t>
  </si>
  <si>
    <t>Gas Supply Components in 2005</t>
  </si>
  <si>
    <t>Comparison of Proposal with 3 Alternative RSV and RSS Levels</t>
  </si>
  <si>
    <t>Incremental + Accelerated reserves</t>
  </si>
  <si>
    <t>Added reserves = incremental reserves (those never produced w/o incentive plus PV premium from producing accelerated reserves earlier.</t>
  </si>
  <si>
    <t>Expected Size of incremental (accelerated) reservoirs, Bcfe</t>
  </si>
  <si>
    <t>45.5 (60), 97.3 (97.3)</t>
  </si>
  <si>
    <t>Added Wells</t>
  </si>
  <si>
    <t>Added hydrocarbons</t>
  </si>
  <si>
    <t>Added Gas</t>
  </si>
  <si>
    <t>Added Oil</t>
  </si>
  <si>
    <t>Royalty Receipts from New Deep Gas Production, $millions</t>
  </si>
  <si>
    <t>Added Deep Production</t>
  </si>
  <si>
    <t>Benefit/Cost</t>
  </si>
  <si>
    <t>Present Value Royalty Receipts from New Deep Gas Production, $millions</t>
  </si>
  <si>
    <t>17 (6), 24 (4)</t>
  </si>
  <si>
    <t>17 (6), 19 (3)</t>
  </si>
  <si>
    <t>11 (4), 24 (4)</t>
  </si>
  <si>
    <t>Transfer from</t>
  </si>
  <si>
    <t>Gov't to</t>
  </si>
  <si>
    <t>Producers</t>
  </si>
  <si>
    <t>Demand</t>
  </si>
  <si>
    <t>Change in Equilibrium</t>
  </si>
  <si>
    <t xml:space="preserve">Quantity </t>
  </si>
  <si>
    <t>to Consumers</t>
  </si>
  <si>
    <t>Present Value of Transfer from Government to Producers, million $</t>
  </si>
  <si>
    <t>Present Value of Transfer from Producers to Consumers, million $</t>
  </si>
  <si>
    <t>Producer Gain</t>
  </si>
  <si>
    <t>Consumer Gain</t>
  </si>
  <si>
    <t>Social Gain</t>
  </si>
  <si>
    <t>Government Loss</t>
  </si>
  <si>
    <t>New Production</t>
  </si>
  <si>
    <t>Production Moved Forward</t>
  </si>
  <si>
    <t>Discovery Sizes</t>
  </si>
  <si>
    <t>V</t>
  </si>
  <si>
    <t>X</t>
  </si>
  <si>
    <t>W</t>
  </si>
  <si>
    <t>No incentive AT $4.50/MCF</t>
  </si>
  <si>
    <t>No incentive AT $2.90/MCF</t>
  </si>
  <si>
    <t>50 (16), 28 (5.67)</t>
  </si>
  <si>
    <t>13 (5), 30 (5.67) to 22 (4.33)</t>
  </si>
  <si>
    <t>34 (11), 9 (2.5)</t>
  </si>
  <si>
    <t>17 (6), 23 (6.5)</t>
  </si>
  <si>
    <t>Ratio of Deep production from undiscovered fields to Total hydrocarbons + acceleration premium discovered in base case =</t>
  </si>
  <si>
    <t>Royalty Effect of Deep Gas Rule (15, 25/0)</t>
  </si>
  <si>
    <t>Royalty Effect of Deep Gas Rule (High RSV = 15, 45/0)</t>
  </si>
  <si>
    <t>Royalty Effect of Deep Gas Rule (Sale Terms = 20, 20/0)</t>
  </si>
  <si>
    <t xml:space="preserve">Proposal Alternative 1: 15 BCF 15,000-18,000 ft, 25 BCF &gt;18,000ft + 5 BCF for up to 2 unsucessful wells&gt;18,000 ft </t>
  </si>
  <si>
    <t>Alternative 2: 10 BCF 15,000-18,000 ft, 25 BCF &gt;18,000 + 5 BCF for up to 2 unsuccessful wells &gt;18,000 ft</t>
  </si>
  <si>
    <t>Alternative 3: 10 BCF 15,000-18,000 ft, 20 BCF &gt;18,000 + 5 BCF for up to 2 unsuccessful wells &gt;18,000 ft</t>
  </si>
  <si>
    <t>Alternative 4: 15 BCF 15,000-18,000, 25 BCF &gt;18,000 ft</t>
  </si>
  <si>
    <t>Alternative 6: Recent Lease Terms: 20 BFC &gt;15,000 ft</t>
  </si>
  <si>
    <t>Alternative 5: 15 BCF 15,000-18,000, 45 BCF &gt;18,000 ft</t>
  </si>
  <si>
    <t>11 (4), 21.5 (3.5)</t>
  </si>
  <si>
    <t>17 (6), 11.5 (1.5)</t>
  </si>
  <si>
    <t>23 (8), 9 (1)</t>
  </si>
  <si>
    <t>Royalty Effect of Deep Gas Rule (10, 25/5)</t>
  </si>
  <si>
    <t>Existing Wells</t>
  </si>
  <si>
    <t>Without DGRR</t>
  </si>
  <si>
    <t>Royalty Paid</t>
  </si>
  <si>
    <t xml:space="preserve">by Existing  </t>
  </si>
  <si>
    <t>DG Wells</t>
  </si>
  <si>
    <t>Deep Gas</t>
  </si>
  <si>
    <t>Anyway</t>
  </si>
  <si>
    <t>by DGRR</t>
  </si>
  <si>
    <t>With DGRR</t>
  </si>
  <si>
    <t>No Deep Gas Royalty Relief (DGRR)</t>
  </si>
  <si>
    <t>Deep Gas Royalty from</t>
  </si>
  <si>
    <t xml:space="preserve">Wells Drilled  </t>
  </si>
  <si>
    <t>Share of gas production from the 162 wells that are deeper than 15,000 ft TVD SS on leases in water &lt; 200 meters deep in GOM =</t>
  </si>
  <si>
    <t>Gas/oil production ratio =</t>
  </si>
  <si>
    <t>Thermal Gas/oil ratio =</t>
  </si>
  <si>
    <t>Gas in deep production =</t>
  </si>
  <si>
    <t>Average production years for deep gas well without incentive =</t>
  </si>
  <si>
    <t>rounded =</t>
  </si>
  <si>
    <t xml:space="preserve">Deep gas incentive reduces total expected GOM royalty collections by 1.1% ($52.1 billion to $51.5 billion) over next 11 years, or 0.4% over next 18 years. </t>
  </si>
  <si>
    <t>Total $MM</t>
  </si>
  <si>
    <t>Proposed Deep Gas Royalty Relief</t>
  </si>
  <si>
    <t>Adjusted for</t>
  </si>
  <si>
    <t>Price difference</t>
  </si>
  <si>
    <t>Deep Gas Production in GOM</t>
  </si>
  <si>
    <t>Leases</t>
  </si>
  <si>
    <t xml:space="preserve">on Ineligible  </t>
  </si>
  <si>
    <t xml:space="preserve">Wells Added  </t>
  </si>
  <si>
    <t xml:space="preserve">O </t>
  </si>
  <si>
    <t xml:space="preserve">P </t>
  </si>
  <si>
    <t>Finding</t>
  </si>
  <si>
    <t>Discount period for accelerated production</t>
  </si>
  <si>
    <t>45.5 (60),  97.3 (97.3)</t>
  </si>
  <si>
    <t>PV premium on accelerated production</t>
  </si>
  <si>
    <t>Incremental production</t>
  </si>
  <si>
    <t xml:space="preserve">Increased reserves discovered per year </t>
  </si>
  <si>
    <t>RSV used by incremental and accelerated wells drilled w/ incentive</t>
  </si>
  <si>
    <t>Added production (incremental + acceleration premium)</t>
  </si>
  <si>
    <t>Accelerated portion of increase in 15K'-18K'</t>
  </si>
  <si>
    <t>Accelerated portion of increase in &gt;18K'</t>
  </si>
  <si>
    <t>Percent Change in Net Social Benefit</t>
  </si>
  <si>
    <t>Cumulative Difference</t>
  </si>
  <si>
    <t>Deep gas incentive reduces expected GOM royalty collections from deep gas production by 7% ($3.544 billion to $3.294 billion)</t>
  </si>
  <si>
    <t xml:space="preserve"> or 15% on a present value basis ($2.158 billion to $1.836 billion) over the next 15 years.</t>
  </si>
  <si>
    <t>Benefits</t>
  </si>
  <si>
    <t>Present Value Net Social Benefits from Incentive, $millions</t>
  </si>
  <si>
    <t>Net Social Benefits from Incentive, $millions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</si>
</sst>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&quot;$&quot;#,##0.0"/>
    <numFmt numFmtId="168" formatCode="#,##0.0"/>
    <numFmt numFmtId="169" formatCode="&quot;$&quot;#,##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"/>
    <numFmt numFmtId="177" formatCode="&quot;$&quot;#,##0.0000"/>
    <numFmt numFmtId="178" formatCode="[$-409]dddd\,\ mmmm\ dd\,\ yyyy"/>
    <numFmt numFmtId="179" formatCode="m/d/yy;@"/>
    <numFmt numFmtId="180" formatCode="m/d/yyyy;@"/>
    <numFmt numFmtId="181" formatCode="0.000%"/>
    <numFmt numFmtId="182" formatCode="&quot;$&quot;#,##0.0_);[Red]\(&quot;$&quot;#,##0.0\)"/>
    <numFmt numFmtId="183" formatCode="_(* #,##0.0000_);_(* \(#,##0.0000\);_(* &quot;-&quot;??_);_(@_)"/>
    <numFmt numFmtId="184" formatCode="[$-409]mmmm\ d\,\ yyyy;@"/>
  </numFmts>
  <fonts count="2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165" fontId="0" fillId="0" borderId="0" xfId="21" applyNumberFormat="1" applyFill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8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23" xfId="21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21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21" applyNumberFormat="1" applyFont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3" fontId="0" fillId="0" borderId="18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69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0" fillId="0" borderId="7" xfId="0" applyBorder="1" applyAlignment="1">
      <alignment/>
    </xf>
    <xf numFmtId="169" fontId="0" fillId="0" borderId="19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2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21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29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/>
    </xf>
    <xf numFmtId="9" fontId="0" fillId="0" borderId="0" xfId="2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21" applyNumberFormat="1" applyBorder="1" applyAlignment="1" applyProtection="1">
      <alignment horizontal="center"/>
      <protection locked="0"/>
    </xf>
    <xf numFmtId="9" fontId="0" fillId="0" borderId="0" xfId="2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6" fontId="0" fillId="0" borderId="4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3" fontId="0" fillId="0" borderId="1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4" xfId="0" applyBorder="1" applyAlignment="1">
      <alignment/>
    </xf>
    <xf numFmtId="3" fontId="0" fillId="0" borderId="19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2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181" fontId="0" fillId="0" borderId="0" xfId="21" applyNumberFormat="1" applyFont="1" applyBorder="1" applyAlignment="1">
      <alignment horizontal="center"/>
    </xf>
    <xf numFmtId="165" fontId="0" fillId="0" borderId="0" xfId="21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0" fontId="0" fillId="0" borderId="28" xfId="0" applyBorder="1" applyAlignment="1" applyProtection="1">
      <alignment horizontal="center"/>
      <protection hidden="1"/>
    </xf>
    <xf numFmtId="176" fontId="0" fillId="0" borderId="2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Fill="1" applyBorder="1" applyAlignment="1">
      <alignment/>
    </xf>
    <xf numFmtId="165" fontId="0" fillId="0" borderId="4" xfId="21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/>
    </xf>
    <xf numFmtId="165" fontId="0" fillId="0" borderId="16" xfId="21" applyNumberFormat="1" applyBorder="1" applyAlignment="1">
      <alignment horizontal="center"/>
    </xf>
    <xf numFmtId="9" fontId="0" fillId="0" borderId="16" xfId="2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16" xfId="0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2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2" borderId="16" xfId="0" applyFill="1" applyBorder="1" applyAlignment="1">
      <alignment/>
    </xf>
    <xf numFmtId="0" fontId="8" fillId="0" borderId="0" xfId="0" applyFont="1" applyAlignment="1">
      <alignment/>
    </xf>
    <xf numFmtId="169" fontId="0" fillId="0" borderId="3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0" fontId="3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21" applyNumberFormat="1" applyFont="1" applyAlignment="1">
      <alignment/>
    </xf>
    <xf numFmtId="167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 wrapText="1"/>
    </xf>
    <xf numFmtId="1" fontId="0" fillId="0" borderId="6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81" fontId="0" fillId="0" borderId="16" xfId="21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1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9" fontId="0" fillId="0" borderId="0" xfId="21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center"/>
    </xf>
    <xf numFmtId="9" fontId="0" fillId="0" borderId="16" xfId="21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65" fontId="0" fillId="0" borderId="11" xfId="21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164" fontId="0" fillId="0" borderId="5" xfId="0" applyNumberFormat="1" applyBorder="1" applyAlignment="1">
      <alignment horizontal="center"/>
    </xf>
    <xf numFmtId="183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24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6" xfId="0" applyBorder="1" applyAlignment="1" quotePrefix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6" xfId="0" applyBorder="1" applyAlignment="1" quotePrefix="1">
      <alignment/>
    </xf>
    <xf numFmtId="165" fontId="0" fillId="0" borderId="5" xfId="21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6" xfId="0" applyFont="1" applyFill="1" applyBorder="1" applyAlignment="1" quotePrefix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6" xfId="0" applyFill="1" applyBorder="1" applyAlignment="1" quotePrefix="1">
      <alignment horizontal="center"/>
    </xf>
    <xf numFmtId="0" fontId="0" fillId="2" borderId="19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76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84" fontId="0" fillId="3" borderId="0" xfId="0" applyNumberFormat="1" applyFill="1" applyAlignment="1">
      <alignment horizontal="center"/>
    </xf>
    <xf numFmtId="176" fontId="0" fillId="2" borderId="7" xfId="0" applyNumberFormat="1" applyFill="1" applyBorder="1" applyAlignment="1">
      <alignment horizontal="center"/>
    </xf>
    <xf numFmtId="176" fontId="0" fillId="2" borderId="19" xfId="0" applyNumberFormat="1" applyFill="1" applyBorder="1" applyAlignment="1">
      <alignment horizontal="center"/>
    </xf>
    <xf numFmtId="175" fontId="0" fillId="0" borderId="36" xfId="0" applyNumberForma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9" fontId="0" fillId="0" borderId="0" xfId="21" applyBorder="1" applyAlignment="1">
      <alignment/>
    </xf>
    <xf numFmtId="1" fontId="0" fillId="0" borderId="4" xfId="0" applyNumberFormat="1" applyBorder="1" applyAlignment="1">
      <alignment horizontal="right"/>
    </xf>
    <xf numFmtId="0" fontId="0" fillId="0" borderId="22" xfId="0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0" fillId="0" borderId="5" xfId="0" applyNumberFormat="1" applyBorder="1" applyAlignment="1">
      <alignment horizontal="center"/>
    </xf>
    <xf numFmtId="14" fontId="2" fillId="3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169" fontId="0" fillId="0" borderId="0" xfId="0" applyNumberFormat="1" applyFont="1" applyAlignment="1">
      <alignment/>
    </xf>
    <xf numFmtId="169" fontId="0" fillId="0" borderId="11" xfId="0" applyNumberForma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166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21" applyNumberFormat="1" applyAlignment="1">
      <alignment horizontal="center"/>
    </xf>
    <xf numFmtId="181" fontId="0" fillId="0" borderId="0" xfId="21" applyNumberFormat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9" fontId="0" fillId="0" borderId="19" xfId="21" applyBorder="1" applyAlignment="1">
      <alignment horizontal="center"/>
    </xf>
    <xf numFmtId="6" fontId="0" fillId="0" borderId="19" xfId="0" applyNumberFormat="1" applyBorder="1" applyAlignment="1">
      <alignment horizontal="center"/>
    </xf>
    <xf numFmtId="3" fontId="0" fillId="0" borderId="19" xfId="0" applyNumberFormat="1" applyBorder="1" applyAlignment="1" applyProtection="1">
      <alignment horizontal="center"/>
      <protection hidden="1"/>
    </xf>
    <xf numFmtId="6" fontId="0" fillId="0" borderId="27" xfId="0" applyNumberFormat="1" applyBorder="1" applyAlignment="1">
      <alignment horizontal="center"/>
    </xf>
    <xf numFmtId="9" fontId="0" fillId="0" borderId="25" xfId="21" applyBorder="1" applyAlignment="1">
      <alignment horizontal="center"/>
    </xf>
    <xf numFmtId="6" fontId="0" fillId="0" borderId="25" xfId="0" applyNumberFormat="1" applyBorder="1" applyAlignment="1">
      <alignment horizontal="center"/>
    </xf>
    <xf numFmtId="3" fontId="0" fillId="0" borderId="25" xfId="0" applyNumberFormat="1" applyBorder="1" applyAlignment="1" applyProtection="1">
      <alignment horizontal="center"/>
      <protection hidden="1"/>
    </xf>
    <xf numFmtId="6" fontId="0" fillId="0" borderId="26" xfId="0" applyNumberFormat="1" applyBorder="1" applyAlignment="1">
      <alignment horizontal="center"/>
    </xf>
    <xf numFmtId="6" fontId="0" fillId="0" borderId="16" xfId="0" applyNumberFormat="1" applyBorder="1" applyAlignment="1">
      <alignment/>
    </xf>
    <xf numFmtId="165" fontId="0" fillId="0" borderId="27" xfId="21" applyNumberFormat="1" applyBorder="1" applyAlignment="1">
      <alignment horizontal="center"/>
    </xf>
    <xf numFmtId="1" fontId="0" fillId="0" borderId="19" xfId="0" applyNumberFormat="1" applyBorder="1" applyAlignment="1" applyProtection="1">
      <alignment horizontal="center"/>
      <protection hidden="1"/>
    </xf>
    <xf numFmtId="0" fontId="14" fillId="0" borderId="19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1" fontId="20" fillId="0" borderId="11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168" fontId="20" fillId="0" borderId="1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176" fontId="20" fillId="0" borderId="11" xfId="0" applyNumberFormat="1" applyFont="1" applyBorder="1" applyAlignment="1">
      <alignment horizontal="center" wrapText="1"/>
    </xf>
    <xf numFmtId="3" fontId="20" fillId="0" borderId="11" xfId="0" applyNumberFormat="1" applyFont="1" applyBorder="1" applyAlignment="1">
      <alignment horizontal="center" wrapText="1"/>
    </xf>
    <xf numFmtId="1" fontId="20" fillId="0" borderId="8" xfId="0" applyNumberFormat="1" applyFont="1" applyBorder="1" applyAlignment="1">
      <alignment horizontal="center" wrapText="1"/>
    </xf>
    <xf numFmtId="167" fontId="20" fillId="0" borderId="9" xfId="0" applyNumberFormat="1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 wrapText="1"/>
    </xf>
    <xf numFmtId="169" fontId="20" fillId="0" borderId="11" xfId="0" applyNumberFormat="1" applyFont="1" applyBorder="1" applyAlignment="1">
      <alignment horizontal="center" wrapText="1"/>
    </xf>
    <xf numFmtId="167" fontId="20" fillId="0" borderId="10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181" fontId="0" fillId="0" borderId="0" xfId="2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169" fontId="0" fillId="0" borderId="0" xfId="0" applyNumberFormat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16" fillId="3" borderId="19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0" fontId="0" fillId="3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27</xdr:row>
      <xdr:rowOff>95250</xdr:rowOff>
    </xdr:from>
    <xdr:to>
      <xdr:col>4</xdr:col>
      <xdr:colOff>542925</xdr:colOff>
      <xdr:row>41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66725" y="4781550"/>
          <a:ext cx="4133850" cy="235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28</xdr:row>
      <xdr:rowOff>9525</xdr:rowOff>
    </xdr:from>
    <xdr:to>
      <xdr:col>0</xdr:col>
      <xdr:colOff>838200</xdr:colOff>
      <xdr:row>40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838200" y="48577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40</xdr:row>
      <xdr:rowOff>76200</xdr:rowOff>
    </xdr:from>
    <xdr:to>
      <xdr:col>4</xdr:col>
      <xdr:colOff>323850</xdr:colOff>
      <xdr:row>40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" y="69437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66675</xdr:rowOff>
    </xdr:from>
    <xdr:to>
      <xdr:col>3</xdr:col>
      <xdr:colOff>400050</xdr:colOff>
      <xdr:row>38</xdr:row>
      <xdr:rowOff>95250</xdr:rowOff>
    </xdr:to>
    <xdr:sp>
      <xdr:nvSpPr>
        <xdr:cNvPr id="4" name="Line 4"/>
        <xdr:cNvSpPr>
          <a:spLocks/>
        </xdr:cNvSpPr>
      </xdr:nvSpPr>
      <xdr:spPr>
        <a:xfrm>
          <a:off x="1581150" y="5076825"/>
          <a:ext cx="2028825" cy="1552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31</xdr:row>
      <xdr:rowOff>85725</xdr:rowOff>
    </xdr:from>
    <xdr:to>
      <xdr:col>3</xdr:col>
      <xdr:colOff>390525</xdr:colOff>
      <xdr:row>37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952625" y="5457825"/>
          <a:ext cx="1647825" cy="9906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30</xdr:row>
      <xdr:rowOff>57150</xdr:rowOff>
    </xdr:from>
    <xdr:to>
      <xdr:col>2</xdr:col>
      <xdr:colOff>333375</xdr:colOff>
      <xdr:row>34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1724025" y="5248275"/>
          <a:ext cx="97155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28575</xdr:rowOff>
    </xdr:from>
    <xdr:to>
      <xdr:col>2</xdr:col>
      <xdr:colOff>0</xdr:colOff>
      <xdr:row>30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62200" y="50387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S'</a:t>
          </a:r>
        </a:p>
      </xdr:txBody>
    </xdr:sp>
    <xdr:clientData/>
  </xdr:twoCellAnchor>
  <xdr:twoCellAnchor>
    <xdr:from>
      <xdr:col>2</xdr:col>
      <xdr:colOff>342900</xdr:colOff>
      <xdr:row>29</xdr:row>
      <xdr:rowOff>76200</xdr:rowOff>
    </xdr:from>
    <xdr:to>
      <xdr:col>2</xdr:col>
      <xdr:colOff>504825</xdr:colOff>
      <xdr:row>30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5086350"/>
          <a:ext cx="161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3</xdr:col>
      <xdr:colOff>438150</xdr:colOff>
      <xdr:row>37</xdr:row>
      <xdr:rowOff>123825</xdr:rowOff>
    </xdr:from>
    <xdr:to>
      <xdr:col>3</xdr:col>
      <xdr:colOff>600075</xdr:colOff>
      <xdr:row>38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48075" y="64865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857250</xdr:colOff>
      <xdr:row>34</xdr:row>
      <xdr:rowOff>57150</xdr:rowOff>
    </xdr:from>
    <xdr:to>
      <xdr:col>2</xdr:col>
      <xdr:colOff>381000</xdr:colOff>
      <xdr:row>34</xdr:row>
      <xdr:rowOff>66675</xdr:rowOff>
    </xdr:to>
    <xdr:sp>
      <xdr:nvSpPr>
        <xdr:cNvPr id="10" name="Line 10"/>
        <xdr:cNvSpPr>
          <a:spLocks/>
        </xdr:cNvSpPr>
      </xdr:nvSpPr>
      <xdr:spPr>
        <a:xfrm flipH="1" flipV="1">
          <a:off x="857250" y="5934075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32</xdr:row>
      <xdr:rowOff>76200</xdr:rowOff>
    </xdr:from>
    <xdr:to>
      <xdr:col>2</xdr:col>
      <xdr:colOff>381000</xdr:colOff>
      <xdr:row>40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2724150" y="5629275"/>
          <a:ext cx="1905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32</xdr:row>
      <xdr:rowOff>57150</xdr:rowOff>
    </xdr:from>
    <xdr:to>
      <xdr:col>3</xdr:col>
      <xdr:colOff>142875</xdr:colOff>
      <xdr:row>32</xdr:row>
      <xdr:rowOff>66675</xdr:rowOff>
    </xdr:to>
    <xdr:sp>
      <xdr:nvSpPr>
        <xdr:cNvPr id="12" name="Line 12"/>
        <xdr:cNvSpPr>
          <a:spLocks/>
        </xdr:cNvSpPr>
      </xdr:nvSpPr>
      <xdr:spPr>
        <a:xfrm flipH="1">
          <a:off x="819150" y="5610225"/>
          <a:ext cx="2533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27</xdr:row>
      <xdr:rowOff>123825</xdr:rowOff>
    </xdr:from>
    <xdr:to>
      <xdr:col>0</xdr:col>
      <xdr:colOff>800100</xdr:colOff>
      <xdr:row>29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52450" y="481012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333375</xdr:colOff>
      <xdr:row>40</xdr:row>
      <xdr:rowOff>85725</xdr:rowOff>
    </xdr:from>
    <xdr:to>
      <xdr:col>4</xdr:col>
      <xdr:colOff>514350</xdr:colOff>
      <xdr:row>41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91025" y="69532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2</xdr:col>
      <xdr:colOff>0</xdr:colOff>
      <xdr:row>40</xdr:row>
      <xdr:rowOff>123825</xdr:rowOff>
    </xdr:from>
    <xdr:to>
      <xdr:col>2</xdr:col>
      <xdr:colOff>0</xdr:colOff>
      <xdr:row>41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362200" y="69913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0</xdr:colOff>
      <xdr:row>40</xdr:row>
      <xdr:rowOff>104775</xdr:rowOff>
    </xdr:from>
    <xdr:to>
      <xdr:col>2</xdr:col>
      <xdr:colOff>0</xdr:colOff>
      <xdr:row>41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62200" y="6972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619125</xdr:colOff>
      <xdr:row>33</xdr:row>
      <xdr:rowOff>133350</xdr:rowOff>
    </xdr:from>
    <xdr:to>
      <xdr:col>0</xdr:col>
      <xdr:colOff>781050</xdr:colOff>
      <xdr:row>35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19125" y="58483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647700</xdr:colOff>
      <xdr:row>31</xdr:row>
      <xdr:rowOff>76200</xdr:rowOff>
    </xdr:from>
    <xdr:to>
      <xdr:col>0</xdr:col>
      <xdr:colOff>790575</xdr:colOff>
      <xdr:row>32</xdr:row>
      <xdr:rowOff>104775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47700" y="5448300"/>
          <a:ext cx="142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314325</xdr:colOff>
      <xdr:row>40</xdr:row>
      <xdr:rowOff>85725</xdr:rowOff>
    </xdr:from>
    <xdr:to>
      <xdr:col>2</xdr:col>
      <xdr:colOff>466725</xdr:colOff>
      <xdr:row>41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676525" y="6953250"/>
          <a:ext cx="152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847725</xdr:colOff>
      <xdr:row>36</xdr:row>
      <xdr:rowOff>76200</xdr:rowOff>
    </xdr:from>
    <xdr:to>
      <xdr:col>1</xdr:col>
      <xdr:colOff>704850</xdr:colOff>
      <xdr:row>36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847725" y="6276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219075</xdr:colOff>
      <xdr:row>41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295650" y="69723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466725</xdr:colOff>
      <xdr:row>31</xdr:row>
      <xdr:rowOff>76200</xdr:rowOff>
    </xdr:from>
    <xdr:to>
      <xdr:col>4</xdr:col>
      <xdr:colOff>381000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676650" y="5448300"/>
          <a:ext cx="762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expected
</a:t>
          </a:r>
        </a:p>
      </xdr:txBody>
    </xdr:sp>
    <xdr:clientData/>
  </xdr:twoCellAnchor>
  <xdr:twoCellAnchor>
    <xdr:from>
      <xdr:col>1</xdr:col>
      <xdr:colOff>723900</xdr:colOff>
      <xdr:row>32</xdr:row>
      <xdr:rowOff>76200</xdr:rowOff>
    </xdr:from>
    <xdr:to>
      <xdr:col>1</xdr:col>
      <xdr:colOff>723900</xdr:colOff>
      <xdr:row>40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2238375" y="56292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40</xdr:row>
      <xdr:rowOff>85725</xdr:rowOff>
    </xdr:from>
    <xdr:to>
      <xdr:col>1</xdr:col>
      <xdr:colOff>809625</xdr:colOff>
      <xdr:row>41</xdr:row>
      <xdr:rowOff>76200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71700" y="6953250"/>
          <a:ext cx="152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142875</xdr:colOff>
      <xdr:row>32</xdr:row>
      <xdr:rowOff>66675</xdr:rowOff>
    </xdr:from>
    <xdr:to>
      <xdr:col>3</xdr:col>
      <xdr:colOff>152400</xdr:colOff>
      <xdr:row>40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3352800" y="5619750"/>
          <a:ext cx="952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36</xdr:row>
      <xdr:rowOff>0</xdr:rowOff>
    </xdr:from>
    <xdr:to>
      <xdr:col>0</xdr:col>
      <xdr:colOff>771525</xdr:colOff>
      <xdr:row>37</xdr:row>
      <xdr:rowOff>28575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28650" y="6200775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</xdr:col>
      <xdr:colOff>647700</xdr:colOff>
      <xdr:row>30</xdr:row>
      <xdr:rowOff>85725</xdr:rowOff>
    </xdr:from>
    <xdr:to>
      <xdr:col>1</xdr:col>
      <xdr:colOff>781050</xdr:colOff>
      <xdr:row>31</xdr:row>
      <xdr:rowOff>123825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62175" y="5276850"/>
          <a:ext cx="133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2</xdr:col>
      <xdr:colOff>561975</xdr:colOff>
      <xdr:row>34</xdr:row>
      <xdr:rowOff>0</xdr:rowOff>
    </xdr:from>
    <xdr:to>
      <xdr:col>2</xdr:col>
      <xdr:colOff>685800</xdr:colOff>
      <xdr:row>35</xdr:row>
      <xdr:rowOff>28575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924175" y="5876925"/>
          <a:ext cx="123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742950</xdr:colOff>
      <xdr:row>36</xdr:row>
      <xdr:rowOff>104775</xdr:rowOff>
    </xdr:from>
    <xdr:to>
      <xdr:col>2</xdr:col>
      <xdr:colOff>28575</xdr:colOff>
      <xdr:row>37</xdr:row>
      <xdr:rowOff>152400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257425" y="6305550"/>
          <a:ext cx="133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533400</xdr:colOff>
      <xdr:row>34</xdr:row>
      <xdr:rowOff>114300</xdr:rowOff>
    </xdr:from>
    <xdr:to>
      <xdr:col>1</xdr:col>
      <xdr:colOff>666750</xdr:colOff>
      <xdr:row>35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47875" y="59912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32</xdr:row>
      <xdr:rowOff>47625</xdr:rowOff>
    </xdr:from>
    <xdr:to>
      <xdr:col>2</xdr:col>
      <xdr:colOff>352425</xdr:colOff>
      <xdr:row>34</xdr:row>
      <xdr:rowOff>76200</xdr:rowOff>
    </xdr:to>
    <xdr:sp>
      <xdr:nvSpPr>
        <xdr:cNvPr id="31" name="AutoShape 31"/>
        <xdr:cNvSpPr>
          <a:spLocks/>
        </xdr:cNvSpPr>
      </xdr:nvSpPr>
      <xdr:spPr>
        <a:xfrm>
          <a:off x="2238375" y="5600700"/>
          <a:ext cx="476250" cy="352425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34</xdr:row>
      <xdr:rowOff>76200</xdr:rowOff>
    </xdr:from>
    <xdr:to>
      <xdr:col>2</xdr:col>
      <xdr:colOff>390525</xdr:colOff>
      <xdr:row>36</xdr:row>
      <xdr:rowOff>66675</xdr:rowOff>
    </xdr:to>
    <xdr:sp>
      <xdr:nvSpPr>
        <xdr:cNvPr id="32" name="AutoShape 32"/>
        <xdr:cNvSpPr>
          <a:spLocks/>
        </xdr:cNvSpPr>
      </xdr:nvSpPr>
      <xdr:spPr>
        <a:xfrm flipV="1">
          <a:off x="2238375" y="5953125"/>
          <a:ext cx="514350" cy="314325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31</xdr:row>
      <xdr:rowOff>47625</xdr:rowOff>
    </xdr:from>
    <xdr:to>
      <xdr:col>2</xdr:col>
      <xdr:colOff>438150</xdr:colOff>
      <xdr:row>32</xdr:row>
      <xdr:rowOff>57150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09850" y="541972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36</xdr:row>
      <xdr:rowOff>76200</xdr:rowOff>
    </xdr:from>
    <xdr:to>
      <xdr:col>3</xdr:col>
      <xdr:colOff>142875</xdr:colOff>
      <xdr:row>36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2238375" y="62769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34</xdr:row>
      <xdr:rowOff>28575</xdr:rowOff>
    </xdr:from>
    <xdr:to>
      <xdr:col>3</xdr:col>
      <xdr:colOff>304800</xdr:colOff>
      <xdr:row>35</xdr:row>
      <xdr:rowOff>19050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438525" y="5905500"/>
          <a:ext cx="76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7109375" style="179" customWidth="1"/>
    <col min="2" max="14" width="11.7109375" style="179" customWidth="1"/>
    <col min="15" max="15" width="12.7109375" style="179" bestFit="1" customWidth="1"/>
    <col min="16" max="16" width="18.57421875" style="179" customWidth="1"/>
    <col min="17" max="17" width="9.140625" style="179" customWidth="1"/>
    <col min="18" max="18" width="2.7109375" style="179" customWidth="1"/>
    <col min="19" max="19" width="14.8515625" style="179" bestFit="1" customWidth="1"/>
    <col min="20" max="20" width="14.8515625" style="179" customWidth="1"/>
    <col min="21" max="21" width="14.28125" style="179" customWidth="1"/>
    <col min="22" max="22" width="9.8515625" style="179" bestFit="1" customWidth="1"/>
    <col min="23" max="23" width="11.28125" style="179" customWidth="1"/>
    <col min="24" max="24" width="9.7109375" style="179" customWidth="1"/>
    <col min="25" max="25" width="7.8515625" style="179" customWidth="1"/>
    <col min="26" max="26" width="2.7109375" style="179" customWidth="1"/>
    <col min="27" max="27" width="14.8515625" style="179" bestFit="1" customWidth="1"/>
    <col min="28" max="28" width="13.7109375" style="179" bestFit="1" customWidth="1"/>
    <col min="29" max="29" width="9.140625" style="179" customWidth="1"/>
    <col min="30" max="30" width="14.8515625" style="179" bestFit="1" customWidth="1"/>
    <col min="31" max="31" width="13.7109375" style="179" bestFit="1" customWidth="1"/>
    <col min="32" max="16384" width="9.140625" style="179" customWidth="1"/>
  </cols>
  <sheetData>
    <row r="1" spans="1:15" s="175" customFormat="1" ht="23.25">
      <c r="A1" s="396" t="s">
        <v>262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219"/>
    </row>
    <row r="2" spans="1:15" s="175" customFormat="1" ht="15" customHeight="1">
      <c r="A2" s="323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404">
        <v>37711</v>
      </c>
      <c r="N2" s="404"/>
      <c r="O2" s="201"/>
    </row>
    <row r="3" spans="1:15" s="176" customFormat="1" ht="18.75">
      <c r="A3" s="324"/>
      <c r="B3" s="400" t="s">
        <v>172</v>
      </c>
      <c r="C3" s="401"/>
      <c r="D3" s="401"/>
      <c r="E3" s="401"/>
      <c r="F3" s="401"/>
      <c r="G3" s="401"/>
      <c r="H3" s="402"/>
      <c r="I3" s="397" t="s">
        <v>173</v>
      </c>
      <c r="J3" s="398"/>
      <c r="K3" s="398"/>
      <c r="L3" s="398"/>
      <c r="M3" s="398"/>
      <c r="N3" s="399"/>
      <c r="O3" s="200"/>
    </row>
    <row r="4" spans="1:14" ht="105" customHeight="1">
      <c r="A4" s="325" t="s">
        <v>155</v>
      </c>
      <c r="B4" s="326" t="s">
        <v>156</v>
      </c>
      <c r="C4" s="327" t="s">
        <v>265</v>
      </c>
      <c r="D4" s="327" t="s">
        <v>165</v>
      </c>
      <c r="E4" s="325" t="s">
        <v>166</v>
      </c>
      <c r="F4" s="327" t="s">
        <v>175</v>
      </c>
      <c r="G4" s="327" t="s">
        <v>158</v>
      </c>
      <c r="H4" s="327" t="s">
        <v>159</v>
      </c>
      <c r="I4" s="328" t="s">
        <v>174</v>
      </c>
      <c r="J4" s="329" t="s">
        <v>179</v>
      </c>
      <c r="K4" s="330" t="s">
        <v>286</v>
      </c>
      <c r="L4" s="330" t="s">
        <v>285</v>
      </c>
      <c r="M4" s="331" t="s">
        <v>274</v>
      </c>
      <c r="N4" s="332" t="s">
        <v>361</v>
      </c>
    </row>
    <row r="5" spans="1:14" ht="12.75">
      <c r="A5" s="333" t="s">
        <v>160</v>
      </c>
      <c r="B5" s="348" t="s">
        <v>161</v>
      </c>
      <c r="C5" s="348" t="s">
        <v>162</v>
      </c>
      <c r="D5" s="348"/>
      <c r="E5" s="348"/>
      <c r="F5" s="349">
        <f>12*21+3*30.5</f>
        <v>343.5</v>
      </c>
      <c r="G5" s="349">
        <f>343.5*D19</f>
        <v>282.44781783681213</v>
      </c>
      <c r="H5" s="349">
        <f>(343.5*((1-D19)/5.62))</f>
        <v>10.86337760910816</v>
      </c>
      <c r="I5" s="350">
        <f>('15,25-5'!B68)/1000</f>
        <v>3.8130455407969643</v>
      </c>
      <c r="J5" s="351" t="s">
        <v>170</v>
      </c>
      <c r="K5" s="352"/>
      <c r="L5" s="352"/>
      <c r="M5" s="353">
        <f>'15,25-5'!D42*Alternatives!D16</f>
        <v>1359.0491638352903</v>
      </c>
      <c r="N5" s="351" t="s">
        <v>170</v>
      </c>
    </row>
    <row r="6" spans="1:14" ht="38.25">
      <c r="A6" s="333"/>
      <c r="B6" s="348" t="s">
        <v>267</v>
      </c>
      <c r="C6" s="348" t="s">
        <v>293</v>
      </c>
      <c r="D6" s="348" t="s">
        <v>291</v>
      </c>
      <c r="E6" s="348" t="s">
        <v>292</v>
      </c>
      <c r="F6" s="349" t="s">
        <v>268</v>
      </c>
      <c r="G6" s="349" t="s">
        <v>269</v>
      </c>
      <c r="H6" s="349" t="s">
        <v>270</v>
      </c>
      <c r="I6" s="354" t="s">
        <v>272</v>
      </c>
      <c r="J6" s="355" t="s">
        <v>273</v>
      </c>
      <c r="K6" s="356" t="s">
        <v>288</v>
      </c>
      <c r="L6" s="356" t="s">
        <v>287</v>
      </c>
      <c r="M6" s="357" t="s">
        <v>290</v>
      </c>
      <c r="N6" s="351" t="s">
        <v>289</v>
      </c>
    </row>
    <row r="7" spans="1:14" ht="78.75">
      <c r="A7" s="333" t="s">
        <v>307</v>
      </c>
      <c r="B7" s="348" t="s">
        <v>275</v>
      </c>
      <c r="C7" s="348" t="s">
        <v>348</v>
      </c>
      <c r="D7" s="349">
        <f>'15,25-5'!Q67</f>
        <v>384.9</v>
      </c>
      <c r="E7" s="349">
        <f>'15,25-5'!Q66</f>
        <v>92.43333333333334</v>
      </c>
      <c r="F7" s="349">
        <f aca="true" t="shared" si="0" ref="F7:G12">D7+E7</f>
        <v>477.3333333333333</v>
      </c>
      <c r="G7" s="358">
        <f t="shared" si="0"/>
        <v>569.7666666666667</v>
      </c>
      <c r="H7" s="359">
        <f>F7*(1-D19)/5.62</f>
        <v>15.095930845456461</v>
      </c>
      <c r="I7" s="350">
        <f>'15,25-5'!D68/1000</f>
        <v>2.354965211891208</v>
      </c>
      <c r="J7" s="350">
        <f>'15,25-5'!Q46</f>
        <v>1.3638095238095238</v>
      </c>
      <c r="K7" s="353">
        <f>'15,25-5'!I69</f>
        <v>2740.3789219831715</v>
      </c>
      <c r="L7" s="353">
        <f>'15,25-5'!R42</f>
        <v>833.7978187966066</v>
      </c>
      <c r="M7" s="360">
        <f>'15,25-5'!Q42</f>
        <v>-267.3632924145818</v>
      </c>
      <c r="N7" s="361">
        <f>'15,25-5'!J69</f>
        <v>152.67825422477668</v>
      </c>
    </row>
    <row r="8" spans="1:14" ht="67.5">
      <c r="A8" s="333" t="s">
        <v>308</v>
      </c>
      <c r="B8" s="348" t="s">
        <v>277</v>
      </c>
      <c r="C8" s="348" t="s">
        <v>266</v>
      </c>
      <c r="D8" s="349">
        <f>'10,25-5'!Q67</f>
        <v>353.9</v>
      </c>
      <c r="E8" s="349">
        <f>'10,25-5'!Q66</f>
        <v>72.43333333333334</v>
      </c>
      <c r="F8" s="349">
        <f t="shared" si="0"/>
        <v>426.3333333333333</v>
      </c>
      <c r="G8" s="358">
        <f t="shared" si="0"/>
        <v>498.76666666666665</v>
      </c>
      <c r="H8" s="359">
        <f>F8*(1-C21)/5.62</f>
        <v>75.8600237247924</v>
      </c>
      <c r="I8" s="362">
        <f>'10,25-5'!D68/1000</f>
        <v>2.103352308665402</v>
      </c>
      <c r="J8" s="362">
        <f>'10,25-5'!Q46</f>
        <v>1.4701149425287359</v>
      </c>
      <c r="K8" s="363">
        <f>'10,25-5'!I69</f>
        <v>2455.7186337309545</v>
      </c>
      <c r="L8" s="364">
        <f>'10,25-5'!R42</f>
        <v>708.5020607750499</v>
      </c>
      <c r="M8" s="361">
        <f>'10,25-5'!Q42</f>
        <v>-140.92618002749828</v>
      </c>
      <c r="N8" s="365">
        <f>'10,25-5'!J69</f>
        <v>136.81860959358173</v>
      </c>
    </row>
    <row r="9" spans="1:14" ht="67.5">
      <c r="A9" s="333" t="s">
        <v>309</v>
      </c>
      <c r="B9" s="348" t="s">
        <v>313</v>
      </c>
      <c r="C9" s="348" t="s">
        <v>266</v>
      </c>
      <c r="D9" s="349">
        <f>'10,20-5'!Q67</f>
        <v>317.4125</v>
      </c>
      <c r="E9" s="349">
        <f>'10,20-5'!Q66</f>
        <v>68.37916666666666</v>
      </c>
      <c r="F9" s="349">
        <f>D9+E9</f>
        <v>385.7916666666667</v>
      </c>
      <c r="G9" s="358">
        <f>E9+F9</f>
        <v>454.17083333333335</v>
      </c>
      <c r="H9" s="359">
        <f>F9*(1-D19)/5.62</f>
        <v>12.200874973645373</v>
      </c>
      <c r="I9" s="362">
        <f>'10,20-5'!D68/1000</f>
        <v>1.9033364958886785</v>
      </c>
      <c r="J9" s="362">
        <f>'10,20-5'!Q46</f>
        <v>1.4558176100628926</v>
      </c>
      <c r="K9" s="363">
        <f>'10,20-5'!I69</f>
        <v>2127.5472398550455</v>
      </c>
      <c r="L9" s="364">
        <f>'10,20-5'!R42</f>
        <v>647.2780744044002</v>
      </c>
      <c r="M9" s="361">
        <f>'10,20-5'!Q42</f>
        <v>-128.26407472458823</v>
      </c>
      <c r="N9" s="365">
        <f>'10,20-5'!J69</f>
        <v>119.31455087727808</v>
      </c>
    </row>
    <row r="10" spans="1:14" ht="33.75">
      <c r="A10" s="333" t="s">
        <v>310</v>
      </c>
      <c r="B10" s="348" t="s">
        <v>314</v>
      </c>
      <c r="C10" s="348" t="s">
        <v>266</v>
      </c>
      <c r="D10" s="349">
        <f>'15,25-0'!Q67</f>
        <v>202.46249999999998</v>
      </c>
      <c r="E10" s="349">
        <f>'15,25-0'!Q66</f>
        <v>72.1625</v>
      </c>
      <c r="F10" s="349">
        <f>D10+E10</f>
        <v>274.625</v>
      </c>
      <c r="G10" s="358">
        <f>E10+F10</f>
        <v>346.7875</v>
      </c>
      <c r="H10" s="359">
        <f>F10*(1-D19)/5.62</f>
        <v>8.68516761543327</v>
      </c>
      <c r="I10" s="366">
        <f>'15,25-0'!D68/1000</f>
        <v>1.3548861480075902</v>
      </c>
      <c r="J10" s="366">
        <f>'15,25-0'!Q46</f>
        <v>1.0769607843137259</v>
      </c>
      <c r="K10" s="364">
        <f>'15,25-0'!I69</f>
        <v>1598.1155807972768</v>
      </c>
      <c r="L10" s="364">
        <f>'15,25-0'!R42</f>
        <v>596.542750393103</v>
      </c>
      <c r="M10" s="361">
        <f>'15,25-0'!Q42</f>
        <v>-305.27420066624705</v>
      </c>
      <c r="N10" s="361">
        <f>'15,25-0'!J69</f>
        <v>89.0378680729911</v>
      </c>
    </row>
    <row r="11" spans="1:14" ht="33.75">
      <c r="A11" s="333" t="s">
        <v>312</v>
      </c>
      <c r="B11" s="348" t="s">
        <v>276</v>
      </c>
      <c r="C11" s="348" t="s">
        <v>266</v>
      </c>
      <c r="D11" s="349">
        <f>'15,45-0'!Q67</f>
        <v>311.92499999999995</v>
      </c>
      <c r="E11" s="349">
        <f>'15,45-0'!Q66</f>
        <v>84.32499999999999</v>
      </c>
      <c r="F11" s="349">
        <f t="shared" si="0"/>
        <v>396.24999999999994</v>
      </c>
      <c r="G11" s="358">
        <f t="shared" si="0"/>
        <v>480.57499999999993</v>
      </c>
      <c r="H11" s="359">
        <f>F11*(1-D19)/5.62</f>
        <v>12.531625553447185</v>
      </c>
      <c r="I11" s="366">
        <f>'15,45-0'!D68/1000</f>
        <v>1.9549335863377606</v>
      </c>
      <c r="J11" s="366">
        <f>'15,45-0'!Q46</f>
        <v>1.257936507936508</v>
      </c>
      <c r="K11" s="364">
        <f>'15,45-0'!I69</f>
        <v>2262.920672239646</v>
      </c>
      <c r="L11" s="364">
        <f>'15,45-0'!R42</f>
        <v>691.3239671710929</v>
      </c>
      <c r="M11" s="361">
        <f>'15,45-0'!Q42</f>
        <v>-350.3423214128542</v>
      </c>
      <c r="N11" s="361">
        <f>'15,45-0'!J69</f>
        <v>126.64609787602915</v>
      </c>
    </row>
    <row r="12" spans="1:14" ht="33.75">
      <c r="A12" s="333" t="s">
        <v>311</v>
      </c>
      <c r="B12" s="348" t="s">
        <v>315</v>
      </c>
      <c r="C12" s="348" t="s">
        <v>266</v>
      </c>
      <c r="D12" s="349">
        <f>'20,20-0'!Q67</f>
        <v>196.975</v>
      </c>
      <c r="E12" s="349">
        <f>'20,20-0'!Q66</f>
        <v>88.10833333333332</v>
      </c>
      <c r="F12" s="349">
        <f t="shared" si="0"/>
        <v>285.0833333333333</v>
      </c>
      <c r="G12" s="358">
        <f t="shared" si="0"/>
        <v>373.1916666666666</v>
      </c>
      <c r="H12" s="359">
        <f>F12*(1-D19)/5.62</f>
        <v>9.015918195235082</v>
      </c>
      <c r="I12" s="366">
        <f>'20,20-0'!D68/1000</f>
        <v>1.406483238456673</v>
      </c>
      <c r="J12" s="362">
        <f>'20,20-0'!Q46</f>
        <v>0.8030516431924882</v>
      </c>
      <c r="K12" s="363">
        <f>'20,20-0'!I69</f>
        <v>1747.3592702211408</v>
      </c>
      <c r="L12" s="364">
        <f>'20,20-0'!R42</f>
        <v>816.9922321119765</v>
      </c>
      <c r="M12" s="365">
        <f>'20,20-0'!Q42</f>
        <v>-580.1771897253841</v>
      </c>
      <c r="N12" s="361">
        <f>'20,20-0'!J69</f>
        <v>97.3528736266064</v>
      </c>
    </row>
    <row r="14" spans="11:32" ht="12.75">
      <c r="K14" s="307"/>
      <c r="L14" s="307"/>
      <c r="AB14" s="179" t="s">
        <v>100</v>
      </c>
      <c r="AF14" s="185"/>
    </row>
    <row r="15" ht="12.75">
      <c r="A15" s="187" t="s">
        <v>0</v>
      </c>
    </row>
    <row r="16" spans="1:4" ht="12.75">
      <c r="A16" s="403" t="s">
        <v>177</v>
      </c>
      <c r="B16" s="403"/>
      <c r="D16" s="185">
        <f>3.25/6</f>
        <v>0.5416666666666666</v>
      </c>
    </row>
    <row r="17" spans="1:16" ht="12.75">
      <c r="A17" s="179" t="s">
        <v>171</v>
      </c>
      <c r="D17" s="188">
        <f>'15,25-5'!C12</f>
        <v>0.07</v>
      </c>
      <c r="P17" s="185"/>
    </row>
    <row r="18" spans="1:16" ht="12.75">
      <c r="A18" s="395" t="s">
        <v>347</v>
      </c>
      <c r="B18" s="395"/>
      <c r="C18" s="395"/>
      <c r="D18" s="189">
        <f>'15,25-5'!E12</f>
        <v>6</v>
      </c>
      <c r="P18" s="190"/>
    </row>
    <row r="19" spans="1:7" ht="12.75">
      <c r="A19" s="395" t="s">
        <v>164</v>
      </c>
      <c r="B19" s="395"/>
      <c r="D19" s="186">
        <f>'15,25-5'!C16</f>
        <v>0.8222643896268185</v>
      </c>
      <c r="G19" s="191"/>
    </row>
    <row r="20" spans="3:7" ht="12.75">
      <c r="C20" s="185"/>
      <c r="G20" s="192"/>
    </row>
    <row r="21" ht="12.75">
      <c r="A21" s="193"/>
    </row>
    <row r="22" spans="1:6" ht="12.75">
      <c r="A22" s="193"/>
      <c r="F22" s="191"/>
    </row>
    <row r="23" spans="1:7" ht="12.75">
      <c r="A23" s="194"/>
      <c r="D23" s="194"/>
      <c r="E23" s="194"/>
      <c r="F23" s="194"/>
      <c r="G23" s="194"/>
    </row>
    <row r="24" spans="1:7" ht="12.75">
      <c r="A24" s="194"/>
      <c r="D24" s="194"/>
      <c r="E24" s="194"/>
      <c r="F24" s="194"/>
      <c r="G24" s="194"/>
    </row>
    <row r="25" ht="12.75">
      <c r="F25" s="195"/>
    </row>
    <row r="29" spans="7:13" ht="12.75">
      <c r="G29" s="189"/>
      <c r="H29" s="196"/>
      <c r="I29" s="196"/>
      <c r="J29" s="196"/>
      <c r="K29" s="196"/>
      <c r="L29" s="196"/>
      <c r="M29" s="196"/>
    </row>
  </sheetData>
  <mergeCells count="7">
    <mergeCell ref="A18:C18"/>
    <mergeCell ref="A19:B19"/>
    <mergeCell ref="A1:N1"/>
    <mergeCell ref="I3:N3"/>
    <mergeCell ref="B3:H3"/>
    <mergeCell ref="A16:B16"/>
    <mergeCell ref="M2:N2"/>
  </mergeCells>
  <printOptions/>
  <pageMargins left="0.45" right="0.21" top="0.86" bottom="0.51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:R1"/>
    </sheetView>
  </sheetViews>
  <sheetFormatPr defaultColWidth="9.140625" defaultRowHeight="12.75"/>
  <cols>
    <col min="1" max="1" width="9.7109375" style="0" customWidth="1"/>
    <col min="2" max="2" width="14.8515625" style="0" customWidth="1"/>
    <col min="3" max="3" width="10.7109375" style="0" customWidth="1"/>
    <col min="4" max="4" width="14.28125" style="0" customWidth="1"/>
    <col min="5" max="5" width="11.7109375" style="0" customWidth="1"/>
    <col min="6" max="6" width="10.8515625" style="0" customWidth="1"/>
    <col min="7" max="7" width="2.7109375" style="0" customWidth="1"/>
    <col min="8" max="8" width="9.7109375" style="0" customWidth="1"/>
    <col min="9" max="9" width="12.57421875" style="0" customWidth="1"/>
    <col min="10" max="10" width="9.28125" style="0" bestFit="1" customWidth="1"/>
    <col min="11" max="11" width="9.7109375" style="0" bestFit="1" customWidth="1"/>
    <col min="12" max="12" width="9.28125" style="0" bestFit="1" customWidth="1"/>
    <col min="13" max="13" width="11.7109375" style="0" bestFit="1" customWidth="1"/>
    <col min="14" max="15" width="12.7109375" style="0" customWidth="1"/>
    <col min="16" max="16" width="10.7109375" style="0" bestFit="1" customWidth="1"/>
    <col min="17" max="17" width="13.00390625" style="0" customWidth="1"/>
    <col min="18" max="18" width="11.57421875" style="0" bestFit="1" customWidth="1"/>
    <col min="19" max="19" width="10.57421875" style="0" bestFit="1" customWidth="1"/>
    <col min="21" max="21" width="11.28125" style="0" bestFit="1" customWidth="1"/>
    <col min="22" max="22" width="9.7109375" style="0" bestFit="1" customWidth="1"/>
    <col min="23" max="23" width="9.7109375" style="0" customWidth="1"/>
    <col min="24" max="24" width="10.140625" style="0" customWidth="1"/>
    <col min="25" max="25" width="9.57421875" style="0" bestFit="1" customWidth="1"/>
  </cols>
  <sheetData>
    <row r="1" spans="1:25" ht="20.25">
      <c r="A1" s="384" t="s">
        <v>184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21"/>
      <c r="T1" s="221"/>
      <c r="U1" s="221"/>
      <c r="V1" s="221"/>
      <c r="W1" s="221"/>
      <c r="X1" s="221"/>
      <c r="Y1" s="221"/>
    </row>
    <row r="2" spans="1:25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Y2" s="146"/>
    </row>
    <row r="3" spans="1:23" ht="15" customHeight="1" thickBot="1">
      <c r="A3" s="380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  <c r="S3" s="127"/>
      <c r="T3" s="127"/>
      <c r="U3" s="84"/>
      <c r="V3" s="84"/>
      <c r="W3" s="84"/>
    </row>
    <row r="4" spans="1:18" ht="15" customHeight="1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386" t="s">
        <v>142</v>
      </c>
      <c r="N4" s="387"/>
      <c r="O4" s="387"/>
      <c r="P4" s="387"/>
      <c r="Q4" s="387"/>
      <c r="R4" s="388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15</v>
      </c>
      <c r="J5" s="3" t="s">
        <v>3</v>
      </c>
      <c r="K5" t="s">
        <v>152</v>
      </c>
      <c r="L5" s="158">
        <f>I5/3</f>
        <v>5</v>
      </c>
      <c r="M5" s="3" t="s">
        <v>55</v>
      </c>
      <c r="N5" s="3"/>
      <c r="O5" s="407" t="s">
        <v>56</v>
      </c>
      <c r="P5" s="407"/>
      <c r="Q5" s="420" t="s">
        <v>57</v>
      </c>
      <c r="R5" s="421"/>
    </row>
    <row r="6" spans="1:18" ht="12.75" customHeight="1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25</v>
      </c>
      <c r="J6" s="3" t="s">
        <v>3</v>
      </c>
      <c r="K6" t="s">
        <v>152</v>
      </c>
      <c r="L6" s="169">
        <f>I6/5+I7*(4/5)</f>
        <v>9</v>
      </c>
      <c r="M6" s="3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2.75" customHeight="1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5</v>
      </c>
      <c r="J7" s="3" t="s">
        <v>3</v>
      </c>
      <c r="L7" s="171">
        <f>L5+L6</f>
        <v>14</v>
      </c>
      <c r="M7" s="113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13" t="s">
        <v>63</v>
      </c>
      <c r="N8" s="9"/>
      <c r="O8" s="46">
        <f>O11/(369/1147)</f>
        <v>49.734417344173444</v>
      </c>
      <c r="P8" s="42"/>
      <c r="Q8" s="309">
        <f>Q11/(48/168)</f>
        <v>19.845000000000002</v>
      </c>
      <c r="R8" s="39"/>
    </row>
    <row r="9" spans="1:18" ht="12.75" customHeight="1">
      <c r="A9" s="2" t="s">
        <v>4</v>
      </c>
      <c r="B9" s="3"/>
      <c r="C9" s="3"/>
      <c r="D9" s="121">
        <v>4.5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13" t="s">
        <v>64</v>
      </c>
      <c r="N9" s="9"/>
      <c r="O9" s="43">
        <f>O11/(1/3)</f>
        <v>48</v>
      </c>
      <c r="P9" s="43">
        <f>P11/(1/3)</f>
        <v>63</v>
      </c>
      <c r="Q9" s="310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13" t="s">
        <v>65</v>
      </c>
      <c r="N10" s="9"/>
      <c r="O10" s="43"/>
      <c r="P10" s="44"/>
      <c r="Q10" s="311">
        <f>Q11/(1/5)</f>
        <v>28.349999999999998</v>
      </c>
      <c r="R10" s="45">
        <f>R11/(1/5)</f>
        <v>50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4.319372320388735</v>
      </c>
      <c r="L11" s="154">
        <f>ROUND(K11,0)</f>
        <v>4</v>
      </c>
      <c r="M11" s="113" t="s">
        <v>66</v>
      </c>
      <c r="N11" s="9"/>
      <c r="O11" s="43">
        <v>16</v>
      </c>
      <c r="P11" s="43">
        <v>21</v>
      </c>
      <c r="Q11" s="312">
        <v>5.67</v>
      </c>
      <c r="R11" s="45">
        <v>10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7.241132681360385</v>
      </c>
      <c r="L12" s="80"/>
      <c r="M12" s="113" t="s">
        <v>78</v>
      </c>
      <c r="N12" s="9"/>
      <c r="O12" s="43">
        <v>21</v>
      </c>
      <c r="P12" s="46">
        <v>45.5</v>
      </c>
      <c r="Q12" s="313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8.344659290435</v>
      </c>
      <c r="L13" s="80"/>
      <c r="M13" s="107" t="s">
        <v>133</v>
      </c>
      <c r="N13" s="3"/>
      <c r="O13" s="9">
        <v>2.5</v>
      </c>
      <c r="P13" s="158">
        <f>((O11*O13)+((P11-O11)*O13*P14))/(P11)</f>
        <v>3.0952380952380953</v>
      </c>
      <c r="Q13" s="9">
        <v>4.6</v>
      </c>
      <c r="R13" s="53">
        <f>((Q11*Q13)+((R11-Q11)*Q13*P14))/R11</f>
        <v>6.591799999999999</v>
      </c>
      <c r="AA13" s="3"/>
      <c r="AB13" s="3"/>
      <c r="AC13" s="3"/>
      <c r="AD13" s="283"/>
      <c r="AE13" s="3"/>
      <c r="AF13" s="3"/>
      <c r="AG13" s="3"/>
      <c r="AH13" s="3"/>
      <c r="AI13" s="288"/>
    </row>
    <row r="14" spans="1:35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7.957715978051117</v>
      </c>
      <c r="L14" s="154">
        <f>ROUND(K14,0)</f>
        <v>8</v>
      </c>
      <c r="M14" s="3" t="s">
        <v>112</v>
      </c>
      <c r="N14" s="3"/>
      <c r="O14" s="3"/>
      <c r="P14" s="73">
        <v>2</v>
      </c>
      <c r="Q14" s="3"/>
      <c r="R14" s="40">
        <f>P14</f>
        <v>2</v>
      </c>
      <c r="AA14" s="3"/>
      <c r="AB14" s="3"/>
      <c r="AC14" s="3"/>
      <c r="AD14" s="3"/>
      <c r="AE14" s="3"/>
      <c r="AF14" s="3"/>
      <c r="AG14" s="3"/>
      <c r="AH14" s="3"/>
      <c r="AI14" s="107"/>
    </row>
    <row r="15" spans="1:35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0.7083333333333333</v>
      </c>
      <c r="J15" s="114" t="s">
        <v>181</v>
      </c>
      <c r="K15" s="3"/>
      <c r="L15" s="80"/>
      <c r="M15" s="74" t="s">
        <v>132</v>
      </c>
      <c r="N15" s="3"/>
      <c r="O15" s="3"/>
      <c r="P15" s="115">
        <f>2/3</f>
        <v>0.6666666666666666</v>
      </c>
      <c r="Q15" s="125">
        <f>(R10-R11)*P15</f>
        <v>26.666666666666664</v>
      </c>
      <c r="R15" s="40">
        <f>ROUND(Q15,0)</f>
        <v>27</v>
      </c>
      <c r="AA15" s="3"/>
      <c r="AB15" s="3"/>
      <c r="AC15" s="3"/>
      <c r="AD15" s="283"/>
      <c r="AE15" s="3"/>
      <c r="AF15" s="3"/>
      <c r="AG15" s="3"/>
      <c r="AH15" s="3"/>
      <c r="AI15" s="288"/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49" t="s">
        <v>154</v>
      </c>
      <c r="N16" s="12"/>
      <c r="O16" s="12"/>
      <c r="P16" s="12"/>
      <c r="Q16" s="12"/>
      <c r="R16" s="150">
        <v>1</v>
      </c>
    </row>
    <row r="17" spans="1:18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25" ht="1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  <c r="W18" s="127"/>
      <c r="X18" s="127"/>
      <c r="Y18" s="127"/>
    </row>
    <row r="19" spans="1:25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  <c r="W19" s="9"/>
      <c r="X19" s="141"/>
      <c r="Y19" s="9"/>
    </row>
    <row r="20" spans="1:29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  <c r="AA20" s="9"/>
      <c r="AB20" s="407"/>
      <c r="AC20" s="407"/>
    </row>
    <row r="21" spans="1:29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AA21" s="73"/>
      <c r="AB21" s="73"/>
      <c r="AC21" s="73"/>
    </row>
    <row r="22" spans="1:29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AA22" s="73"/>
      <c r="AB22" s="9"/>
      <c r="AC22" s="9"/>
    </row>
    <row r="23" spans="1:29" ht="12.75" customHeight="1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34">
        <f>$Q$60</f>
        <v>381.75</v>
      </c>
      <c r="I23" s="28">
        <f>$Q$61</f>
        <v>135</v>
      </c>
      <c r="J23" s="73">
        <v>0</v>
      </c>
      <c r="K23" s="35">
        <f>$Q$68</f>
        <v>478.5908333333333</v>
      </c>
      <c r="L23" s="29">
        <f>$Q$63</f>
        <v>183.25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2" ref="P23:P40">M23+N23+$C$15*O23</f>
        <v>0</v>
      </c>
      <c r="Q23" s="33">
        <f aca="true" t="shared" si="3" ref="Q23:Q40">(($D$9-$D$10)*$C$11*(1-$E$11)*(N23-J23))+(($D$9-$D$10)*$J$8*$C$11*(1-$E$11)*O23)</f>
        <v>0</v>
      </c>
      <c r="R23" s="75">
        <f>J23*$I$15</f>
        <v>0</v>
      </c>
      <c r="AA23" s="85"/>
      <c r="AB23" s="115"/>
      <c r="AC23" s="115"/>
    </row>
    <row r="24" spans="1:29" ht="12.75" customHeight="1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34">
        <f aca="true" t="shared" si="4" ref="H24:I28">H23</f>
        <v>381.75</v>
      </c>
      <c r="I24" s="28">
        <f t="shared" si="4"/>
        <v>135</v>
      </c>
      <c r="J24" s="34">
        <f>(SUM($H$23:H23)/$L$11)+(SUM($I$23:I23)/$K$16)</f>
        <v>162.9375</v>
      </c>
      <c r="K24" s="35">
        <f aca="true" t="shared" si="5" ref="K24:L28">K23</f>
        <v>478.5908333333333</v>
      </c>
      <c r="L24" s="30">
        <f t="shared" si="5"/>
        <v>183.25</v>
      </c>
      <c r="M24" s="30">
        <f>SUM($L$23:L23)/$L$11</f>
        <v>45.8125</v>
      </c>
      <c r="N24" s="30">
        <f>IF($L$11&gt;(A24-$A$24),0,(((((1-($C$15/($C$14+$C$15)))*SUM($K$23:K23)))-SUM($L$23:L23))/$L$14))</f>
        <v>0</v>
      </c>
      <c r="O24" s="30">
        <f aca="true" t="shared" si="6" ref="O24:O40">(M24+N24)/$C$14</f>
        <v>1.7620192307692308</v>
      </c>
      <c r="P24" s="32">
        <f t="shared" si="2"/>
        <v>55.715048076923075</v>
      </c>
      <c r="Q24" s="36">
        <f t="shared" si="3"/>
        <v>-105.42928685897435</v>
      </c>
      <c r="R24" s="75">
        <f aca="true" t="shared" si="7" ref="R24:R33">J24*$I$15</f>
        <v>115.41406249999999</v>
      </c>
      <c r="AA24" s="85"/>
      <c r="AB24" s="143"/>
      <c r="AC24" s="143"/>
    </row>
    <row r="25" spans="1:29" ht="12.75">
      <c r="A25" s="1">
        <v>2005</v>
      </c>
      <c r="B25" s="128">
        <f>'Total Roy'!B46</f>
        <v>331.7466</v>
      </c>
      <c r="C25" s="111">
        <f aca="true" t="shared" si="8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34">
        <f t="shared" si="4"/>
        <v>381.75</v>
      </c>
      <c r="I25" s="28">
        <f t="shared" si="4"/>
        <v>135</v>
      </c>
      <c r="J25" s="34">
        <f>(SUM($H$23:H24)/$L$11)+(SUM(I23:I24)/$K$16)</f>
        <v>325.875</v>
      </c>
      <c r="K25" s="35">
        <f t="shared" si="5"/>
        <v>478.5908333333333</v>
      </c>
      <c r="L25" s="30">
        <f t="shared" si="5"/>
        <v>183.25</v>
      </c>
      <c r="M25" s="30">
        <f>SUM($L$23:L24)/$L$11</f>
        <v>91.625</v>
      </c>
      <c r="N25" s="30">
        <f>IF($L$11&gt;(A25-$A$24),0,(((((1-($C$15/($C$14+$C$15)))*SUM($K$23:K24)))-SUM($L$23:L24))/$L$14))</f>
        <v>0</v>
      </c>
      <c r="O25" s="30">
        <f t="shared" si="6"/>
        <v>3.5240384615384617</v>
      </c>
      <c r="P25" s="32">
        <f t="shared" si="2"/>
        <v>111.43009615384615</v>
      </c>
      <c r="Q25" s="36">
        <f t="shared" si="3"/>
        <v>-210.8585737179487</v>
      </c>
      <c r="R25" s="75">
        <f t="shared" si="7"/>
        <v>230.82812499999997</v>
      </c>
      <c r="AA25" s="85"/>
      <c r="AB25" s="143"/>
      <c r="AC25" s="143"/>
    </row>
    <row r="26" spans="1:29" ht="12.75">
      <c r="A26" s="1">
        <v>2006</v>
      </c>
      <c r="B26" s="128">
        <f>'Total Roy'!B47</f>
        <v>297.83369999999996</v>
      </c>
      <c r="C26" s="111">
        <f t="shared" si="8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34">
        <f t="shared" si="4"/>
        <v>381.75</v>
      </c>
      <c r="I26" s="28">
        <f t="shared" si="4"/>
        <v>135</v>
      </c>
      <c r="J26" s="34">
        <f>(SUM($H$23:H25)/$L$11)+(SUM(I24:I25)/$K$16)</f>
        <v>421.3125</v>
      </c>
      <c r="K26" s="35">
        <f t="shared" si="5"/>
        <v>478.5908333333333</v>
      </c>
      <c r="L26" s="30">
        <f t="shared" si="5"/>
        <v>183.25</v>
      </c>
      <c r="M26" s="30">
        <f>SUM($L$23:L25)/$L$11</f>
        <v>137.4375</v>
      </c>
      <c r="N26" s="30">
        <f>IF($L$11&gt;(A26-$A$24),0,(((((1-($C$15/($C$14+$C$15)))*SUM($K$23:K25)))-SUM($L$23:L25))/$L$14))</f>
        <v>0</v>
      </c>
      <c r="O26" s="30">
        <f t="shared" si="6"/>
        <v>5.2860576923076925</v>
      </c>
      <c r="P26" s="32">
        <f t="shared" si="2"/>
        <v>167.14514423076923</v>
      </c>
      <c r="Q26" s="36">
        <f t="shared" si="3"/>
        <v>-268.47536057692304</v>
      </c>
      <c r="R26" s="75">
        <f t="shared" si="7"/>
        <v>298.42968749999994</v>
      </c>
      <c r="AA26" s="85"/>
      <c r="AB26" s="143"/>
      <c r="AC26" s="143"/>
    </row>
    <row r="27" spans="1:29" ht="12.75">
      <c r="A27" s="1">
        <v>2007</v>
      </c>
      <c r="B27" s="128">
        <f>'Total Roy'!B48</f>
        <v>261.3062</v>
      </c>
      <c r="C27" s="111">
        <f t="shared" si="8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34">
        <f t="shared" si="4"/>
        <v>381.75</v>
      </c>
      <c r="I27" s="28">
        <f t="shared" si="4"/>
        <v>135</v>
      </c>
      <c r="J27" s="34">
        <f aca="true" t="shared" si="9" ref="J27:J33">(SUM(H23:H26)/$L$11)+(SUM(I25:I26)/$K$16)</f>
        <v>516.75</v>
      </c>
      <c r="K27" s="35">
        <f t="shared" si="5"/>
        <v>478.5908333333333</v>
      </c>
      <c r="L27" s="30">
        <f t="shared" si="5"/>
        <v>183.25</v>
      </c>
      <c r="M27" s="30">
        <f aca="true" t="shared" si="10" ref="M27:M33">SUM(L23:L26)/$L$11</f>
        <v>183.25</v>
      </c>
      <c r="N27" s="30">
        <f>IF($L$11&gt;(A27-$A$24),0,(((((1-($C$15/($C$14+$C$15)))*SUM(K23:K26)))-SUM(L23:L26))/$L$14))</f>
        <v>0</v>
      </c>
      <c r="O27" s="30">
        <f t="shared" si="6"/>
        <v>7.048076923076923</v>
      </c>
      <c r="P27" s="32">
        <f t="shared" si="2"/>
        <v>222.8601923076923</v>
      </c>
      <c r="Q27" s="36">
        <f t="shared" si="3"/>
        <v>-326.0921474358974</v>
      </c>
      <c r="R27" s="75">
        <f t="shared" si="7"/>
        <v>366.03124999999994</v>
      </c>
      <c r="AA27" s="85"/>
      <c r="AB27" s="143"/>
      <c r="AC27" s="143"/>
    </row>
    <row r="28" spans="1:29" ht="12.75">
      <c r="A28" s="1">
        <v>2008</v>
      </c>
      <c r="B28" s="128">
        <f>'Total Roy'!B49</f>
        <v>226.54739999999998</v>
      </c>
      <c r="C28" s="111">
        <f t="shared" si="8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34">
        <f t="shared" si="4"/>
        <v>381.75</v>
      </c>
      <c r="I28" s="28">
        <f t="shared" si="4"/>
        <v>135</v>
      </c>
      <c r="J28" s="34">
        <f t="shared" si="9"/>
        <v>516.75</v>
      </c>
      <c r="K28" s="35">
        <f t="shared" si="5"/>
        <v>478.5908333333333</v>
      </c>
      <c r="L28" s="30">
        <f t="shared" si="5"/>
        <v>183.25</v>
      </c>
      <c r="M28" s="30">
        <f t="shared" si="10"/>
        <v>183.25</v>
      </c>
      <c r="N28" s="30">
        <f>IF($L$11&gt;(A28-$A$24),0,(((((1-($C$15/($C$14+$C$15)))*SUM($K$23:K23)))-SUM($L$23:L23))/$L$14))</f>
        <v>26.284774931477962</v>
      </c>
      <c r="O28" s="30">
        <f t="shared" si="6"/>
        <v>8.059029805056845</v>
      </c>
      <c r="P28" s="32">
        <f t="shared" si="2"/>
        <v>254.82652243589743</v>
      </c>
      <c r="Q28" s="36">
        <f t="shared" si="3"/>
        <v>-301.74503219488093</v>
      </c>
      <c r="R28" s="75">
        <f t="shared" si="7"/>
        <v>366.03124999999994</v>
      </c>
      <c r="AA28" s="85"/>
      <c r="AB28" s="143"/>
      <c r="AC28" s="143"/>
    </row>
    <row r="29" spans="1:29" ht="12.75">
      <c r="A29" s="1">
        <v>2009</v>
      </c>
      <c r="B29" s="128">
        <f>'Total Roy'!B50</f>
        <v>197.3254</v>
      </c>
      <c r="C29" s="111">
        <f t="shared" si="8"/>
        <v>343.5</v>
      </c>
      <c r="D29" s="42">
        <f aca="true" t="shared" si="11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9"/>
        <v>516.75</v>
      </c>
      <c r="K29" s="28">
        <v>0</v>
      </c>
      <c r="L29" s="28">
        <v>0</v>
      </c>
      <c r="M29" s="30">
        <f t="shared" si="10"/>
        <v>183.25</v>
      </c>
      <c r="N29" s="30">
        <f>IF($L$11&gt;(A29-$A$24),0,(((((1-($C$15/($C$14+$C$15)))*SUM($K$23:K24)))-SUM($L$23:L24))/$L$14))</f>
        <v>52.569549862955924</v>
      </c>
      <c r="O29" s="30">
        <f t="shared" si="6"/>
        <v>9.069982687036767</v>
      </c>
      <c r="P29" s="32">
        <f t="shared" si="2"/>
        <v>286.79285256410253</v>
      </c>
      <c r="Q29" s="36">
        <f t="shared" si="3"/>
        <v>-277.3979169538645</v>
      </c>
      <c r="R29" s="75">
        <f t="shared" si="7"/>
        <v>366.03124999999994</v>
      </c>
      <c r="AA29" s="85"/>
      <c r="AB29" s="143"/>
      <c r="AC29" s="143"/>
    </row>
    <row r="30" spans="1:29" ht="12.75">
      <c r="A30" s="1">
        <v>2010</v>
      </c>
      <c r="B30" s="128">
        <f>'Total Roy'!B51</f>
        <v>171.4101</v>
      </c>
      <c r="C30" s="111">
        <f t="shared" si="8"/>
        <v>343.5</v>
      </c>
      <c r="D30" s="42">
        <f t="shared" si="11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9"/>
        <v>353.8125</v>
      </c>
      <c r="K30" s="28"/>
      <c r="L30" s="28"/>
      <c r="M30" s="30">
        <f t="shared" si="10"/>
        <v>137.4375</v>
      </c>
      <c r="N30" s="30">
        <f>IF($L$11&gt;(A30-$A$24),0,(((((1-($C$15/($C$14+$C$15)))*SUM($K$23:K25)))-SUM($L$23:L25))/$L$14))</f>
        <v>78.8543247944339</v>
      </c>
      <c r="O30" s="30">
        <f t="shared" si="6"/>
        <v>8.318916338247458</v>
      </c>
      <c r="P30" s="32">
        <f t="shared" si="2"/>
        <v>263.0441346153846</v>
      </c>
      <c r="Q30" s="36">
        <f t="shared" si="3"/>
        <v>-147.62151485387375</v>
      </c>
      <c r="R30" s="75">
        <f t="shared" si="7"/>
        <v>250.61718749999997</v>
      </c>
      <c r="AA30" s="85"/>
      <c r="AB30" s="143"/>
      <c r="AC30" s="143"/>
    </row>
    <row r="31" spans="1:29" ht="12.75">
      <c r="A31" s="1">
        <v>2011</v>
      </c>
      <c r="B31" s="128">
        <f>'Total Roy'!B52</f>
        <v>149.3398</v>
      </c>
      <c r="C31" s="111">
        <f t="shared" si="8"/>
        <v>343.5</v>
      </c>
      <c r="D31" s="42">
        <f t="shared" si="11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9"/>
        <v>190.875</v>
      </c>
      <c r="K31" s="28"/>
      <c r="L31" s="28"/>
      <c r="M31" s="30">
        <f t="shared" si="10"/>
        <v>91.625</v>
      </c>
      <c r="N31" s="30">
        <f>IF($L$11&gt;(A31-$A$24),0,(((((1-($C$15/($C$14+$C$15)))*SUM($K$23:K26)))-SUM($L$23:L26))/$L$14))</f>
        <v>105.13909972591185</v>
      </c>
      <c r="O31" s="30">
        <f t="shared" si="6"/>
        <v>7.567849989458148</v>
      </c>
      <c r="P31" s="32">
        <f t="shared" si="2"/>
        <v>239.29541666666665</v>
      </c>
      <c r="Q31" s="36">
        <f t="shared" si="3"/>
        <v>-17.845112753882937</v>
      </c>
      <c r="R31" s="75">
        <f t="shared" si="7"/>
        <v>135.203125</v>
      </c>
      <c r="AA31" s="85"/>
      <c r="AB31" s="143"/>
      <c r="AC31" s="143"/>
    </row>
    <row r="32" spans="1:29" ht="12.75">
      <c r="A32" s="1">
        <v>2012</v>
      </c>
      <c r="B32" s="128">
        <f>'Total Roy'!B53</f>
        <v>124.1935</v>
      </c>
      <c r="C32" s="111">
        <f t="shared" si="8"/>
        <v>343.5</v>
      </c>
      <c r="D32" s="42">
        <f t="shared" si="11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9"/>
        <v>95.4375</v>
      </c>
      <c r="K32" s="28"/>
      <c r="L32" s="28"/>
      <c r="M32" s="30">
        <f t="shared" si="10"/>
        <v>45.8125</v>
      </c>
      <c r="N32" s="30">
        <f>IF($L$11&gt;(A32-$A$24),0,(((((1-($C$15/($C$14+$C$15)))*SUM($K$23:K27)))-SUM($L$23:L27))/$L$14))</f>
        <v>131.4238746573898</v>
      </c>
      <c r="O32" s="30">
        <f t="shared" si="6"/>
        <v>6.816783640668839</v>
      </c>
      <c r="P32" s="32">
        <f t="shared" si="2"/>
        <v>215.5466987179487</v>
      </c>
      <c r="Q32" s="36">
        <f t="shared" si="3"/>
        <v>64.11878934610786</v>
      </c>
      <c r="R32" s="75">
        <f t="shared" si="7"/>
        <v>67.6015625</v>
      </c>
      <c r="AA32" s="85"/>
      <c r="AB32" s="143"/>
      <c r="AC32" s="143"/>
    </row>
    <row r="33" spans="1:29" ht="12.75">
      <c r="A33" s="1">
        <v>2013</v>
      </c>
      <c r="B33" s="128">
        <f>'Total Roy'!B54</f>
        <v>102.5846</v>
      </c>
      <c r="C33" s="111">
        <f t="shared" si="8"/>
        <v>343.5</v>
      </c>
      <c r="D33" s="42">
        <f t="shared" si="11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9"/>
        <v>0</v>
      </c>
      <c r="K33" s="9"/>
      <c r="L33" s="9"/>
      <c r="M33" s="30">
        <f t="shared" si="10"/>
        <v>0</v>
      </c>
      <c r="N33" s="30">
        <f>IF($L$11&gt;(A33-$A$24),0,(((((1-($C$15/($C$14+$C$15)))*SUM($K$23:K28)))-SUM($L$23:L28))/$L$14))</f>
        <v>157.7086495888678</v>
      </c>
      <c r="O33" s="30">
        <f t="shared" si="6"/>
        <v>6.065717291879531</v>
      </c>
      <c r="P33" s="32">
        <f t="shared" si="2"/>
        <v>191.79798076923075</v>
      </c>
      <c r="Q33" s="36">
        <f t="shared" si="3"/>
        <v>146.08269144609866</v>
      </c>
      <c r="R33" s="75">
        <f t="shared" si="7"/>
        <v>0</v>
      </c>
      <c r="AA33" s="85"/>
      <c r="AB33" s="143"/>
      <c r="AC33" s="143"/>
    </row>
    <row r="34" spans="1:29" ht="12.75">
      <c r="A34" s="1">
        <v>2014</v>
      </c>
      <c r="B34" s="129">
        <f aca="true" t="shared" si="12" ref="B34:B39">B33*(B33/B32)</f>
        <v>84.7355147987616</v>
      </c>
      <c r="C34" s="111">
        <f t="shared" si="8"/>
        <v>343.5</v>
      </c>
      <c r="D34" s="42">
        <f t="shared" si="11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34"/>
      <c r="K34" s="3"/>
      <c r="L34" s="3"/>
      <c r="M34" s="30"/>
      <c r="N34" s="30">
        <f>IF($L$11&gt;(A34-$A$24),0,(((((1-($C$15/($C$14+$C$15)))*SUM($K$23:K29)))-SUM($L$23:L29))/$L$14))</f>
        <v>157.7086495888678</v>
      </c>
      <c r="O34" s="30">
        <f t="shared" si="6"/>
        <v>6.065717291879531</v>
      </c>
      <c r="P34" s="32">
        <f t="shared" si="2"/>
        <v>191.79798076923075</v>
      </c>
      <c r="Q34" s="36">
        <f t="shared" si="3"/>
        <v>146.08269144609866</v>
      </c>
      <c r="R34" s="75"/>
      <c r="AA34" s="85"/>
      <c r="AB34" s="143"/>
      <c r="AC34" s="143"/>
    </row>
    <row r="35" spans="1:29" ht="12.75">
      <c r="A35" s="1">
        <v>2015</v>
      </c>
      <c r="B35" s="129">
        <f t="shared" si="12"/>
        <v>69.99205990188729</v>
      </c>
      <c r="C35" s="111">
        <f t="shared" si="8"/>
        <v>343.5</v>
      </c>
      <c r="D35" s="42">
        <f t="shared" si="11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3" ref="N35:N40">IF($L$11&gt;(A35-$A$24),0,(((((1-($C$15/($C$14+$C$15)))*SUM(K23:K30)))-SUM(L23:L30))/$L$14))</f>
        <v>157.7086495888678</v>
      </c>
      <c r="O35" s="30">
        <f t="shared" si="6"/>
        <v>6.065717291879531</v>
      </c>
      <c r="P35" s="32">
        <f t="shared" si="2"/>
        <v>191.79798076923075</v>
      </c>
      <c r="Q35" s="36">
        <f t="shared" si="3"/>
        <v>146.08269144609866</v>
      </c>
      <c r="R35" s="75"/>
      <c r="AA35" s="85"/>
      <c r="AB35" s="143"/>
      <c r="AC35" s="143"/>
    </row>
    <row r="36" spans="1:29" ht="12.75">
      <c r="A36" s="1">
        <v>2016</v>
      </c>
      <c r="B36" s="129">
        <f t="shared" si="12"/>
        <v>57.81387486632671</v>
      </c>
      <c r="C36" s="111">
        <f t="shared" si="8"/>
        <v>343.5</v>
      </c>
      <c r="D36" s="42">
        <f t="shared" si="11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3"/>
        <v>131.4238746573898</v>
      </c>
      <c r="O36" s="30">
        <f t="shared" si="6"/>
        <v>5.054764409899608</v>
      </c>
      <c r="P36" s="32">
        <f t="shared" si="2"/>
        <v>159.8316506410256</v>
      </c>
      <c r="Q36" s="36">
        <f t="shared" si="3"/>
        <v>121.7355762050822</v>
      </c>
      <c r="R36" s="75"/>
      <c r="AA36" s="85"/>
      <c r="AB36" s="143"/>
      <c r="AC36" s="143"/>
    </row>
    <row r="37" spans="1:29" ht="12.75">
      <c r="A37" s="1">
        <v>2017</v>
      </c>
      <c r="B37" s="129">
        <f t="shared" si="12"/>
        <v>47.754618620235185</v>
      </c>
      <c r="C37" s="111">
        <f t="shared" si="8"/>
        <v>343.5</v>
      </c>
      <c r="D37" s="42">
        <f t="shared" si="11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3"/>
        <v>105.13909972591185</v>
      </c>
      <c r="O37" s="30">
        <f t="shared" si="6"/>
        <v>4.0438115279196865</v>
      </c>
      <c r="P37" s="32">
        <f t="shared" si="2"/>
        <v>127.86532051282049</v>
      </c>
      <c r="Q37" s="36">
        <f t="shared" si="3"/>
        <v>97.38846096406577</v>
      </c>
      <c r="AA37" s="85"/>
      <c r="AB37" s="143"/>
      <c r="AC37" s="143"/>
    </row>
    <row r="38" spans="1:29" ht="12.75">
      <c r="A38" s="1">
        <v>2018</v>
      </c>
      <c r="B38" s="129">
        <f t="shared" si="12"/>
        <v>39.445610674547204</v>
      </c>
      <c r="C38" s="111">
        <f t="shared" si="8"/>
        <v>343.5</v>
      </c>
      <c r="D38" s="42">
        <f t="shared" si="11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3"/>
        <v>78.8543247944339</v>
      </c>
      <c r="O38" s="30">
        <f t="shared" si="6"/>
        <v>3.0328586459397653</v>
      </c>
      <c r="P38" s="32">
        <f t="shared" si="2"/>
        <v>95.89899038461537</v>
      </c>
      <c r="Q38" s="36">
        <f t="shared" si="3"/>
        <v>73.04134572304933</v>
      </c>
      <c r="AA38" s="85"/>
      <c r="AB38" s="143"/>
      <c r="AC38" s="143"/>
    </row>
    <row r="39" spans="1:29" ht="12.75">
      <c r="A39" s="1">
        <v>2019</v>
      </c>
      <c r="B39" s="129">
        <f t="shared" si="12"/>
        <v>32.58231866244332</v>
      </c>
      <c r="C39" s="111">
        <f t="shared" si="8"/>
        <v>343.5</v>
      </c>
      <c r="D39" s="42">
        <f t="shared" si="11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3"/>
        <v>52.569549862955924</v>
      </c>
      <c r="O39" s="30">
        <f t="shared" si="6"/>
        <v>2.0219057639598432</v>
      </c>
      <c r="P39" s="32">
        <f t="shared" si="2"/>
        <v>63.932660256410244</v>
      </c>
      <c r="Q39" s="36">
        <f t="shared" si="3"/>
        <v>48.694230482032886</v>
      </c>
      <c r="AA39" s="85"/>
      <c r="AB39" s="143"/>
      <c r="AC39" s="143"/>
    </row>
    <row r="40" spans="1:29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3"/>
        <v>26.284774931477962</v>
      </c>
      <c r="O40" s="57">
        <f t="shared" si="6"/>
        <v>1.0109528819799216</v>
      </c>
      <c r="P40" s="59">
        <f t="shared" si="2"/>
        <v>31.966330128205122</v>
      </c>
      <c r="Q40" s="71">
        <f t="shared" si="3"/>
        <v>24.347115241016443</v>
      </c>
      <c r="R40" s="130"/>
      <c r="AA40" s="85"/>
      <c r="AB40" s="143"/>
      <c r="AC40" s="143"/>
    </row>
    <row r="41" spans="1:23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2290.5</v>
      </c>
      <c r="I41" s="85">
        <f>SUM(I23:I40)</f>
        <v>810</v>
      </c>
      <c r="J41" s="85">
        <f aca="true" t="shared" si="14" ref="J41:P41">SUM(J23:J40)</f>
        <v>3100.5</v>
      </c>
      <c r="K41" s="85">
        <f>SUM(K23:K40)</f>
        <v>2871.5449999999996</v>
      </c>
      <c r="L41" s="85">
        <f t="shared" si="14"/>
        <v>1099.5</v>
      </c>
      <c r="M41" s="85">
        <f t="shared" si="14"/>
        <v>1099.5</v>
      </c>
      <c r="N41" s="85">
        <f t="shared" si="14"/>
        <v>1261.6691967109423</v>
      </c>
      <c r="O41" s="85">
        <f t="shared" si="14"/>
        <v>90.81419987349777</v>
      </c>
      <c r="P41" s="85">
        <f t="shared" si="14"/>
        <v>2871.5449999999996</v>
      </c>
      <c r="Q41" s="36">
        <f>SUM(Q23:Q40)</f>
        <v>-787.8913530465952</v>
      </c>
      <c r="R41" s="36">
        <f>SUM(R23:R40)</f>
        <v>2196.1875</v>
      </c>
      <c r="W41" s="3"/>
    </row>
    <row r="42" spans="2:25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2871.545</v>
      </c>
      <c r="L42" s="3"/>
      <c r="M42" s="411" t="s">
        <v>77</v>
      </c>
      <c r="N42" s="412"/>
      <c r="O42" s="64">
        <v>0.07</v>
      </c>
      <c r="P42" s="65">
        <f>NPV(O42,P24:P39)</f>
        <v>1695.0826201671603</v>
      </c>
      <c r="Q42" s="66">
        <f>NPV($O$42,Q24:Q39)</f>
        <v>-878.27782570108</v>
      </c>
      <c r="R42" s="66">
        <f>NPV($O$42,R24:R39)</f>
        <v>1608.7381512137372</v>
      </c>
      <c r="W42" s="3"/>
      <c r="X42" s="3"/>
      <c r="Y42" s="3"/>
    </row>
    <row r="43" spans="1:25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3100.5</v>
      </c>
      <c r="K43" s="86">
        <f>M43+N43+O43</f>
        <v>2871.5449999999996</v>
      </c>
      <c r="L43" s="120"/>
      <c r="M43" s="86">
        <f>M41</f>
        <v>1099.5</v>
      </c>
      <c r="N43" s="86">
        <f>N41</f>
        <v>1261.6691967109423</v>
      </c>
      <c r="O43" s="136">
        <f>O41*C15</f>
        <v>510.3758032890575</v>
      </c>
      <c r="P43" s="120"/>
      <c r="Q43" s="137"/>
      <c r="W43" s="3"/>
      <c r="X43" s="3"/>
      <c r="Y43" s="3"/>
    </row>
    <row r="44" spans="13:24" ht="6" customHeight="1">
      <c r="M44" s="3"/>
      <c r="N44" s="42"/>
      <c r="O44" s="42"/>
      <c r="P44" s="32"/>
      <c r="Q44" s="61"/>
      <c r="S44" s="98"/>
      <c r="T44" s="98"/>
      <c r="U44" s="37"/>
      <c r="V44" s="63"/>
      <c r="W44" s="63"/>
      <c r="X44" s="75"/>
    </row>
    <row r="45" spans="2:20" ht="15" customHeight="1">
      <c r="B45" s="422" t="s">
        <v>141</v>
      </c>
      <c r="C45" s="390"/>
      <c r="D45" s="390"/>
      <c r="E45" s="390"/>
      <c r="F45" s="391"/>
      <c r="H45" s="3"/>
      <c r="I45" s="9" t="s">
        <v>296</v>
      </c>
      <c r="J45" s="54"/>
      <c r="K45" s="3"/>
      <c r="L45" s="3"/>
      <c r="M45" s="3"/>
      <c r="N45" s="42"/>
      <c r="O45" s="42"/>
      <c r="P45" s="32"/>
      <c r="Q45" s="61"/>
      <c r="R45" s="3"/>
      <c r="S45" s="98"/>
      <c r="T45" s="98"/>
    </row>
    <row r="46" spans="2:17" ht="12.75" customHeight="1">
      <c r="B46" s="139" t="s">
        <v>120</v>
      </c>
      <c r="C46" s="9" t="s">
        <v>121</v>
      </c>
      <c r="D46" s="9" t="s">
        <v>122</v>
      </c>
      <c r="E46" s="140" t="s">
        <v>123</v>
      </c>
      <c r="F46" s="1" t="s">
        <v>146</v>
      </c>
      <c r="H46" s="1" t="s">
        <v>294</v>
      </c>
      <c r="I46" s="73" t="s">
        <v>278</v>
      </c>
      <c r="J46" s="208" t="s">
        <v>295</v>
      </c>
      <c r="K46" s="167" t="s">
        <v>151</v>
      </c>
      <c r="L46" s="127"/>
      <c r="M46" s="84"/>
      <c r="N46" s="84"/>
      <c r="O46" s="84"/>
      <c r="Q46" s="168">
        <f>P41/J41</f>
        <v>0.9261554587969681</v>
      </c>
    </row>
    <row r="47" spans="2:18" ht="12.75" customHeight="1" thickBot="1">
      <c r="B47" s="413" t="s">
        <v>109</v>
      </c>
      <c r="C47" s="408"/>
      <c r="D47" s="408"/>
      <c r="E47" s="407" t="s">
        <v>282</v>
      </c>
      <c r="F47" s="407"/>
      <c r="H47" s="304" t="s">
        <v>125</v>
      </c>
      <c r="I47" s="305" t="s">
        <v>280</v>
      </c>
      <c r="J47" s="28" t="s">
        <v>145</v>
      </c>
      <c r="K47" s="84"/>
      <c r="L47" s="84"/>
      <c r="R47" s="298">
        <v>37711</v>
      </c>
    </row>
    <row r="48" spans="2:16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28" t="s">
        <v>79</v>
      </c>
      <c r="L48" s="429"/>
      <c r="M48" s="429"/>
      <c r="N48" s="429"/>
      <c r="O48" s="429"/>
      <c r="P48" s="430"/>
    </row>
    <row r="49" spans="1:16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</row>
    <row r="50" spans="1:16" ht="12.75" customHeight="1">
      <c r="A50" s="1">
        <v>2003</v>
      </c>
      <c r="B50" s="14">
        <f aca="true" t="shared" si="15" ref="B50:B66">E23</f>
        <v>0</v>
      </c>
      <c r="C50" s="42">
        <f aca="true" t="shared" si="16" ref="C50:C66">E23+M23+N23</f>
        <v>0</v>
      </c>
      <c r="D50" s="42">
        <f aca="true" t="shared" si="17" ref="D50:D62">C50-E23</f>
        <v>0</v>
      </c>
      <c r="E50" s="22">
        <f>$E$8*D50</f>
        <v>0</v>
      </c>
      <c r="F50" s="1">
        <f>($D$9*(E50/H50))/$D$6</f>
        <v>0</v>
      </c>
      <c r="H50" s="85">
        <f>22920+2*($H$52-22920)/4</f>
        <v>23635</v>
      </c>
      <c r="I50" s="67">
        <f>H50*-F50</f>
        <v>0</v>
      </c>
      <c r="J50" s="36">
        <f aca="true" t="shared" si="18" ref="J50:J67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 customHeight="1">
      <c r="A51" s="1">
        <v>2004</v>
      </c>
      <c r="B51" s="34">
        <f t="shared" si="15"/>
        <v>47.07463630613536</v>
      </c>
      <c r="C51" s="42">
        <f t="shared" si="16"/>
        <v>92.88713630613536</v>
      </c>
      <c r="D51" s="42">
        <f t="shared" si="17"/>
        <v>45.8125</v>
      </c>
      <c r="E51" s="22">
        <f aca="true" t="shared" si="19" ref="E51:E67">$E$8*D51</f>
        <v>18.0959375</v>
      </c>
      <c r="F51" s="300">
        <f>($D$9*(E51/H51))/$D$6</f>
        <v>-0.004713956835469418</v>
      </c>
      <c r="H51" s="85">
        <f>22920+3*($H$52-22920)/4</f>
        <v>23992.5</v>
      </c>
      <c r="I51" s="67">
        <f aca="true" t="shared" si="20" ref="I51:I67">H51*-F51</f>
        <v>113.099609375</v>
      </c>
      <c r="J51" s="36">
        <f t="shared" si="18"/>
        <v>6.408977864583333</v>
      </c>
      <c r="K51" s="2" t="s">
        <v>72</v>
      </c>
      <c r="L51" s="3"/>
      <c r="M51" s="3"/>
      <c r="N51" s="3"/>
      <c r="O51" s="54">
        <f>(O11*O12)/1000</f>
        <v>0.336</v>
      </c>
      <c r="P51" s="55">
        <f>(Q11*Q12)/1000</f>
        <v>0.172935</v>
      </c>
    </row>
    <row r="52" spans="1:16" ht="12.75" customHeight="1">
      <c r="A52" s="1">
        <v>2005</v>
      </c>
      <c r="B52" s="34">
        <f t="shared" si="15"/>
        <v>94.14927261227072</v>
      </c>
      <c r="C52" s="42">
        <f t="shared" si="16"/>
        <v>185.77427261227072</v>
      </c>
      <c r="D52" s="42">
        <f t="shared" si="17"/>
        <v>91.625</v>
      </c>
      <c r="E52" s="22">
        <f t="shared" si="19"/>
        <v>36.191875</v>
      </c>
      <c r="F52" s="300">
        <f aca="true" t="shared" si="21" ref="F52:F67">($D$9*(E52/H52))/$D$6</f>
        <v>-0.009289495636550309</v>
      </c>
      <c r="H52" s="85">
        <f>24.35*1000</f>
        <v>24350</v>
      </c>
      <c r="I52" s="67">
        <f t="shared" si="20"/>
        <v>226.19921875000003</v>
      </c>
      <c r="J52" s="36">
        <f t="shared" si="18"/>
        <v>12.817955729166666</v>
      </c>
      <c r="K52" s="2" t="s">
        <v>73</v>
      </c>
      <c r="L52" s="3"/>
      <c r="M52" s="3"/>
      <c r="N52" s="9">
        <v>6</v>
      </c>
      <c r="O52" s="22">
        <f>O51*N52</f>
        <v>2.016</v>
      </c>
      <c r="P52" s="53">
        <f>P51*N52</f>
        <v>1.03761</v>
      </c>
    </row>
    <row r="53" spans="1:16" ht="12.75" customHeight="1">
      <c r="A53" s="1">
        <v>2006</v>
      </c>
      <c r="B53" s="34">
        <f t="shared" si="15"/>
        <v>141.22390891840607</v>
      </c>
      <c r="C53" s="42">
        <f t="shared" si="16"/>
        <v>278.6614089184061</v>
      </c>
      <c r="D53" s="42">
        <f t="shared" si="17"/>
        <v>137.43750000000003</v>
      </c>
      <c r="E53" s="22">
        <f t="shared" si="19"/>
        <v>54.287812500000015</v>
      </c>
      <c r="F53" s="300">
        <f t="shared" si="21"/>
        <v>-0.013647286144517743</v>
      </c>
      <c r="H53" s="85">
        <f>$H$52+($H$57-$H$52)/5</f>
        <v>24862</v>
      </c>
      <c r="I53" s="67">
        <f t="shared" si="20"/>
        <v>339.2988281250001</v>
      </c>
      <c r="J53" s="36">
        <f t="shared" si="18"/>
        <v>19.226933593750005</v>
      </c>
      <c r="K53" s="8" t="s">
        <v>74</v>
      </c>
      <c r="L53" s="9"/>
      <c r="M53" s="3"/>
      <c r="N53" s="3"/>
      <c r="O53" s="54">
        <f>O51+((P11-O11)*P12)/1000</f>
        <v>0.5635</v>
      </c>
      <c r="P53" s="55">
        <f>P51+((R11-Q11)*R12)/1000</f>
        <v>0.594244</v>
      </c>
    </row>
    <row r="54" spans="1:16" ht="12.75" customHeight="1">
      <c r="A54" s="1">
        <v>2007</v>
      </c>
      <c r="B54" s="34">
        <f t="shared" si="15"/>
        <v>188.29854522454144</v>
      </c>
      <c r="C54" s="42">
        <f t="shared" si="16"/>
        <v>371.54854522454144</v>
      </c>
      <c r="D54" s="42">
        <f t="shared" si="17"/>
        <v>183.25</v>
      </c>
      <c r="E54" s="22">
        <f t="shared" si="19"/>
        <v>72.38375</v>
      </c>
      <c r="F54" s="300">
        <f t="shared" si="21"/>
        <v>-0.01782921248128005</v>
      </c>
      <c r="H54" s="85">
        <f>$H$52+2*($H$57-$H$52)/5</f>
        <v>25374</v>
      </c>
      <c r="I54" s="67">
        <f t="shared" si="20"/>
        <v>452.3984375</v>
      </c>
      <c r="J54" s="36">
        <f t="shared" si="18"/>
        <v>25.635911458333332</v>
      </c>
      <c r="K54" s="2" t="s">
        <v>73</v>
      </c>
      <c r="L54" s="3"/>
      <c r="M54" s="3"/>
      <c r="N54" s="9">
        <f>N52</f>
        <v>6</v>
      </c>
      <c r="O54" s="22">
        <f>O53*N54</f>
        <v>3.3810000000000002</v>
      </c>
      <c r="P54" s="53">
        <f>P53*N54</f>
        <v>3.565464</v>
      </c>
    </row>
    <row r="55" spans="1:16" ht="12.75" customHeight="1">
      <c r="A55" s="1">
        <v>2008</v>
      </c>
      <c r="B55" s="34">
        <f t="shared" si="15"/>
        <v>235.3731815306768</v>
      </c>
      <c r="C55" s="42">
        <f t="shared" si="16"/>
        <v>444.90795646215474</v>
      </c>
      <c r="D55" s="42">
        <f t="shared" si="17"/>
        <v>209.53477493147795</v>
      </c>
      <c r="E55" s="22">
        <f t="shared" si="19"/>
        <v>82.7662360979338</v>
      </c>
      <c r="F55" s="300">
        <f t="shared" si="21"/>
        <v>-0.0199833491312712</v>
      </c>
      <c r="H55" s="85">
        <f>$H$52+3*($H$57-$H$52)/5</f>
        <v>25886</v>
      </c>
      <c r="I55" s="67">
        <f t="shared" si="20"/>
        <v>517.2889756120862</v>
      </c>
      <c r="J55" s="36">
        <f t="shared" si="18"/>
        <v>29.31304195135155</v>
      </c>
      <c r="K55" s="2" t="s">
        <v>75</v>
      </c>
      <c r="L55" s="3"/>
      <c r="M55" s="3"/>
      <c r="N55" s="3"/>
      <c r="O55" s="22">
        <f>O54-O52</f>
        <v>1.3650000000000002</v>
      </c>
      <c r="P55" s="53">
        <f>P54-P52</f>
        <v>2.527854</v>
      </c>
    </row>
    <row r="56" spans="1:16" ht="12.75" customHeight="1">
      <c r="A56" s="1">
        <v>2009</v>
      </c>
      <c r="B56" s="34">
        <f t="shared" si="15"/>
        <v>282.44781783681213</v>
      </c>
      <c r="C56" s="42">
        <f t="shared" si="16"/>
        <v>518.2673676997681</v>
      </c>
      <c r="D56" s="42">
        <f t="shared" si="17"/>
        <v>235.81954986295597</v>
      </c>
      <c r="E56" s="22">
        <f t="shared" si="19"/>
        <v>93.1487221958676</v>
      </c>
      <c r="F56" s="300">
        <f t="shared" si="21"/>
        <v>-0.022053925059632266</v>
      </c>
      <c r="H56" s="85">
        <f>$H$52+4*($H$57-$H$52)/5</f>
        <v>26398</v>
      </c>
      <c r="I56" s="67">
        <f t="shared" si="20"/>
        <v>582.1795137241726</v>
      </c>
      <c r="J56" s="36">
        <f t="shared" si="18"/>
        <v>32.990172444369776</v>
      </c>
      <c r="K56" s="2" t="s">
        <v>76</v>
      </c>
      <c r="L56" s="3"/>
      <c r="M56" s="3"/>
      <c r="N56" s="3"/>
      <c r="O56" s="3"/>
      <c r="P56" s="53">
        <f>(O54+P54)</f>
        <v>6.946464000000001</v>
      </c>
    </row>
    <row r="57" spans="1:16" ht="12.75" customHeight="1" thickBot="1">
      <c r="A57" s="1">
        <v>2010</v>
      </c>
      <c r="B57" s="34">
        <f t="shared" si="15"/>
        <v>282.44781783681213</v>
      </c>
      <c r="C57" s="42">
        <f t="shared" si="16"/>
        <v>498.73964263124606</v>
      </c>
      <c r="D57" s="42">
        <f t="shared" si="17"/>
        <v>216.29182479443392</v>
      </c>
      <c r="E57" s="22">
        <f t="shared" si="19"/>
        <v>85.43527079380141</v>
      </c>
      <c r="F57" s="300">
        <f t="shared" si="21"/>
        <v>-0.019842825806810065</v>
      </c>
      <c r="H57" s="85">
        <f>26.91*1000</f>
        <v>26910</v>
      </c>
      <c r="I57" s="67">
        <f t="shared" si="20"/>
        <v>533.9704424612588</v>
      </c>
      <c r="J57" s="36">
        <f t="shared" si="18"/>
        <v>30.258325072804663</v>
      </c>
      <c r="K57" s="11" t="s">
        <v>178</v>
      </c>
      <c r="L57" s="12"/>
      <c r="M57" s="12"/>
      <c r="N57" s="12"/>
      <c r="O57" s="12"/>
      <c r="P57" s="62">
        <f>(O55+P55)</f>
        <v>3.8928540000000003</v>
      </c>
    </row>
    <row r="58" spans="1:10" ht="12.75" customHeight="1" thickBot="1">
      <c r="A58" s="1">
        <v>2011</v>
      </c>
      <c r="B58" s="34">
        <f t="shared" si="15"/>
        <v>282.44781783681213</v>
      </c>
      <c r="C58" s="42">
        <f t="shared" si="16"/>
        <v>479.211917562724</v>
      </c>
      <c r="D58" s="42">
        <f t="shared" si="17"/>
        <v>196.76409972591188</v>
      </c>
      <c r="E58" s="22">
        <f t="shared" si="19"/>
        <v>77.7218193917352</v>
      </c>
      <c r="F58" s="300">
        <f t="shared" si="21"/>
        <v>-0.01773045848809523</v>
      </c>
      <c r="H58" s="85">
        <f>$H$57+($H$62-$H$57)/5</f>
        <v>27397</v>
      </c>
      <c r="I58" s="67">
        <f t="shared" si="20"/>
        <v>485.761371198345</v>
      </c>
      <c r="J58" s="36">
        <f t="shared" si="18"/>
        <v>27.526477701239546</v>
      </c>
    </row>
    <row r="59" spans="1:19" ht="12.75" customHeight="1">
      <c r="A59" s="1">
        <v>2012</v>
      </c>
      <c r="B59" s="34">
        <f t="shared" si="15"/>
        <v>282.44781783681213</v>
      </c>
      <c r="C59" s="42">
        <f t="shared" si="16"/>
        <v>459.68419249420197</v>
      </c>
      <c r="D59" s="42">
        <f t="shared" si="17"/>
        <v>177.23637465738983</v>
      </c>
      <c r="E59" s="22">
        <f t="shared" si="19"/>
        <v>70.00836798966898</v>
      </c>
      <c r="F59" s="300">
        <f t="shared" si="21"/>
        <v>-0.01569187705979885</v>
      </c>
      <c r="H59" s="85">
        <f>$H$57+2*($H$62-$H$57)/5</f>
        <v>27884</v>
      </c>
      <c r="I59" s="67">
        <f t="shared" si="20"/>
        <v>437.5522999354311</v>
      </c>
      <c r="J59" s="36">
        <f t="shared" si="18"/>
        <v>24.79463032967443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290"/>
    </row>
    <row r="60" spans="1:18" ht="12.75" customHeight="1">
      <c r="A60" s="1">
        <v>2013</v>
      </c>
      <c r="B60" s="34">
        <f t="shared" si="15"/>
        <v>282.44781783681213</v>
      </c>
      <c r="C60" s="42">
        <f t="shared" si="16"/>
        <v>440.1564674256799</v>
      </c>
      <c r="D60" s="42">
        <f t="shared" si="17"/>
        <v>157.7086495888678</v>
      </c>
      <c r="E60" s="22">
        <f t="shared" si="19"/>
        <v>62.29491658760278</v>
      </c>
      <c r="F60" s="300">
        <f t="shared" si="21"/>
        <v>-0.013723281825544302</v>
      </c>
      <c r="H60" s="85">
        <f>$H$57+3*($H$62-$H$57)/5</f>
        <v>28371</v>
      </c>
      <c r="I60" s="67">
        <f t="shared" si="20"/>
        <v>389.3432286725174</v>
      </c>
      <c r="J60" s="36">
        <f t="shared" si="18"/>
        <v>22.062782958109313</v>
      </c>
      <c r="K60" s="2" t="s">
        <v>2</v>
      </c>
      <c r="L60" s="3"/>
      <c r="M60" s="3"/>
      <c r="N60" s="3"/>
      <c r="O60" s="3"/>
      <c r="P60" s="3"/>
      <c r="Q60" s="3">
        <f>(O11*I5)+(Q11*I6)</f>
        <v>381.75</v>
      </c>
      <c r="R60" s="4" t="s">
        <v>3</v>
      </c>
    </row>
    <row r="61" spans="1:18" ht="12.75" customHeight="1">
      <c r="A61" s="1">
        <v>2014</v>
      </c>
      <c r="B61" s="34">
        <f t="shared" si="15"/>
        <v>282.44781783681213</v>
      </c>
      <c r="C61" s="42">
        <f t="shared" si="16"/>
        <v>440.1564674256799</v>
      </c>
      <c r="D61" s="42">
        <f t="shared" si="17"/>
        <v>157.7086495888678</v>
      </c>
      <c r="E61" s="22">
        <f t="shared" si="19"/>
        <v>62.29491658760278</v>
      </c>
      <c r="F61" s="300">
        <f t="shared" si="21"/>
        <v>-0.013491691339403889</v>
      </c>
      <c r="H61" s="85">
        <f>$H$57+4*($H$62-$H$57)/5</f>
        <v>28858</v>
      </c>
      <c r="I61" s="67">
        <f t="shared" si="20"/>
        <v>389.3432286725174</v>
      </c>
      <c r="J61" s="36">
        <f t="shared" si="18"/>
        <v>22.062782958109313</v>
      </c>
      <c r="K61" s="2" t="s">
        <v>116</v>
      </c>
      <c r="L61" s="3"/>
      <c r="M61" s="3"/>
      <c r="N61" s="3"/>
      <c r="O61" s="3"/>
      <c r="P61" s="3"/>
      <c r="Q61" s="5">
        <f>R15*I7</f>
        <v>135</v>
      </c>
      <c r="R61" s="4" t="s">
        <v>3</v>
      </c>
    </row>
    <row r="62" spans="1:18" ht="12.75" customHeight="1">
      <c r="A62" s="1">
        <v>2015</v>
      </c>
      <c r="B62" s="34">
        <f t="shared" si="15"/>
        <v>282.44781783681213</v>
      </c>
      <c r="C62" s="42">
        <f t="shared" si="16"/>
        <v>440.1564674256799</v>
      </c>
      <c r="D62" s="42">
        <f t="shared" si="17"/>
        <v>157.7086495888678</v>
      </c>
      <c r="E62" s="22">
        <f t="shared" si="19"/>
        <v>62.29491658760278</v>
      </c>
      <c r="F62" s="300">
        <f t="shared" si="21"/>
        <v>-0.013267787652837534</v>
      </c>
      <c r="H62" s="85">
        <f>29.345*1000</f>
        <v>29345</v>
      </c>
      <c r="I62" s="67">
        <f t="shared" si="20"/>
        <v>389.3432286725174</v>
      </c>
      <c r="J62" s="36">
        <f t="shared" si="18"/>
        <v>22.062782958109313</v>
      </c>
      <c r="K62" s="2" t="s">
        <v>351</v>
      </c>
      <c r="L62" s="3"/>
      <c r="M62" s="3"/>
      <c r="N62" s="3"/>
      <c r="O62" s="3"/>
      <c r="P62" s="3"/>
      <c r="Q62" s="5">
        <f>(O53-O51+P53-P51)*1000</f>
        <v>648.809</v>
      </c>
      <c r="R62" s="4" t="s">
        <v>8</v>
      </c>
    </row>
    <row r="63" spans="1:18" ht="12.75" customHeight="1">
      <c r="A63" s="1">
        <v>2016</v>
      </c>
      <c r="B63" s="34">
        <f t="shared" si="15"/>
        <v>282.44781783681213</v>
      </c>
      <c r="C63" s="42">
        <f t="shared" si="16"/>
        <v>413.87169249420197</v>
      </c>
      <c r="D63" s="42">
        <f>C63-B63</f>
        <v>131.42387465738983</v>
      </c>
      <c r="E63" s="22">
        <f t="shared" si="19"/>
        <v>51.912430489668985</v>
      </c>
      <c r="F63" s="300">
        <f t="shared" si="21"/>
        <v>-0.010861431794336877</v>
      </c>
      <c r="H63" s="85">
        <f>$H$62+($H$67-$H$62)/5</f>
        <v>29872</v>
      </c>
      <c r="I63" s="67">
        <f t="shared" si="20"/>
        <v>324.45269056043117</v>
      </c>
      <c r="J63" s="36">
        <f t="shared" si="18"/>
        <v>18.3856524650911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183.25</v>
      </c>
      <c r="R63" s="4" t="s">
        <v>3</v>
      </c>
    </row>
    <row r="64" spans="1:18" ht="12.75" customHeight="1">
      <c r="A64" s="1">
        <v>2017</v>
      </c>
      <c r="B64" s="34">
        <f t="shared" si="15"/>
        <v>282.44781783681213</v>
      </c>
      <c r="C64" s="42">
        <f t="shared" si="16"/>
        <v>387.586917562724</v>
      </c>
      <c r="D64" s="42">
        <f>C64-B64</f>
        <v>105.13909972591188</v>
      </c>
      <c r="E64" s="22">
        <f t="shared" si="19"/>
        <v>41.52994439173519</v>
      </c>
      <c r="F64" s="300">
        <f t="shared" si="21"/>
        <v>-0.008538509570984077</v>
      </c>
      <c r="H64" s="85">
        <f>$H$62+2*($H$67-$H$62)/5</f>
        <v>30399</v>
      </c>
      <c r="I64" s="67">
        <f t="shared" si="20"/>
        <v>259.562152448345</v>
      </c>
      <c r="J64" s="36">
        <f t="shared" si="18"/>
        <v>14.708521972072878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150</v>
      </c>
      <c r="R64" s="4" t="s">
        <v>8</v>
      </c>
    </row>
    <row r="65" spans="1:18" ht="12.75" customHeight="1">
      <c r="A65" s="1">
        <v>2018</v>
      </c>
      <c r="B65" s="34">
        <f t="shared" si="15"/>
        <v>282.44781783681213</v>
      </c>
      <c r="C65" s="42">
        <f t="shared" si="16"/>
        <v>361.30214263124606</v>
      </c>
      <c r="D65" s="42">
        <f>C65-B65</f>
        <v>78.85432479443392</v>
      </c>
      <c r="E65" s="22">
        <f t="shared" si="19"/>
        <v>31.1474582938014</v>
      </c>
      <c r="F65" s="300">
        <f t="shared" si="21"/>
        <v>-0.006294755685709718</v>
      </c>
      <c r="H65" s="85">
        <f>$H$62+3*($H$67-$H$62)/5</f>
        <v>30926</v>
      </c>
      <c r="I65" s="67">
        <f t="shared" si="20"/>
        <v>194.67161433625876</v>
      </c>
      <c r="J65" s="36">
        <f t="shared" si="18"/>
        <v>11.031391479054662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105.32724999999999</v>
      </c>
      <c r="R65" s="4" t="s">
        <v>8</v>
      </c>
    </row>
    <row r="66" spans="1:18" ht="12.75" customHeight="1">
      <c r="A66" s="1">
        <v>2019</v>
      </c>
      <c r="B66" s="34">
        <f t="shared" si="15"/>
        <v>282.44781783681213</v>
      </c>
      <c r="C66" s="42">
        <f t="shared" si="16"/>
        <v>335.01736769976804</v>
      </c>
      <c r="D66" s="42">
        <f>C66-B66</f>
        <v>52.56954986295591</v>
      </c>
      <c r="E66" s="22">
        <f t="shared" si="19"/>
        <v>20.764972195867585</v>
      </c>
      <c r="F66" s="300">
        <f t="shared" si="21"/>
        <v>-0.004126190704358008</v>
      </c>
      <c r="H66" s="85">
        <f>$H$62+4*($H$67-$H$62)/5</f>
        <v>31453</v>
      </c>
      <c r="I66" s="67">
        <f t="shared" si="20"/>
        <v>129.7810762241724</v>
      </c>
      <c r="J66" s="36">
        <f t="shared" si="18"/>
        <v>7.354260986036436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85.10908333333333</v>
      </c>
      <c r="R66" s="4" t="s">
        <v>8</v>
      </c>
    </row>
    <row r="67" spans="1:18" ht="12.75" customHeight="1" thickBot="1">
      <c r="A67" s="1">
        <v>2020</v>
      </c>
      <c r="B67" s="144"/>
      <c r="C67" s="58"/>
      <c r="D67" s="58"/>
      <c r="E67" s="163">
        <f t="shared" si="19"/>
        <v>0</v>
      </c>
      <c r="F67" s="301">
        <f t="shared" si="21"/>
        <v>0</v>
      </c>
      <c r="H67" s="77">
        <v>31980</v>
      </c>
      <c r="I67" s="60">
        <f t="shared" si="20"/>
        <v>0</v>
      </c>
      <c r="J67" s="145">
        <f t="shared" si="18"/>
        <v>0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393.48175</v>
      </c>
      <c r="R67" s="4" t="s">
        <v>8</v>
      </c>
    </row>
    <row r="68" spans="1:18" ht="13.5" thickTop="1">
      <c r="A68" t="s">
        <v>104</v>
      </c>
      <c r="B68" s="128">
        <f>SUM(B50:B67)</f>
        <v>3813.0455407969644</v>
      </c>
      <c r="C68" s="85">
        <f>SUM(C50:C67)</f>
        <v>6147.929962576428</v>
      </c>
      <c r="D68" s="85">
        <f>SUM(D50:D67)</f>
        <v>2334.884421779464</v>
      </c>
      <c r="E68" s="3"/>
      <c r="I68" s="36">
        <f>SUM(I50:I67)</f>
        <v>5764.245916268054</v>
      </c>
      <c r="J68" s="36">
        <f>SUM(J50:J67)</f>
        <v>326.64060192185633</v>
      </c>
      <c r="K68" s="6" t="s">
        <v>353</v>
      </c>
      <c r="L68" s="3"/>
      <c r="M68" s="3"/>
      <c r="N68" s="3"/>
      <c r="O68" s="3"/>
      <c r="P68" s="3"/>
      <c r="Q68" s="7">
        <f>Q66+Q67</f>
        <v>478.5908333333333</v>
      </c>
      <c r="R68" s="4" t="s">
        <v>8</v>
      </c>
    </row>
    <row r="69" spans="2:18" ht="13.5" thickBot="1">
      <c r="B69" s="79"/>
      <c r="C69" s="42"/>
      <c r="D69" s="42"/>
      <c r="H69" s="9" t="s">
        <v>147</v>
      </c>
      <c r="I69" s="36">
        <f>NPV($O$42,I51:I66)</f>
        <v>3440.958750220735</v>
      </c>
      <c r="J69" s="36">
        <f>NPV($O$42,J51:J66)</f>
        <v>194.98766251250825</v>
      </c>
      <c r="K69" s="11" t="s">
        <v>10</v>
      </c>
      <c r="L69" s="12"/>
      <c r="M69" s="12"/>
      <c r="N69" s="12"/>
      <c r="O69" s="12"/>
      <c r="P69" s="12"/>
      <c r="Q69" s="286">
        <f>Q68-Q63</f>
        <v>295.3408333333333</v>
      </c>
      <c r="R69" s="287" t="s">
        <v>8</v>
      </c>
    </row>
    <row r="70" spans="1:6" ht="12.75">
      <c r="A70" t="s">
        <v>114</v>
      </c>
      <c r="B70" s="95"/>
      <c r="C70" s="136"/>
      <c r="D70" s="86">
        <f>M41+N41</f>
        <v>2361.1691967109423</v>
      </c>
      <c r="E70" s="120"/>
      <c r="F70" s="120"/>
    </row>
  </sheetData>
  <mergeCells count="20">
    <mergeCell ref="A1:R1"/>
    <mergeCell ref="K48:P48"/>
    <mergeCell ref="AB20:AC20"/>
    <mergeCell ref="O5:P5"/>
    <mergeCell ref="Q5:R5"/>
    <mergeCell ref="A3:R3"/>
    <mergeCell ref="A4:E4"/>
    <mergeCell ref="F4:L4"/>
    <mergeCell ref="M4:R4"/>
    <mergeCell ref="B18:F18"/>
    <mergeCell ref="H18:Q18"/>
    <mergeCell ref="C20:F20"/>
    <mergeCell ref="H20:I20"/>
    <mergeCell ref="N20:O20"/>
    <mergeCell ref="K59:R59"/>
    <mergeCell ref="E47:F47"/>
    <mergeCell ref="D21:E21"/>
    <mergeCell ref="M42:N42"/>
    <mergeCell ref="B45:F45"/>
    <mergeCell ref="B47:D47"/>
  </mergeCells>
  <printOptions/>
  <pageMargins left="0.86" right="0.75" top="0.5" bottom="0.5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A1" sqref="A1:S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5" width="11.7109375" style="0" customWidth="1"/>
    <col min="6" max="6" width="10.8515625" style="0" bestFit="1" customWidth="1"/>
    <col min="7" max="7" width="2.7109375" style="0" customWidth="1"/>
    <col min="9" max="9" width="11.7109375" style="0" bestFit="1" customWidth="1"/>
    <col min="11" max="11" width="9.57421875" style="0" bestFit="1" customWidth="1"/>
    <col min="13" max="13" width="11.57421875" style="0" bestFit="1" customWidth="1"/>
    <col min="14" max="15" width="12.7109375" style="0" customWidth="1"/>
    <col min="16" max="16" width="10.57421875" style="0" bestFit="1" customWidth="1"/>
    <col min="17" max="17" width="12.7109375" style="0" bestFit="1" customWidth="1"/>
    <col min="18" max="18" width="11.7109375" style="0" bestFit="1" customWidth="1"/>
    <col min="19" max="19" width="10.57421875" style="0" bestFit="1" customWidth="1"/>
  </cols>
  <sheetData>
    <row r="1" spans="1:20" ht="20.25">
      <c r="A1" s="384" t="s">
        <v>185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221"/>
    </row>
    <row r="2" spans="1:20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5.75" customHeight="1" thickBot="1">
      <c r="A3" s="380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  <c r="S3" s="127"/>
      <c r="T3" s="127"/>
    </row>
    <row r="4" spans="1:18" ht="12.75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386" t="s">
        <v>142</v>
      </c>
      <c r="N4" s="387"/>
      <c r="O4" s="387"/>
      <c r="P4" s="387"/>
      <c r="Q4" s="387"/>
      <c r="R4" s="388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15</v>
      </c>
      <c r="J5" s="3" t="s">
        <v>3</v>
      </c>
      <c r="K5" t="s">
        <v>152</v>
      </c>
      <c r="L5" s="158">
        <f>I5/3</f>
        <v>5</v>
      </c>
      <c r="M5" s="3" t="s">
        <v>55</v>
      </c>
      <c r="N5" s="3"/>
      <c r="O5" s="445" t="s">
        <v>56</v>
      </c>
      <c r="P5" s="446"/>
      <c r="Q5" s="378" t="s">
        <v>57</v>
      </c>
      <c r="R5" s="379"/>
    </row>
    <row r="6" spans="1:18" ht="12.75" customHeight="1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25</v>
      </c>
      <c r="J6" s="3" t="s">
        <v>3</v>
      </c>
      <c r="K6" t="s">
        <v>152</v>
      </c>
      <c r="L6" s="169">
        <f>I6/5+I7*(4/5)</f>
        <v>9</v>
      </c>
      <c r="M6" s="3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2.75" customHeight="1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5</v>
      </c>
      <c r="J7" s="3" t="s">
        <v>3</v>
      </c>
      <c r="L7" s="171">
        <f>L5+L6</f>
        <v>14</v>
      </c>
      <c r="M7" s="113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13" t="s">
        <v>63</v>
      </c>
      <c r="N8" s="9"/>
      <c r="O8" s="316">
        <f>O11/(369/1147)</f>
        <v>34.19241192411924</v>
      </c>
      <c r="P8" s="42"/>
      <c r="Q8" s="311">
        <f>Q11/(48/168)</f>
        <v>8.75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13" t="s">
        <v>64</v>
      </c>
      <c r="N9" s="9"/>
      <c r="O9" s="44"/>
      <c r="P9" s="43">
        <f>P11/(1/3)</f>
        <v>51</v>
      </c>
      <c r="Q9" s="310"/>
      <c r="R9" s="4"/>
    </row>
    <row r="10" spans="1:18" ht="12.75" customHeight="1">
      <c r="A10" s="2" t="s">
        <v>6</v>
      </c>
      <c r="B10" s="3"/>
      <c r="C10" s="3"/>
      <c r="D10" s="122">
        <v>0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13" t="s">
        <v>65</v>
      </c>
      <c r="N10" s="9"/>
      <c r="O10" s="43"/>
      <c r="P10" s="44"/>
      <c r="Q10" s="310"/>
      <c r="R10" s="45">
        <f>R11/(1/5)</f>
        <v>32.5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3.899585921325052</v>
      </c>
      <c r="L11" s="154">
        <f>ROUND(K11,0)</f>
        <v>4</v>
      </c>
      <c r="M11" s="113" t="s">
        <v>66</v>
      </c>
      <c r="N11" s="9"/>
      <c r="O11" s="314">
        <v>11</v>
      </c>
      <c r="P11" s="314">
        <v>17</v>
      </c>
      <c r="Q11" s="317">
        <v>2.5</v>
      </c>
      <c r="R11" s="315">
        <v>6.5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6.626460963066854</v>
      </c>
      <c r="L12" s="80"/>
      <c r="M12" s="113" t="s">
        <v>78</v>
      </c>
      <c r="N12" s="9"/>
      <c r="O12" s="43">
        <v>21</v>
      </c>
      <c r="P12" s="46">
        <v>45.5</v>
      </c>
      <c r="Q12" s="313">
        <v>30.5</v>
      </c>
      <c r="R12" s="47">
        <v>97.3</v>
      </c>
    </row>
    <row r="13" spans="1:2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7.402507520072077</v>
      </c>
      <c r="L13" s="80"/>
      <c r="M13" s="107" t="s">
        <v>133</v>
      </c>
      <c r="N13" s="3"/>
      <c r="O13" s="9">
        <v>2.5</v>
      </c>
      <c r="P13" s="158">
        <f>((O11*O13)+((P11-O11)*O13*P14))/(P11)</f>
        <v>3.3823529411764706</v>
      </c>
      <c r="Q13" s="9">
        <v>4.6</v>
      </c>
      <c r="R13" s="53">
        <f>((Q11*Q13)+((R11-Q11)*Q13*P14))/R11</f>
        <v>7.43076923076923</v>
      </c>
      <c r="U13" s="107"/>
      <c r="V13" s="107"/>
      <c r="W13" s="107"/>
      <c r="X13" s="107"/>
      <c r="Y13" s="288"/>
    </row>
    <row r="14" spans="1:25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7.0825728929769</v>
      </c>
      <c r="L14" s="154">
        <f>ROUND(K14,0)</f>
        <v>7</v>
      </c>
      <c r="M14" s="3" t="s">
        <v>112</v>
      </c>
      <c r="N14" s="3"/>
      <c r="O14" s="3"/>
      <c r="P14" s="73">
        <v>2</v>
      </c>
      <c r="Q14" s="3"/>
      <c r="R14" s="40">
        <f>P14</f>
        <v>2</v>
      </c>
      <c r="U14" s="107"/>
      <c r="V14" s="107"/>
      <c r="W14" s="107"/>
      <c r="X14" s="107"/>
      <c r="Y14" s="107"/>
    </row>
    <row r="15" spans="1:25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0.5833333333333333</v>
      </c>
      <c r="J15" s="114" t="s">
        <v>181</v>
      </c>
      <c r="K15" s="3"/>
      <c r="L15" s="80"/>
      <c r="M15" s="74" t="s">
        <v>132</v>
      </c>
      <c r="N15" s="3"/>
      <c r="O15" s="3"/>
      <c r="P15" s="115">
        <f>2/3</f>
        <v>0.6666666666666666</v>
      </c>
      <c r="Q15" s="125">
        <f>(R10-R11)*P15</f>
        <v>17.333333333333332</v>
      </c>
      <c r="R15" s="40">
        <f>ROUND(Q15,0)</f>
        <v>17</v>
      </c>
      <c r="U15" s="107"/>
      <c r="V15" s="107"/>
      <c r="W15" s="107"/>
      <c r="X15" s="107"/>
      <c r="Y15" s="288"/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49" t="s">
        <v>154</v>
      </c>
      <c r="N16" s="12"/>
      <c r="O16" s="12"/>
      <c r="P16" s="12"/>
      <c r="Q16" s="12"/>
      <c r="R16" s="150">
        <v>1</v>
      </c>
    </row>
    <row r="17" spans="1:18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7" ht="1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</row>
    <row r="19" spans="1:18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</row>
    <row r="20" spans="1:21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  <c r="U20" s="1" t="s">
        <v>188</v>
      </c>
    </row>
    <row r="21" spans="1:21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S21" s="72" t="s">
        <v>80</v>
      </c>
      <c r="U21" s="73" t="s">
        <v>189</v>
      </c>
    </row>
    <row r="22" spans="1:21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S22" s="27" t="s">
        <v>82</v>
      </c>
      <c r="U22" s="73" t="s">
        <v>190</v>
      </c>
    </row>
    <row r="23" spans="1:21" ht="12.75" customHeight="1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34">
        <f>$Q$60</f>
        <v>227.5</v>
      </c>
      <c r="I23" s="28">
        <f>$Q$61</f>
        <v>85</v>
      </c>
      <c r="J23" s="73">
        <v>0</v>
      </c>
      <c r="K23" s="35">
        <f>$Q$68</f>
        <v>477.3333333333333</v>
      </c>
      <c r="L23" s="29">
        <f>$Q$63</f>
        <v>190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2" ref="P23:P40">M23+N23+$C$15*O23</f>
        <v>0</v>
      </c>
      <c r="Q23" s="213">
        <f aca="true" t="shared" si="3" ref="Q23:Q40">((S23-$D$10)*$C$11*(1-$E$11)*(N23-J23))+((S23-$D$10)*$J$8*$C$11*(1-$E$11)*O23)</f>
        <v>0</v>
      </c>
      <c r="R23" s="75">
        <f>J23*(S23-$D$10)*$C$11</f>
        <v>0</v>
      </c>
      <c r="S23" s="68">
        <v>2.37</v>
      </c>
      <c r="U23" s="69">
        <f aca="true" t="shared" si="4" ref="U23:U40">P23*S23</f>
        <v>0</v>
      </c>
    </row>
    <row r="24" spans="1:21" ht="12.75" customHeight="1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34">
        <f aca="true" t="shared" si="5" ref="H24:I28">H23</f>
        <v>227.5</v>
      </c>
      <c r="I24" s="28">
        <f t="shared" si="5"/>
        <v>85</v>
      </c>
      <c r="J24" s="34">
        <f>(SUM($H$23:H23)/$L$11)+(SUM($I$23:I23)/$K$16)</f>
        <v>99.375</v>
      </c>
      <c r="K24" s="35">
        <f aca="true" t="shared" si="6" ref="K24:L28">K23</f>
        <v>477.3333333333333</v>
      </c>
      <c r="L24" s="30">
        <f t="shared" si="6"/>
        <v>190</v>
      </c>
      <c r="M24" s="30">
        <f>SUM($L$23:L23)/$L$11</f>
        <v>47.5</v>
      </c>
      <c r="N24" s="30">
        <f>IF($L$11&gt;(A24-$A$24),0,(((((1-($C$15/($C$14+$C$15)))*SUM($K$23:K23)))-SUM($L$23:L23))/$L$14))</f>
        <v>0</v>
      </c>
      <c r="O24" s="30">
        <f aca="true" t="shared" si="7" ref="O24:O40">(M24+N24)/$C$14</f>
        <v>1.8269230769230769</v>
      </c>
      <c r="P24" s="32">
        <f t="shared" si="2"/>
        <v>57.767307692307696</v>
      </c>
      <c r="Q24" s="214">
        <f t="shared" si="3"/>
        <v>-36.44663461538462</v>
      </c>
      <c r="R24" s="75">
        <f aca="true" t="shared" si="8" ref="R24:R33">J24*(S24-$D$10)*$C$11</f>
        <v>42.731249999999996</v>
      </c>
      <c r="S24" s="68">
        <v>2.58</v>
      </c>
      <c r="U24" s="69">
        <f t="shared" si="4"/>
        <v>149.03965384615387</v>
      </c>
    </row>
    <row r="25" spans="1:21" ht="12.75">
      <c r="A25" s="1">
        <v>2005</v>
      </c>
      <c r="B25" s="128">
        <f>'Total Roy'!B46</f>
        <v>331.7466</v>
      </c>
      <c r="C25" s="111">
        <f aca="true" t="shared" si="9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34">
        <f t="shared" si="5"/>
        <v>227.5</v>
      </c>
      <c r="I25" s="28">
        <f t="shared" si="5"/>
        <v>85</v>
      </c>
      <c r="J25" s="34">
        <f>(SUM($H$23:H24)/$L$11)+(SUM(I23:I24)/$K$16)</f>
        <v>198.75</v>
      </c>
      <c r="K25" s="35">
        <f t="shared" si="6"/>
        <v>477.3333333333333</v>
      </c>
      <c r="L25" s="30">
        <f t="shared" si="6"/>
        <v>190</v>
      </c>
      <c r="M25" s="30">
        <f>SUM($L$23:L24)/$L$11</f>
        <v>95</v>
      </c>
      <c r="N25" s="30">
        <f>IF($L$11&gt;(A25-$A$24),0,(((((1-($C$15/($C$14+$C$15)))*SUM($K$23:K24)))-SUM($L$23:L24))/$L$14))</f>
        <v>0</v>
      </c>
      <c r="O25" s="30">
        <f t="shared" si="7"/>
        <v>3.6538461538461537</v>
      </c>
      <c r="P25" s="32">
        <f t="shared" si="2"/>
        <v>115.53461538461539</v>
      </c>
      <c r="Q25" s="214">
        <f t="shared" si="3"/>
        <v>-75.15352564102565</v>
      </c>
      <c r="R25" s="75">
        <f t="shared" si="8"/>
        <v>88.11250000000001</v>
      </c>
      <c r="S25" s="69">
        <v>2.66</v>
      </c>
      <c r="U25" s="69">
        <f t="shared" si="4"/>
        <v>307.32207692307696</v>
      </c>
    </row>
    <row r="26" spans="1:21" ht="12.75">
      <c r="A26" s="1">
        <v>2006</v>
      </c>
      <c r="B26" s="128">
        <f>'Total Roy'!B47</f>
        <v>297.83369999999996</v>
      </c>
      <c r="C26" s="111">
        <f t="shared" si="9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34">
        <f t="shared" si="5"/>
        <v>227.5</v>
      </c>
      <c r="I26" s="28">
        <f t="shared" si="5"/>
        <v>85</v>
      </c>
      <c r="J26" s="34">
        <f>(SUM($H$23:H25)/$L$11)+(SUM(I24:I25)/$K$16)</f>
        <v>255.625</v>
      </c>
      <c r="K26" s="35">
        <f t="shared" si="6"/>
        <v>477.3333333333333</v>
      </c>
      <c r="L26" s="30">
        <f t="shared" si="6"/>
        <v>190</v>
      </c>
      <c r="M26" s="30">
        <f>SUM($L$23:L25)/$L$11</f>
        <v>142.5</v>
      </c>
      <c r="N26" s="30">
        <f>IF($L$11&gt;(A26-$A$24),0,(((((1-($C$15/($C$14+$C$15)))*SUM($K$23:K25)))-SUM($L$23:L25))/$L$14))</f>
        <v>0</v>
      </c>
      <c r="O26" s="30">
        <f t="shared" si="7"/>
        <v>5.480769230769231</v>
      </c>
      <c r="P26" s="32">
        <f t="shared" si="2"/>
        <v>173.3019230769231</v>
      </c>
      <c r="Q26" s="214">
        <f t="shared" si="3"/>
        <v>-95.30048076923077</v>
      </c>
      <c r="R26" s="75">
        <f t="shared" si="8"/>
        <v>115.03125</v>
      </c>
      <c r="S26" s="68">
        <v>2.7</v>
      </c>
      <c r="U26" s="69">
        <f t="shared" si="4"/>
        <v>467.9151923076924</v>
      </c>
    </row>
    <row r="27" spans="1:21" ht="12.75">
      <c r="A27" s="1">
        <v>2007</v>
      </c>
      <c r="B27" s="128">
        <f>'Total Roy'!B48</f>
        <v>261.3062</v>
      </c>
      <c r="C27" s="111">
        <f t="shared" si="9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34">
        <f t="shared" si="5"/>
        <v>227.5</v>
      </c>
      <c r="I27" s="28">
        <f t="shared" si="5"/>
        <v>85</v>
      </c>
      <c r="J27" s="34">
        <f aca="true" t="shared" si="10" ref="J27:J33">(SUM(H23:H26)/$L$11)+(SUM(I25:I26)/$K$16)</f>
        <v>312.5</v>
      </c>
      <c r="K27" s="35">
        <f t="shared" si="6"/>
        <v>477.3333333333333</v>
      </c>
      <c r="L27" s="30">
        <f t="shared" si="6"/>
        <v>190</v>
      </c>
      <c r="M27" s="30">
        <f aca="true" t="shared" si="11" ref="M27:M33">SUM(L23:L26)/$L$11</f>
        <v>190</v>
      </c>
      <c r="N27" s="30">
        <f>IF($L$11&gt;(A27-$A$24),0,(((((1-($C$15/($C$14+$C$15)))*SUM(K23:K26)))-SUM(L23:L26))/$L$14))</f>
        <v>0</v>
      </c>
      <c r="O27" s="30">
        <f t="shared" si="7"/>
        <v>7.3076923076923075</v>
      </c>
      <c r="P27" s="32">
        <f t="shared" si="2"/>
        <v>231.06923076923078</v>
      </c>
      <c r="Q27" s="214">
        <f t="shared" si="3"/>
        <v>-114.74070512820514</v>
      </c>
      <c r="R27" s="75">
        <f t="shared" si="8"/>
        <v>141.14583333333331</v>
      </c>
      <c r="S27" s="70">
        <v>2.71</v>
      </c>
      <c r="U27" s="69">
        <f t="shared" si="4"/>
        <v>626.1976153846155</v>
      </c>
    </row>
    <row r="28" spans="1:21" ht="12.75">
      <c r="A28" s="1">
        <v>2008</v>
      </c>
      <c r="B28" s="128">
        <f>'Total Roy'!B49</f>
        <v>226.54739999999998</v>
      </c>
      <c r="C28" s="111">
        <f t="shared" si="9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34">
        <f t="shared" si="5"/>
        <v>227.5</v>
      </c>
      <c r="I28" s="28">
        <f t="shared" si="5"/>
        <v>85</v>
      </c>
      <c r="J28" s="34">
        <f t="shared" si="10"/>
        <v>312.5</v>
      </c>
      <c r="K28" s="35">
        <f t="shared" si="6"/>
        <v>477.3333333333333</v>
      </c>
      <c r="L28" s="30">
        <f t="shared" si="6"/>
        <v>190</v>
      </c>
      <c r="M28" s="30">
        <f t="shared" si="11"/>
        <v>190</v>
      </c>
      <c r="N28" s="30">
        <f>IF($L$11&gt;(A28-$A$24),0,(((((1-($C$15/($C$14+$C$15)))*SUM($K$23:K23)))-SUM($L$23:L23))/$L$14))</f>
        <v>28.92774314026686</v>
      </c>
      <c r="O28" s="30">
        <f t="shared" si="7"/>
        <v>8.420297813087187</v>
      </c>
      <c r="P28" s="32">
        <f t="shared" si="2"/>
        <v>266.24981684981685</v>
      </c>
      <c r="Q28" s="214">
        <f t="shared" si="3"/>
        <v>-100.53759157509157</v>
      </c>
      <c r="R28" s="75">
        <f t="shared" si="8"/>
        <v>145.3125</v>
      </c>
      <c r="S28" s="70">
        <v>2.79</v>
      </c>
      <c r="U28" s="69">
        <f t="shared" si="4"/>
        <v>742.836989010989</v>
      </c>
    </row>
    <row r="29" spans="1:21" ht="12.75">
      <c r="A29" s="1">
        <v>2009</v>
      </c>
      <c r="B29" s="128">
        <f>'Total Roy'!B50</f>
        <v>197.3254</v>
      </c>
      <c r="C29" s="111">
        <f t="shared" si="9"/>
        <v>343.5</v>
      </c>
      <c r="D29" s="42">
        <f aca="true" t="shared" si="12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10"/>
        <v>312.5</v>
      </c>
      <c r="K29" s="28">
        <v>0</v>
      </c>
      <c r="L29" s="28">
        <v>0</v>
      </c>
      <c r="M29" s="30">
        <f t="shared" si="11"/>
        <v>190</v>
      </c>
      <c r="N29" s="30">
        <f>IF($L$11&gt;(A29-$A$24),0,(((((1-($C$15/($C$14+$C$15)))*SUM($K$23:K24)))-SUM($L$23:L24))/$L$14))</f>
        <v>57.85548628053372</v>
      </c>
      <c r="O29" s="30">
        <f t="shared" si="7"/>
        <v>9.532903318482067</v>
      </c>
      <c r="P29" s="32">
        <f t="shared" si="2"/>
        <v>301.4304029304029</v>
      </c>
      <c r="Q29" s="214">
        <f t="shared" si="3"/>
        <v>-83.54190282537057</v>
      </c>
      <c r="R29" s="75">
        <f t="shared" si="8"/>
        <v>146.35416666666666</v>
      </c>
      <c r="S29" s="70">
        <v>2.81</v>
      </c>
      <c r="U29" s="69">
        <f t="shared" si="4"/>
        <v>847.0194322344322</v>
      </c>
    </row>
    <row r="30" spans="1:21" ht="12.75">
      <c r="A30" s="1">
        <v>2010</v>
      </c>
      <c r="B30" s="128">
        <f>'Total Roy'!B51</f>
        <v>171.4101</v>
      </c>
      <c r="C30" s="111">
        <f t="shared" si="9"/>
        <v>343.5</v>
      </c>
      <c r="D30" s="42">
        <f t="shared" si="12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10"/>
        <v>213.125</v>
      </c>
      <c r="K30" s="28"/>
      <c r="L30" s="28"/>
      <c r="M30" s="30">
        <f t="shared" si="11"/>
        <v>142.5</v>
      </c>
      <c r="N30" s="30">
        <f>IF($L$11&gt;(A30-$A$24),0,(((((1-($C$15/($C$14+$C$15)))*SUM($K$23:K25)))-SUM($L$23:L25))/$L$14))</f>
        <v>86.78322942080058</v>
      </c>
      <c r="O30" s="30">
        <f t="shared" si="7"/>
        <v>8.818585746953868</v>
      </c>
      <c r="P30" s="32">
        <f t="shared" si="2"/>
        <v>278.8436813186813</v>
      </c>
      <c r="Q30" s="214">
        <f t="shared" si="3"/>
        <v>-26.50171518669503</v>
      </c>
      <c r="R30" s="75">
        <f t="shared" si="8"/>
        <v>101.234375</v>
      </c>
      <c r="S30" s="69">
        <v>2.85</v>
      </c>
      <c r="U30" s="69">
        <f t="shared" si="4"/>
        <v>794.7044917582418</v>
      </c>
    </row>
    <row r="31" spans="1:21" ht="12.75">
      <c r="A31" s="1">
        <v>2011</v>
      </c>
      <c r="B31" s="128">
        <f>'Total Roy'!B52</f>
        <v>149.3398</v>
      </c>
      <c r="C31" s="111">
        <f t="shared" si="9"/>
        <v>343.5</v>
      </c>
      <c r="D31" s="42">
        <f t="shared" si="12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10"/>
        <v>113.75</v>
      </c>
      <c r="K31" s="28"/>
      <c r="L31" s="28"/>
      <c r="M31" s="30">
        <f t="shared" si="11"/>
        <v>95</v>
      </c>
      <c r="N31" s="30">
        <f>IF($L$11&gt;(A31-$A$24),0,(((((1-($C$15/($C$14+$C$15)))*SUM($K$23:K26)))-SUM($L$23:L26))/$L$14))</f>
        <v>115.71097256106744</v>
      </c>
      <c r="O31" s="30">
        <f t="shared" si="7"/>
        <v>8.10426817542567</v>
      </c>
      <c r="P31" s="32">
        <f t="shared" si="2"/>
        <v>256.25695970695966</v>
      </c>
      <c r="Q31" s="214">
        <f t="shared" si="3"/>
        <v>32.39563221276931</v>
      </c>
      <c r="R31" s="75">
        <f t="shared" si="8"/>
        <v>55.168749999999996</v>
      </c>
      <c r="S31" s="70">
        <v>2.91</v>
      </c>
      <c r="U31" s="69">
        <f t="shared" si="4"/>
        <v>745.7077527472527</v>
      </c>
    </row>
    <row r="32" spans="1:21" ht="12.75">
      <c r="A32" s="1">
        <v>2012</v>
      </c>
      <c r="B32" s="128">
        <f>'Total Roy'!B53</f>
        <v>124.1935</v>
      </c>
      <c r="C32" s="111">
        <f t="shared" si="9"/>
        <v>343.5</v>
      </c>
      <c r="D32" s="42">
        <f t="shared" si="12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10"/>
        <v>56.875</v>
      </c>
      <c r="K32" s="28"/>
      <c r="L32" s="28"/>
      <c r="M32" s="30">
        <f t="shared" si="11"/>
        <v>47.5</v>
      </c>
      <c r="N32" s="30">
        <f>IF($L$11&gt;(A32-$A$24),0,(((((1-($C$15/($C$14+$C$15)))*SUM($K$23:K27)))-SUM($L$23:L27))/$L$14))</f>
        <v>144.6387157013343</v>
      </c>
      <c r="O32" s="30">
        <f t="shared" si="7"/>
        <v>7.389950603897473</v>
      </c>
      <c r="P32" s="32">
        <f t="shared" si="2"/>
        <v>233.6702380952381</v>
      </c>
      <c r="Q32" s="214">
        <f t="shared" si="3"/>
        <v>72.70724366359447</v>
      </c>
      <c r="R32" s="75">
        <f t="shared" si="8"/>
        <v>28.153125000000003</v>
      </c>
      <c r="S32" s="70">
        <v>2.97</v>
      </c>
      <c r="U32" s="69">
        <f t="shared" si="4"/>
        <v>694.0006071428571</v>
      </c>
    </row>
    <row r="33" spans="1:21" ht="12.75">
      <c r="A33" s="1">
        <v>2013</v>
      </c>
      <c r="B33" s="128">
        <f>'Total Roy'!B54</f>
        <v>102.5846</v>
      </c>
      <c r="C33" s="111">
        <f t="shared" si="9"/>
        <v>343.5</v>
      </c>
      <c r="D33" s="42">
        <f t="shared" si="12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10"/>
        <v>0</v>
      </c>
      <c r="K33" s="9"/>
      <c r="L33" s="9"/>
      <c r="M33" s="30">
        <f t="shared" si="11"/>
        <v>0</v>
      </c>
      <c r="N33" s="30">
        <f>IF($L$11&gt;(A33-$A$24),0,(((((1-($C$15/($C$14+$C$15)))*SUM($K$23:K28)))-SUM($L$23:L28))/$L$14))</f>
        <v>173.56645884160116</v>
      </c>
      <c r="O33" s="30">
        <f t="shared" si="7"/>
        <v>6.675633032369276</v>
      </c>
      <c r="P33" s="32">
        <f t="shared" si="2"/>
        <v>211.0835164835165</v>
      </c>
      <c r="Q33" s="214">
        <f t="shared" si="3"/>
        <v>113.86404742211192</v>
      </c>
      <c r="R33" s="75">
        <f t="shared" si="8"/>
        <v>0</v>
      </c>
      <c r="S33" s="70">
        <v>3.01</v>
      </c>
      <c r="U33" s="69">
        <f t="shared" si="4"/>
        <v>635.3613846153846</v>
      </c>
    </row>
    <row r="34" spans="1:21" ht="12.75">
      <c r="A34" s="1">
        <v>2014</v>
      </c>
      <c r="B34" s="129">
        <f aca="true" t="shared" si="13" ref="B34:B39">B33*(B33/B32)</f>
        <v>84.7355147987616</v>
      </c>
      <c r="C34" s="111">
        <f t="shared" si="9"/>
        <v>343.5</v>
      </c>
      <c r="D34" s="42">
        <f t="shared" si="12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42"/>
      <c r="K34" s="3"/>
      <c r="L34" s="3"/>
      <c r="M34" s="30"/>
      <c r="N34" s="30">
        <f>IF($L$11&gt;(A34-$A$24),0,(((((1-($C$15/($C$14+$C$15)))*SUM(K23:K29)))-SUM(L23:L29))/$L$14))</f>
        <v>173.56645884160116</v>
      </c>
      <c r="O34" s="30">
        <f t="shared" si="7"/>
        <v>6.675633032369276</v>
      </c>
      <c r="P34" s="32">
        <f t="shared" si="2"/>
        <v>211.0835164835165</v>
      </c>
      <c r="Q34" s="214">
        <f t="shared" si="3"/>
        <v>114.62061916578044</v>
      </c>
      <c r="R34" s="75"/>
      <c r="S34" s="70">
        <v>3.03</v>
      </c>
      <c r="U34" s="69">
        <f t="shared" si="4"/>
        <v>639.5830549450549</v>
      </c>
    </row>
    <row r="35" spans="1:21" ht="12.75">
      <c r="A35" s="1">
        <v>2015</v>
      </c>
      <c r="B35" s="129">
        <f t="shared" si="13"/>
        <v>69.99205990188729</v>
      </c>
      <c r="C35" s="111">
        <f t="shared" si="9"/>
        <v>343.5</v>
      </c>
      <c r="D35" s="42">
        <f t="shared" si="12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4" ref="N35:N40">IF($L$11&gt;(A35-$A$24),0,(((((1-($C$15/($C$14+$C$15)))*SUM(K24:K30)))-SUM(L24:L30))/$L$14))</f>
        <v>144.6387157013343</v>
      </c>
      <c r="O35" s="30">
        <f t="shared" si="7"/>
        <v>5.563027526974396</v>
      </c>
      <c r="P35" s="32">
        <f t="shared" si="2"/>
        <v>175.9029304029304</v>
      </c>
      <c r="Q35" s="214">
        <f t="shared" si="3"/>
        <v>96.77813554426456</v>
      </c>
      <c r="R35" s="75"/>
      <c r="S35" s="69">
        <v>3.07</v>
      </c>
      <c r="U35" s="69">
        <f t="shared" si="4"/>
        <v>540.0219963369963</v>
      </c>
    </row>
    <row r="36" spans="1:21" ht="12.75">
      <c r="A36" s="1">
        <v>2016</v>
      </c>
      <c r="B36" s="129">
        <f t="shared" si="13"/>
        <v>57.81387486632671</v>
      </c>
      <c r="C36" s="111">
        <f t="shared" si="9"/>
        <v>343.5</v>
      </c>
      <c r="D36" s="42">
        <f t="shared" si="12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4"/>
        <v>115.71097256106744</v>
      </c>
      <c r="O36" s="30">
        <f t="shared" si="7"/>
        <v>4.4504220215795165</v>
      </c>
      <c r="P36" s="32">
        <f t="shared" si="2"/>
        <v>140.72234432234433</v>
      </c>
      <c r="Q36" s="214">
        <f t="shared" si="3"/>
        <v>77.92688959785733</v>
      </c>
      <c r="R36" s="75"/>
      <c r="S36" s="70">
        <v>3.09</v>
      </c>
      <c r="U36" s="69">
        <f t="shared" si="4"/>
        <v>434.83204395604395</v>
      </c>
    </row>
    <row r="37" spans="1:21" ht="12.75">
      <c r="A37" s="1">
        <v>2017</v>
      </c>
      <c r="B37" s="129">
        <f t="shared" si="13"/>
        <v>47.754618620235185</v>
      </c>
      <c r="C37" s="111">
        <f t="shared" si="9"/>
        <v>343.5</v>
      </c>
      <c r="D37" s="42">
        <f t="shared" si="12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4"/>
        <v>86.78322942080058</v>
      </c>
      <c r="O37" s="30">
        <f t="shared" si="7"/>
        <v>3.337816516184638</v>
      </c>
      <c r="P37" s="32">
        <f t="shared" si="2"/>
        <v>105.54175824175825</v>
      </c>
      <c r="Q37" s="214">
        <f t="shared" si="3"/>
        <v>59.20173894206152</v>
      </c>
      <c r="S37" s="70">
        <v>3.13</v>
      </c>
      <c r="U37" s="69">
        <f t="shared" si="4"/>
        <v>330.3457032967033</v>
      </c>
    </row>
    <row r="38" spans="1:21" ht="12.75">
      <c r="A38" s="1">
        <v>2018</v>
      </c>
      <c r="B38" s="129">
        <f t="shared" si="13"/>
        <v>39.445610674547204</v>
      </c>
      <c r="C38" s="111">
        <f t="shared" si="9"/>
        <v>343.5</v>
      </c>
      <c r="D38" s="42">
        <f t="shared" si="12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4"/>
        <v>57.85548628053372</v>
      </c>
      <c r="O38" s="30">
        <f t="shared" si="7"/>
        <v>2.2252110107897582</v>
      </c>
      <c r="P38" s="32">
        <f t="shared" si="2"/>
        <v>70.36117216117216</v>
      </c>
      <c r="Q38" s="214">
        <f t="shared" si="3"/>
        <v>39.97220712382003</v>
      </c>
      <c r="S38" s="70">
        <v>3.17</v>
      </c>
      <c r="U38" s="69">
        <f t="shared" si="4"/>
        <v>223.04491575091575</v>
      </c>
    </row>
    <row r="39" spans="1:21" ht="12.75">
      <c r="A39" s="1">
        <v>2019</v>
      </c>
      <c r="B39" s="129">
        <f t="shared" si="13"/>
        <v>32.58231866244332</v>
      </c>
      <c r="C39" s="111">
        <f t="shared" si="9"/>
        <v>343.5</v>
      </c>
      <c r="D39" s="42">
        <f t="shared" si="12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4"/>
        <v>28.92774314026686</v>
      </c>
      <c r="O39" s="30">
        <f t="shared" si="7"/>
        <v>1.1126055053948791</v>
      </c>
      <c r="P39" s="32">
        <f t="shared" si="2"/>
        <v>35.18058608058608</v>
      </c>
      <c r="Q39" s="214">
        <f t="shared" si="3"/>
        <v>20.175246497827143</v>
      </c>
      <c r="S39" s="70">
        <v>3.2</v>
      </c>
      <c r="U39" s="69">
        <f t="shared" si="4"/>
        <v>112.57787545787546</v>
      </c>
    </row>
    <row r="40" spans="1:21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4"/>
        <v>0</v>
      </c>
      <c r="O40" s="57">
        <f t="shared" si="7"/>
        <v>0</v>
      </c>
      <c r="P40" s="59">
        <f t="shared" si="2"/>
        <v>0</v>
      </c>
      <c r="Q40" s="215">
        <f t="shared" si="3"/>
        <v>0</v>
      </c>
      <c r="R40" s="130"/>
      <c r="S40" s="212">
        <v>3.26</v>
      </c>
      <c r="U40" s="217">
        <f t="shared" si="4"/>
        <v>0</v>
      </c>
    </row>
    <row r="41" spans="1:21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1365</v>
      </c>
      <c r="I41" s="85">
        <f>SUM(I23:I40)</f>
        <v>510</v>
      </c>
      <c r="J41" s="85">
        <f aca="true" t="shared" si="15" ref="J41:P41">SUM(J23:J40)</f>
        <v>1875</v>
      </c>
      <c r="K41" s="85">
        <f>SUM(K23:K40)</f>
        <v>2864</v>
      </c>
      <c r="L41" s="85">
        <f t="shared" si="15"/>
        <v>1140</v>
      </c>
      <c r="M41" s="85">
        <f t="shared" si="15"/>
        <v>1140</v>
      </c>
      <c r="N41" s="85">
        <f t="shared" si="15"/>
        <v>1214.9652118912081</v>
      </c>
      <c r="O41" s="85">
        <f t="shared" si="15"/>
        <v>90.57558507273878</v>
      </c>
      <c r="P41" s="85">
        <f t="shared" si="15"/>
        <v>2864</v>
      </c>
      <c r="Q41" s="36">
        <f>SUM(Q23:Q40)</f>
        <v>95.41920442908338</v>
      </c>
      <c r="R41" s="36">
        <f>SUM(R23:R40)</f>
        <v>863.24375</v>
      </c>
      <c r="S41" s="69" t="s">
        <v>186</v>
      </c>
      <c r="U41" s="216">
        <f>SUM(U23:U40)</f>
        <v>8290.510785714287</v>
      </c>
    </row>
    <row r="42" spans="2:21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2864</v>
      </c>
      <c r="L42" s="3"/>
      <c r="M42" s="411" t="s">
        <v>77</v>
      </c>
      <c r="N42" s="412"/>
      <c r="O42" s="64">
        <v>0.07</v>
      </c>
      <c r="P42" s="65">
        <f>NPV(O42,P24:P39)</f>
        <v>1735.667344260333</v>
      </c>
      <c r="Q42" s="66">
        <f>NPV($O$42,Q24:Q39)</f>
        <v>-118.55690763148338</v>
      </c>
      <c r="R42" s="66">
        <f>NPV($O$42,R24:R39)</f>
        <v>630.0694586330429</v>
      </c>
      <c r="S42" s="69">
        <f>AVERAGE(S23:S40)</f>
        <v>2.906111111111111</v>
      </c>
      <c r="U42" t="s">
        <v>187</v>
      </c>
    </row>
    <row r="43" spans="1:21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1875</v>
      </c>
      <c r="K43" s="86">
        <f>M43+N43+O43</f>
        <v>2864</v>
      </c>
      <c r="L43" s="120"/>
      <c r="M43" s="86">
        <f>M41</f>
        <v>1140</v>
      </c>
      <c r="N43" s="86">
        <f>N41</f>
        <v>1214.9652118912081</v>
      </c>
      <c r="O43" s="136">
        <f>O41*C15</f>
        <v>509.03478810879193</v>
      </c>
      <c r="P43" s="120"/>
      <c r="Q43" s="137"/>
      <c r="U43" s="118">
        <f>U41/P41</f>
        <v>2.894731419592977</v>
      </c>
    </row>
    <row r="44" spans="13:20" ht="6" customHeight="1">
      <c r="M44" s="3"/>
      <c r="N44" s="42"/>
      <c r="O44" s="42"/>
      <c r="P44" s="32"/>
      <c r="Q44" s="61"/>
      <c r="S44" s="98"/>
      <c r="T44" s="98"/>
    </row>
    <row r="45" spans="2:9" ht="15" customHeight="1">
      <c r="B45" s="422" t="s">
        <v>141</v>
      </c>
      <c r="C45" s="390"/>
      <c r="D45" s="390"/>
      <c r="E45" s="390"/>
      <c r="F45" s="391"/>
      <c r="I45" s="1" t="s">
        <v>296</v>
      </c>
    </row>
    <row r="46" spans="2:17" ht="12.75" customHeight="1">
      <c r="B46" s="139" t="s">
        <v>120</v>
      </c>
      <c r="C46" s="9" t="s">
        <v>121</v>
      </c>
      <c r="D46" s="9" t="s">
        <v>122</v>
      </c>
      <c r="E46" s="140" t="s">
        <v>123</v>
      </c>
      <c r="F46" s="1" t="s">
        <v>146</v>
      </c>
      <c r="H46" s="1" t="s">
        <v>294</v>
      </c>
      <c r="I46" s="73" t="s">
        <v>278</v>
      </c>
      <c r="J46" s="208" t="s">
        <v>295</v>
      </c>
      <c r="K46" s="167" t="s">
        <v>151</v>
      </c>
      <c r="L46" s="127"/>
      <c r="M46" s="84"/>
      <c r="N46" s="84"/>
      <c r="O46" s="84"/>
      <c r="Q46" s="168">
        <f>P41/J41</f>
        <v>1.5274666666666668</v>
      </c>
    </row>
    <row r="47" spans="2:18" ht="12.75" customHeight="1" thickBot="1">
      <c r="B47" s="413" t="s">
        <v>109</v>
      </c>
      <c r="C47" s="408"/>
      <c r="D47" s="408"/>
      <c r="E47" s="407" t="s">
        <v>282</v>
      </c>
      <c r="F47" s="407"/>
      <c r="H47" s="304" t="s">
        <v>125</v>
      </c>
      <c r="I47" s="305" t="s">
        <v>280</v>
      </c>
      <c r="J47" s="28" t="s">
        <v>145</v>
      </c>
      <c r="K47" s="84"/>
      <c r="L47" s="84"/>
      <c r="R47" s="298">
        <v>37711</v>
      </c>
    </row>
    <row r="48" spans="2:16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28" t="s">
        <v>79</v>
      </c>
      <c r="L48" s="429"/>
      <c r="M48" s="429"/>
      <c r="N48" s="429"/>
      <c r="O48" s="429"/>
      <c r="P48" s="430"/>
    </row>
    <row r="49" spans="1:16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</row>
    <row r="50" spans="1:16" ht="12.75" customHeight="1">
      <c r="A50" s="1">
        <v>2003</v>
      </c>
      <c r="B50" s="14">
        <f aca="true" t="shared" si="16" ref="B50:B66">E23</f>
        <v>0</v>
      </c>
      <c r="C50" s="42">
        <f aca="true" t="shared" si="17" ref="C50:C66">E23+M23+N23</f>
        <v>0</v>
      </c>
      <c r="D50" s="42">
        <f aca="true" t="shared" si="18" ref="D50:D62">C50-E23</f>
        <v>0</v>
      </c>
      <c r="E50" s="22">
        <f>$E$8*D50</f>
        <v>0</v>
      </c>
      <c r="F50" s="300">
        <f>(S23*(E50/H50))/$D$6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7">E50*((S23-$D$10)*$C$11)/2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 customHeight="1">
      <c r="A51" s="1">
        <v>2004</v>
      </c>
      <c r="B51" s="34">
        <f t="shared" si="16"/>
        <v>47.07463630613536</v>
      </c>
      <c r="C51" s="42">
        <f t="shared" si="17"/>
        <v>94.57463630613536</v>
      </c>
      <c r="D51" s="42">
        <f t="shared" si="18"/>
        <v>47.5</v>
      </c>
      <c r="E51" s="22">
        <f>$E$8*D51</f>
        <v>18.7625</v>
      </c>
      <c r="F51" s="300">
        <f aca="true" t="shared" si="20" ref="F51:F67">(S24*(E51/H51))/$D$6</f>
        <v>-0.002802221180229933</v>
      </c>
      <c r="H51" s="85">
        <f>22920+3*($H$52-22920)/4</f>
        <v>23992.5</v>
      </c>
      <c r="I51" s="67">
        <f aca="true" t="shared" si="21" ref="I51:I67">H51*-F51</f>
        <v>67.23229166666667</v>
      </c>
      <c r="J51" s="36">
        <f t="shared" si="19"/>
        <v>4.0339374999999995</v>
      </c>
      <c r="K51" s="2" t="s">
        <v>72</v>
      </c>
      <c r="L51" s="3"/>
      <c r="M51" s="3"/>
      <c r="N51" s="3"/>
      <c r="O51" s="9">
        <f>(O11*O12)/1000</f>
        <v>0.231</v>
      </c>
      <c r="P51" s="40">
        <f>(Q11*Q12)/1000</f>
        <v>0.07625</v>
      </c>
    </row>
    <row r="52" spans="1:16" ht="12.75">
      <c r="A52" s="1">
        <v>2005</v>
      </c>
      <c r="B52" s="34">
        <f t="shared" si="16"/>
        <v>94.14927261227072</v>
      </c>
      <c r="C52" s="42">
        <f t="shared" si="17"/>
        <v>189.14927261227072</v>
      </c>
      <c r="D52" s="42">
        <f t="shared" si="18"/>
        <v>95</v>
      </c>
      <c r="E52" s="22">
        <f>$E$8*D52</f>
        <v>37.525</v>
      </c>
      <c r="F52" s="300">
        <f t="shared" si="20"/>
        <v>-0.005693389231120238</v>
      </c>
      <c r="H52" s="85">
        <f>24.35*1000</f>
        <v>24350</v>
      </c>
      <c r="I52" s="67">
        <f t="shared" si="21"/>
        <v>138.6340277777778</v>
      </c>
      <c r="J52" s="36">
        <f t="shared" si="19"/>
        <v>8.318041666666668</v>
      </c>
      <c r="K52" s="2" t="s">
        <v>73</v>
      </c>
      <c r="L52" s="3"/>
      <c r="M52" s="3"/>
      <c r="N52" s="9">
        <v>6</v>
      </c>
      <c r="O52" s="22">
        <f>O51*N52</f>
        <v>1.3860000000000001</v>
      </c>
      <c r="P52" s="53">
        <f>P51*N52</f>
        <v>0.4575</v>
      </c>
    </row>
    <row r="53" spans="1:16" ht="12.75">
      <c r="A53" s="1">
        <v>2006</v>
      </c>
      <c r="B53" s="34">
        <f t="shared" si="16"/>
        <v>141.22390891840607</v>
      </c>
      <c r="C53" s="42">
        <f t="shared" si="17"/>
        <v>283.7239089184061</v>
      </c>
      <c r="D53" s="42">
        <f t="shared" si="18"/>
        <v>142.50000000000003</v>
      </c>
      <c r="E53" s="22">
        <f aca="true" t="shared" si="22" ref="E53:E67">$E$8*D53</f>
        <v>56.287500000000016</v>
      </c>
      <c r="F53" s="300">
        <f t="shared" si="20"/>
        <v>-0.00848998974338348</v>
      </c>
      <c r="H53" s="85">
        <f>$H$52+($H$57-$H$52)/5</f>
        <v>24862</v>
      </c>
      <c r="I53" s="67">
        <f t="shared" si="21"/>
        <v>211.07812500000006</v>
      </c>
      <c r="J53" s="36">
        <f t="shared" si="19"/>
        <v>12.664687500000003</v>
      </c>
      <c r="K53" s="8" t="s">
        <v>74</v>
      </c>
      <c r="L53" s="9"/>
      <c r="M53" s="3"/>
      <c r="N53" s="3"/>
      <c r="O53" s="54">
        <f>O51+((P11-O11)*P12)/1000</f>
        <v>0.504</v>
      </c>
      <c r="P53" s="55">
        <f>P51+((R11-Q11)*R12)/1000</f>
        <v>0.46545</v>
      </c>
    </row>
    <row r="54" spans="1:16" ht="12.75">
      <c r="A54" s="1">
        <v>2007</v>
      </c>
      <c r="B54" s="34">
        <f t="shared" si="16"/>
        <v>188.29854522454144</v>
      </c>
      <c r="C54" s="42">
        <f t="shared" si="17"/>
        <v>378.29854522454144</v>
      </c>
      <c r="D54" s="42">
        <f t="shared" si="18"/>
        <v>190</v>
      </c>
      <c r="E54" s="22">
        <f t="shared" si="22"/>
        <v>75.05</v>
      </c>
      <c r="F54" s="300">
        <f t="shared" si="20"/>
        <v>-0.011132650000437892</v>
      </c>
      <c r="H54" s="85">
        <f>$H$52+2*($H$57-$H$52)/5</f>
        <v>25374</v>
      </c>
      <c r="I54" s="67">
        <f t="shared" si="21"/>
        <v>282.47986111111106</v>
      </c>
      <c r="J54" s="36">
        <f t="shared" si="19"/>
        <v>16.948791666666665</v>
      </c>
      <c r="K54" s="2" t="s">
        <v>73</v>
      </c>
      <c r="L54" s="3"/>
      <c r="M54" s="3"/>
      <c r="N54" s="9">
        <f>N52</f>
        <v>6</v>
      </c>
      <c r="O54" s="22">
        <f>O53*N54</f>
        <v>3.024</v>
      </c>
      <c r="P54" s="53">
        <f>P53*N54</f>
        <v>2.7927</v>
      </c>
    </row>
    <row r="55" spans="1:16" ht="12.75">
      <c r="A55" s="1">
        <v>2008</v>
      </c>
      <c r="B55" s="34">
        <f t="shared" si="16"/>
        <v>235.3731815306768</v>
      </c>
      <c r="C55" s="42">
        <f t="shared" si="17"/>
        <v>454.30092467094363</v>
      </c>
      <c r="D55" s="42">
        <f t="shared" si="18"/>
        <v>218.92774314026684</v>
      </c>
      <c r="E55" s="22">
        <f t="shared" si="22"/>
        <v>86.4764585404054</v>
      </c>
      <c r="F55" s="300">
        <f t="shared" si="20"/>
        <v>-0.012945077526233134</v>
      </c>
      <c r="H55" s="85">
        <f>$H$52+3*($H$57-$H$52)/5</f>
        <v>25886</v>
      </c>
      <c r="I55" s="67">
        <f t="shared" si="21"/>
        <v>335.0962768440709</v>
      </c>
      <c r="J55" s="36">
        <f t="shared" si="19"/>
        <v>20.105776610644256</v>
      </c>
      <c r="K55" s="2" t="s">
        <v>75</v>
      </c>
      <c r="L55" s="3"/>
      <c r="M55" s="3"/>
      <c r="N55" s="3"/>
      <c r="O55" s="22">
        <f>O54-O52</f>
        <v>1.638</v>
      </c>
      <c r="P55" s="53">
        <f>P54-P52</f>
        <v>2.3352</v>
      </c>
    </row>
    <row r="56" spans="1:16" ht="12.75">
      <c r="A56" s="1">
        <v>2009</v>
      </c>
      <c r="B56" s="34">
        <f t="shared" si="16"/>
        <v>282.44781783681213</v>
      </c>
      <c r="C56" s="42">
        <f t="shared" si="17"/>
        <v>530.3033041173459</v>
      </c>
      <c r="D56" s="42">
        <f t="shared" si="18"/>
        <v>247.85548628053374</v>
      </c>
      <c r="E56" s="22">
        <f t="shared" si="22"/>
        <v>97.90291708081084</v>
      </c>
      <c r="F56" s="300">
        <f t="shared" si="20"/>
        <v>-0.014474328705303772</v>
      </c>
      <c r="H56" s="85">
        <f>$H$52+4*($H$57-$H$52)/5</f>
        <v>26398</v>
      </c>
      <c r="I56" s="67">
        <f t="shared" si="21"/>
        <v>382.093329162609</v>
      </c>
      <c r="J56" s="36">
        <f t="shared" si="19"/>
        <v>22.925599749756536</v>
      </c>
      <c r="K56" s="2" t="s">
        <v>76</v>
      </c>
      <c r="L56" s="3"/>
      <c r="M56" s="3"/>
      <c r="N56" s="3"/>
      <c r="O56" s="3"/>
      <c r="P56" s="53">
        <f>(O54+P54)</f>
        <v>5.8167</v>
      </c>
    </row>
    <row r="57" spans="1:16" ht="13.5" thickBot="1">
      <c r="A57" s="1">
        <v>2010</v>
      </c>
      <c r="B57" s="34">
        <f t="shared" si="16"/>
        <v>282.44781783681213</v>
      </c>
      <c r="C57" s="42">
        <f t="shared" si="17"/>
        <v>511.7310472576127</v>
      </c>
      <c r="D57" s="42">
        <f t="shared" si="18"/>
        <v>229.28322942080058</v>
      </c>
      <c r="E57" s="22">
        <f t="shared" si="22"/>
        <v>90.56687562121623</v>
      </c>
      <c r="F57" s="300">
        <f t="shared" si="20"/>
        <v>-0.013321957735686148</v>
      </c>
      <c r="H57" s="85">
        <f>26.91*1000</f>
        <v>26910</v>
      </c>
      <c r="I57" s="67">
        <f t="shared" si="21"/>
        <v>358.49388266731427</v>
      </c>
      <c r="J57" s="36">
        <f t="shared" si="19"/>
        <v>21.509632960038854</v>
      </c>
      <c r="K57" s="11" t="s">
        <v>178</v>
      </c>
      <c r="L57" s="12"/>
      <c r="M57" s="12"/>
      <c r="N57" s="12"/>
      <c r="O57" s="12"/>
      <c r="P57" s="62">
        <f>(O55+P55)</f>
        <v>3.9732</v>
      </c>
    </row>
    <row r="58" spans="1:10" ht="13.5" thickBot="1">
      <c r="A58" s="1">
        <v>2011</v>
      </c>
      <c r="B58" s="34">
        <f t="shared" si="16"/>
        <v>282.44781783681213</v>
      </c>
      <c r="C58" s="42">
        <f t="shared" si="17"/>
        <v>493.15879039787956</v>
      </c>
      <c r="D58" s="42">
        <f t="shared" si="18"/>
        <v>210.71097256106742</v>
      </c>
      <c r="E58" s="22">
        <f t="shared" si="22"/>
        <v>83.23083416162163</v>
      </c>
      <c r="F58" s="300">
        <f t="shared" si="20"/>
        <v>-0.012278398659338156</v>
      </c>
      <c r="H58" s="85">
        <f>$H$57+($H$62-$H$57)/5</f>
        <v>27397</v>
      </c>
      <c r="I58" s="67">
        <f t="shared" si="21"/>
        <v>336.3912880698875</v>
      </c>
      <c r="J58" s="36">
        <f t="shared" si="19"/>
        <v>20.183477284193245</v>
      </c>
    </row>
    <row r="59" spans="1:19" ht="15">
      <c r="A59" s="1">
        <v>2012</v>
      </c>
      <c r="B59" s="34">
        <f t="shared" si="16"/>
        <v>282.44781783681213</v>
      </c>
      <c r="C59" s="42">
        <f t="shared" si="17"/>
        <v>474.58653353814645</v>
      </c>
      <c r="D59" s="42">
        <f t="shared" si="18"/>
        <v>192.13871570133432</v>
      </c>
      <c r="E59" s="22">
        <f t="shared" si="22"/>
        <v>75.89479270202706</v>
      </c>
      <c r="F59" s="300">
        <f t="shared" si="20"/>
        <v>-0.01122744297431723</v>
      </c>
      <c r="H59" s="85">
        <f>$H$57+2*($H$62-$H$57)/5</f>
        <v>27884</v>
      </c>
      <c r="I59" s="67">
        <f t="shared" si="21"/>
        <v>313.06601989586164</v>
      </c>
      <c r="J59" s="36">
        <f t="shared" si="19"/>
        <v>18.783961193751697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290"/>
    </row>
    <row r="60" spans="1:18" ht="12.75">
      <c r="A60" s="1">
        <v>2013</v>
      </c>
      <c r="B60" s="34">
        <f t="shared" si="16"/>
        <v>282.44781783681213</v>
      </c>
      <c r="C60" s="42">
        <f t="shared" si="17"/>
        <v>456.0142766784133</v>
      </c>
      <c r="D60" s="42">
        <f t="shared" si="18"/>
        <v>173.56645884160116</v>
      </c>
      <c r="E60" s="22">
        <f t="shared" si="22"/>
        <v>68.55875124243246</v>
      </c>
      <c r="F60" s="300">
        <f t="shared" si="20"/>
        <v>-0.010102346353265741</v>
      </c>
      <c r="H60" s="85">
        <f>$H$57+3*($H$62-$H$57)/5</f>
        <v>28371</v>
      </c>
      <c r="I60" s="67">
        <f t="shared" si="21"/>
        <v>286.61366838850233</v>
      </c>
      <c r="J60" s="36">
        <f t="shared" si="19"/>
        <v>17.19682010331014</v>
      </c>
      <c r="K60" s="2" t="s">
        <v>2</v>
      </c>
      <c r="L60" s="3"/>
      <c r="M60" s="3"/>
      <c r="N60" s="3"/>
      <c r="O60" s="3"/>
      <c r="P60" s="3"/>
      <c r="Q60" s="3">
        <f>(O11*I5)+(Q11*I6)</f>
        <v>227.5</v>
      </c>
      <c r="R60" s="4" t="s">
        <v>3</v>
      </c>
    </row>
    <row r="61" spans="1:18" ht="12.75">
      <c r="A61" s="1">
        <v>2014</v>
      </c>
      <c r="B61" s="34">
        <f t="shared" si="16"/>
        <v>282.44781783681213</v>
      </c>
      <c r="C61" s="42">
        <f t="shared" si="17"/>
        <v>456.0142766784133</v>
      </c>
      <c r="D61" s="42">
        <f t="shared" si="18"/>
        <v>173.56645884160116</v>
      </c>
      <c r="E61" s="22">
        <f t="shared" si="22"/>
        <v>68.55875124243246</v>
      </c>
      <c r="F61" s="300">
        <f t="shared" si="20"/>
        <v>-0.009997854256886707</v>
      </c>
      <c r="H61" s="85">
        <f>$H$57+4*($H$62-$H$57)/5</f>
        <v>28858</v>
      </c>
      <c r="I61" s="67">
        <f t="shared" si="21"/>
        <v>288.5180781452366</v>
      </c>
      <c r="J61" s="36">
        <f t="shared" si="19"/>
        <v>17.311084688714192</v>
      </c>
      <c r="K61" s="2" t="s">
        <v>116</v>
      </c>
      <c r="L61" s="3"/>
      <c r="M61" s="3"/>
      <c r="N61" s="3"/>
      <c r="O61" s="3"/>
      <c r="P61" s="3"/>
      <c r="Q61" s="5">
        <f>R15*I7</f>
        <v>85</v>
      </c>
      <c r="R61" s="4" t="s">
        <v>3</v>
      </c>
    </row>
    <row r="62" spans="1:18" ht="12.75">
      <c r="A62" s="1">
        <v>2015</v>
      </c>
      <c r="B62" s="34">
        <f t="shared" si="16"/>
        <v>282.44781783681213</v>
      </c>
      <c r="C62" s="42">
        <f t="shared" si="17"/>
        <v>427.08653353814645</v>
      </c>
      <c r="D62" s="42">
        <f t="shared" si="18"/>
        <v>144.63871570133432</v>
      </c>
      <c r="E62" s="22">
        <f t="shared" si="22"/>
        <v>57.13229270202706</v>
      </c>
      <c r="F62" s="300">
        <f t="shared" si="20"/>
        <v>-0.008301439701786366</v>
      </c>
      <c r="H62" s="85">
        <f>29.345*1000</f>
        <v>29345</v>
      </c>
      <c r="I62" s="67">
        <f t="shared" si="21"/>
        <v>243.6057480489209</v>
      </c>
      <c r="J62" s="36">
        <f t="shared" si="19"/>
        <v>14.616344882935254</v>
      </c>
      <c r="K62" s="2" t="s">
        <v>351</v>
      </c>
      <c r="L62" s="3"/>
      <c r="M62" s="3"/>
      <c r="N62" s="3"/>
      <c r="O62" s="3"/>
      <c r="P62" s="3"/>
      <c r="Q62" s="5">
        <f>(O53-O51+P53-P51)*1000</f>
        <v>662.2</v>
      </c>
      <c r="R62" s="4" t="s">
        <v>8</v>
      </c>
    </row>
    <row r="63" spans="1:18" ht="12.75">
      <c r="A63" s="1">
        <v>2016</v>
      </c>
      <c r="B63" s="34">
        <f t="shared" si="16"/>
        <v>282.44781783681213</v>
      </c>
      <c r="C63" s="42">
        <f t="shared" si="17"/>
        <v>398.15879039787956</v>
      </c>
      <c r="D63" s="42">
        <f>C63-B63</f>
        <v>115.71097256106742</v>
      </c>
      <c r="E63" s="22">
        <f t="shared" si="22"/>
        <v>45.70583416162163</v>
      </c>
      <c r="F63" s="300">
        <f t="shared" si="20"/>
        <v>-0.0065664905243581345</v>
      </c>
      <c r="H63" s="85">
        <f>$H$62+($H$67-$H$62)/5</f>
        <v>29872</v>
      </c>
      <c r="I63" s="67">
        <f t="shared" si="21"/>
        <v>196.15420494362618</v>
      </c>
      <c r="J63" s="36">
        <f t="shared" si="19"/>
        <v>11.769252296617568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190</v>
      </c>
      <c r="R63" s="4" t="s">
        <v>3</v>
      </c>
    </row>
    <row r="64" spans="1:18" ht="12.75">
      <c r="A64" s="1">
        <v>2017</v>
      </c>
      <c r="B64" s="34">
        <f t="shared" si="16"/>
        <v>282.44781783681213</v>
      </c>
      <c r="C64" s="42">
        <f t="shared" si="17"/>
        <v>369.2310472576127</v>
      </c>
      <c r="D64" s="42">
        <f>C64-B64</f>
        <v>86.78322942080058</v>
      </c>
      <c r="E64" s="22">
        <f t="shared" si="22"/>
        <v>34.27937562121623</v>
      </c>
      <c r="F64" s="300">
        <f t="shared" si="20"/>
        <v>-0.004902137026364483</v>
      </c>
      <c r="H64" s="85">
        <f>$H$62+2*($H$67-$H$62)/5</f>
        <v>30399</v>
      </c>
      <c r="I64" s="67">
        <f t="shared" si="21"/>
        <v>149.0200634644539</v>
      </c>
      <c r="J64" s="36">
        <f t="shared" si="19"/>
        <v>8.941203807867232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180</v>
      </c>
      <c r="R64" s="4" t="s">
        <v>8</v>
      </c>
    </row>
    <row r="65" spans="1:18" ht="12.75">
      <c r="A65" s="1">
        <v>2018</v>
      </c>
      <c r="B65" s="34">
        <f t="shared" si="16"/>
        <v>282.44781783681213</v>
      </c>
      <c r="C65" s="42">
        <f t="shared" si="17"/>
        <v>340.3033041173459</v>
      </c>
      <c r="D65" s="42">
        <f>C65-B65</f>
        <v>57.85548628053374</v>
      </c>
      <c r="E65" s="22">
        <f t="shared" si="22"/>
        <v>22.85291708081083</v>
      </c>
      <c r="F65" s="300">
        <f t="shared" si="20"/>
        <v>-0.0032534539054773375</v>
      </c>
      <c r="H65" s="85">
        <f>$H$62+3*($H$67-$H$62)/5</f>
        <v>30926</v>
      </c>
      <c r="I65" s="67">
        <f t="shared" si="21"/>
        <v>100.61631548079214</v>
      </c>
      <c r="J65" s="36">
        <f t="shared" si="19"/>
        <v>6.036978928847527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97.3</v>
      </c>
      <c r="R65" s="4" t="s">
        <v>8</v>
      </c>
    </row>
    <row r="66" spans="1:18" ht="12.75">
      <c r="A66" s="1">
        <v>2019</v>
      </c>
      <c r="B66" s="34">
        <f t="shared" si="16"/>
        <v>282.44781783681213</v>
      </c>
      <c r="C66" s="42">
        <f t="shared" si="17"/>
        <v>311.375560977079</v>
      </c>
      <c r="D66" s="42">
        <f>C66-B66</f>
        <v>28.92774314026684</v>
      </c>
      <c r="E66" s="22">
        <f t="shared" si="22"/>
        <v>11.426458540405402</v>
      </c>
      <c r="F66" s="300">
        <f t="shared" si="20"/>
        <v>-0.0016146078332616783</v>
      </c>
      <c r="H66" s="85">
        <f>$H$62+4*($H$67-$H$62)/5</f>
        <v>31453</v>
      </c>
      <c r="I66" s="67">
        <f t="shared" si="21"/>
        <v>50.78426017957957</v>
      </c>
      <c r="J66" s="36">
        <f t="shared" si="19"/>
        <v>3.047055610774774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92.43333333333334</v>
      </c>
      <c r="R66" s="4" t="s">
        <v>8</v>
      </c>
    </row>
    <row r="67" spans="1:18" ht="13.5" thickBot="1">
      <c r="A67" s="1">
        <v>2020</v>
      </c>
      <c r="B67" s="144"/>
      <c r="C67" s="58"/>
      <c r="D67" s="58"/>
      <c r="E67" s="163">
        <f t="shared" si="22"/>
        <v>0</v>
      </c>
      <c r="F67" s="301">
        <f t="shared" si="20"/>
        <v>0</v>
      </c>
      <c r="H67" s="77">
        <v>31980</v>
      </c>
      <c r="I67" s="60">
        <f t="shared" si="21"/>
        <v>0</v>
      </c>
      <c r="J67" s="71">
        <f t="shared" si="19"/>
        <v>0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384.9</v>
      </c>
      <c r="R67" s="4" t="s">
        <v>8</v>
      </c>
    </row>
    <row r="68" spans="1:18" ht="13.5" thickTop="1">
      <c r="A68" t="s">
        <v>104</v>
      </c>
      <c r="B68" s="128">
        <f>SUM(B50:B67)</f>
        <v>3813.0455407969644</v>
      </c>
      <c r="C68" s="85">
        <f>SUM(C50:C67)</f>
        <v>6168.010752688172</v>
      </c>
      <c r="D68" s="85">
        <f>SUM(D50:D67)</f>
        <v>2354.965211891208</v>
      </c>
      <c r="E68" s="3"/>
      <c r="I68" s="36">
        <f>SUM(I50:I67)</f>
        <v>3739.8774408464105</v>
      </c>
      <c r="J68" s="36">
        <f>SUM(J50:J67)</f>
        <v>224.3926464507846</v>
      </c>
      <c r="K68" s="6" t="s">
        <v>353</v>
      </c>
      <c r="L68" s="3"/>
      <c r="M68" s="3"/>
      <c r="N68" s="3"/>
      <c r="O68" s="3"/>
      <c r="P68" s="3"/>
      <c r="Q68" s="7">
        <f>Q66+Q67</f>
        <v>477.3333333333333</v>
      </c>
      <c r="R68" s="4" t="s">
        <v>8</v>
      </c>
    </row>
    <row r="69" spans="2:18" ht="13.5" thickBot="1">
      <c r="B69" s="79"/>
      <c r="C69" s="42"/>
      <c r="D69" s="42"/>
      <c r="H69" s="9" t="s">
        <v>147</v>
      </c>
      <c r="I69" s="36">
        <f>NPV($O$42,I51:I66)</f>
        <v>2238.3697968725364</v>
      </c>
      <c r="J69" s="36">
        <f>NPV($O$42,J51:J66)</f>
        <v>134.30218781235217</v>
      </c>
      <c r="K69" s="11" t="s">
        <v>10</v>
      </c>
      <c r="L69" s="12"/>
      <c r="M69" s="12"/>
      <c r="N69" s="12"/>
      <c r="O69" s="12"/>
      <c r="P69" s="12"/>
      <c r="Q69" s="286">
        <f>Q68-Q63</f>
        <v>287.3333333333333</v>
      </c>
      <c r="R69" s="287" t="s">
        <v>8</v>
      </c>
    </row>
    <row r="70" spans="1:6" ht="12.75">
      <c r="A70" t="s">
        <v>114</v>
      </c>
      <c r="B70" s="95"/>
      <c r="C70" s="136"/>
      <c r="D70" s="86">
        <f>M41+N41</f>
        <v>2354.965211891208</v>
      </c>
      <c r="E70" s="120"/>
      <c r="F70" s="120"/>
    </row>
  </sheetData>
  <mergeCells count="19">
    <mergeCell ref="B45:F45"/>
    <mergeCell ref="C20:F20"/>
    <mergeCell ref="H20:I20"/>
    <mergeCell ref="N20:O20"/>
    <mergeCell ref="Q5:R5"/>
    <mergeCell ref="D21:E21"/>
    <mergeCell ref="M42:N42"/>
    <mergeCell ref="B18:F18"/>
    <mergeCell ref="H18:Q18"/>
    <mergeCell ref="K48:P48"/>
    <mergeCell ref="K59:R59"/>
    <mergeCell ref="E47:F47"/>
    <mergeCell ref="A1:S1"/>
    <mergeCell ref="A3:R3"/>
    <mergeCell ref="A4:E4"/>
    <mergeCell ref="F4:L4"/>
    <mergeCell ref="M4:R4"/>
    <mergeCell ref="B47:D47"/>
    <mergeCell ref="O5:P5"/>
  </mergeCells>
  <printOptions/>
  <pageMargins left="0.86" right="0.49" top="0.5" bottom="0.5" header="0.5" footer="0.5"/>
  <pageSetup horizontalDpi="600" verticalDpi="600" orientation="landscape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3" max="6" width="11.7109375" style="0" customWidth="1"/>
    <col min="7" max="7" width="11.28125" style="0" bestFit="1" customWidth="1"/>
    <col min="8" max="8" width="15.28125" style="0" bestFit="1" customWidth="1"/>
    <col min="9" max="9" width="12.57421875" style="0" bestFit="1" customWidth="1"/>
    <col min="10" max="10" width="13.8515625" style="0" customWidth="1"/>
    <col min="11" max="11" width="11.57421875" style="0" bestFit="1" customWidth="1"/>
    <col min="12" max="12" width="11.140625" style="0" bestFit="1" customWidth="1"/>
    <col min="13" max="13" width="12.140625" style="0" bestFit="1" customWidth="1"/>
    <col min="14" max="14" width="14.8515625" style="0" bestFit="1" customWidth="1"/>
    <col min="15" max="15" width="14.28125" style="0" bestFit="1" customWidth="1"/>
    <col min="16" max="18" width="12.7109375" style="0" customWidth="1"/>
    <col min="19" max="19" width="11.28125" style="0" bestFit="1" customWidth="1"/>
    <col min="21" max="21" width="10.7109375" style="0" bestFit="1" customWidth="1"/>
    <col min="22" max="22" width="11.140625" style="0" bestFit="1" customWidth="1"/>
  </cols>
  <sheetData>
    <row r="1" spans="1:21" ht="23.25">
      <c r="A1" s="457" t="s">
        <v>84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9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447">
        <v>37686</v>
      </c>
      <c r="U2" s="447"/>
    </row>
    <row r="3" spans="1:12" ht="18">
      <c r="A3" s="454" t="s">
        <v>203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  <c r="L3" s="100"/>
    </row>
    <row r="4" spans="1:12" ht="12.75">
      <c r="A4" s="14" t="s">
        <v>97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28" t="s">
        <v>22</v>
      </c>
      <c r="L4" s="1"/>
    </row>
    <row r="5" spans="1:12" ht="15">
      <c r="A5" s="79"/>
      <c r="B5" s="3"/>
      <c r="C5" s="3"/>
      <c r="D5" s="3"/>
      <c r="E5" s="3"/>
      <c r="F5" s="3"/>
      <c r="G5" s="3"/>
      <c r="H5" s="3"/>
      <c r="I5" s="448" t="s">
        <v>89</v>
      </c>
      <c r="J5" s="449"/>
      <c r="K5" s="450"/>
      <c r="L5" s="73"/>
    </row>
    <row r="6" spans="1:12" ht="15">
      <c r="A6" s="79"/>
      <c r="B6" s="451" t="s">
        <v>198</v>
      </c>
      <c r="C6" s="452"/>
      <c r="D6" s="452"/>
      <c r="E6" s="453"/>
      <c r="F6" s="451" t="s">
        <v>88</v>
      </c>
      <c r="G6" s="452"/>
      <c r="H6" s="453"/>
      <c r="I6" s="451" t="s">
        <v>337</v>
      </c>
      <c r="J6" s="452"/>
      <c r="K6" s="453"/>
      <c r="L6" s="1"/>
    </row>
    <row r="7" spans="1:12" ht="12.75">
      <c r="A7" s="79"/>
      <c r="B7" s="408" t="s">
        <v>199</v>
      </c>
      <c r="C7" s="408"/>
      <c r="D7" s="408" t="s">
        <v>90</v>
      </c>
      <c r="E7" s="408"/>
      <c r="F7" s="459" t="s">
        <v>87</v>
      </c>
      <c r="G7" s="459"/>
      <c r="H7" s="459"/>
      <c r="I7" s="9" t="s">
        <v>83</v>
      </c>
      <c r="J7" s="9" t="s">
        <v>338</v>
      </c>
      <c r="K7" s="28" t="s">
        <v>90</v>
      </c>
      <c r="L7" s="1"/>
    </row>
    <row r="8" spans="1:14" ht="12.75">
      <c r="A8" s="14" t="s">
        <v>40</v>
      </c>
      <c r="B8" s="9" t="s">
        <v>86</v>
      </c>
      <c r="C8" s="9" t="s">
        <v>85</v>
      </c>
      <c r="D8" s="9" t="s">
        <v>86</v>
      </c>
      <c r="E8" s="9" t="s">
        <v>85</v>
      </c>
      <c r="F8" s="9" t="s">
        <v>98</v>
      </c>
      <c r="G8" s="9" t="s">
        <v>99</v>
      </c>
      <c r="H8" s="9" t="s">
        <v>336</v>
      </c>
      <c r="I8" s="73" t="s">
        <v>44</v>
      </c>
      <c r="J8" s="73" t="s">
        <v>339</v>
      </c>
      <c r="K8" s="142" t="s">
        <v>44</v>
      </c>
      <c r="L8" s="73"/>
      <c r="M8" s="408" t="s">
        <v>357</v>
      </c>
      <c r="N8" s="408"/>
    </row>
    <row r="9" spans="1:12" ht="12.75">
      <c r="A9" s="87">
        <v>2002</v>
      </c>
      <c r="B9" s="225"/>
      <c r="C9" s="225"/>
      <c r="D9" s="88"/>
      <c r="E9" s="89"/>
      <c r="F9" s="90">
        <v>1766.3</v>
      </c>
      <c r="G9" s="90">
        <v>2943.2</v>
      </c>
      <c r="H9" s="90">
        <f>F9+G9</f>
        <v>4709.5</v>
      </c>
      <c r="I9" s="89"/>
      <c r="J9" s="89"/>
      <c r="K9" s="91"/>
      <c r="L9" s="3"/>
    </row>
    <row r="10" spans="1:13" ht="12.75">
      <c r="A10" s="14">
        <v>2003</v>
      </c>
      <c r="B10" s="85">
        <v>573</v>
      </c>
      <c r="C10" s="85">
        <v>4921</v>
      </c>
      <c r="D10" s="9">
        <v>579</v>
      </c>
      <c r="E10" s="85">
        <v>4985</v>
      </c>
      <c r="F10" s="92">
        <v>2033.9</v>
      </c>
      <c r="G10" s="92">
        <v>2611.6</v>
      </c>
      <c r="H10" s="92">
        <f aca="true" t="shared" si="0" ref="H10:H20">F10+G10</f>
        <v>4645.5</v>
      </c>
      <c r="I10" s="61">
        <f>'15,25-5'!Q23</f>
        <v>0</v>
      </c>
      <c r="J10" s="61">
        <f aca="true" t="shared" si="1" ref="J10:J28">I10*$K$33</f>
        <v>0</v>
      </c>
      <c r="K10" s="93">
        <f aca="true" t="shared" si="2" ref="K10:K20">H10+J10</f>
        <v>4645.5</v>
      </c>
      <c r="L10" s="92"/>
      <c r="M10" s="374"/>
    </row>
    <row r="11" spans="1:13" ht="12.75">
      <c r="A11" s="14">
        <v>2004</v>
      </c>
      <c r="B11" s="85">
        <v>574</v>
      </c>
      <c r="C11" s="85">
        <v>4747</v>
      </c>
      <c r="D11" s="9">
        <v>585</v>
      </c>
      <c r="E11" s="85">
        <v>5007</v>
      </c>
      <c r="F11" s="92">
        <v>1888.5</v>
      </c>
      <c r="G11" s="92">
        <v>2515.3</v>
      </c>
      <c r="H11" s="92">
        <f t="shared" si="0"/>
        <v>4403.8</v>
      </c>
      <c r="I11" s="61">
        <f>'15,25-5'!Q24</f>
        <v>-52.34375</v>
      </c>
      <c r="J11" s="61">
        <f t="shared" si="1"/>
        <v>-57.17548076923077</v>
      </c>
      <c r="K11" s="93">
        <f t="shared" si="2"/>
        <v>4346.62451923077</v>
      </c>
      <c r="L11" s="92"/>
      <c r="M11" s="374">
        <f>SUM($H$10:H11)-SUM($K$10:K11)</f>
        <v>57.17548076923049</v>
      </c>
    </row>
    <row r="12" spans="1:13" ht="12.75">
      <c r="A12" s="14">
        <v>2005</v>
      </c>
      <c r="B12" s="85">
        <v>580</v>
      </c>
      <c r="C12" s="85">
        <v>4314</v>
      </c>
      <c r="D12" s="9">
        <v>620</v>
      </c>
      <c r="E12" s="85">
        <v>5004</v>
      </c>
      <c r="F12" s="92">
        <v>2002.2</v>
      </c>
      <c r="G12" s="92">
        <v>2528.4</v>
      </c>
      <c r="H12" s="92">
        <f t="shared" si="0"/>
        <v>4530.6</v>
      </c>
      <c r="I12" s="61">
        <f>'15,25-5'!Q25</f>
        <v>-104.6875</v>
      </c>
      <c r="J12" s="61">
        <f t="shared" si="1"/>
        <v>-114.35096153846153</v>
      </c>
      <c r="K12" s="93">
        <f t="shared" si="2"/>
        <v>4416.2490384615385</v>
      </c>
      <c r="L12" s="92"/>
      <c r="M12" s="374">
        <f>SUM($H$10:H12)-SUM($K$10:K12)</f>
        <v>171.5264423076933</v>
      </c>
    </row>
    <row r="13" spans="1:13" ht="12.75">
      <c r="A13" s="14">
        <v>2006</v>
      </c>
      <c r="B13" s="85">
        <v>566</v>
      </c>
      <c r="C13" s="85">
        <v>3873</v>
      </c>
      <c r="D13" s="9">
        <v>665</v>
      </c>
      <c r="E13" s="85">
        <v>4973</v>
      </c>
      <c r="F13" s="92">
        <v>2153.5</v>
      </c>
      <c r="G13" s="92">
        <v>2526.7</v>
      </c>
      <c r="H13" s="92">
        <f t="shared" si="0"/>
        <v>4680.2</v>
      </c>
      <c r="I13" s="61">
        <f>'15,25-5'!Q26</f>
        <v>-131.30208333333331</v>
      </c>
      <c r="J13" s="61">
        <f t="shared" si="1"/>
        <v>-143.4222756410256</v>
      </c>
      <c r="K13" s="93">
        <f t="shared" si="2"/>
        <v>4536.777724358974</v>
      </c>
      <c r="L13" s="92"/>
      <c r="M13" s="374">
        <f>SUM($H$10:H13)-SUM($K$10:K13)</f>
        <v>314.9487179487187</v>
      </c>
    </row>
    <row r="14" spans="1:13" ht="12.75">
      <c r="A14" s="14">
        <v>2007</v>
      </c>
      <c r="B14" s="85">
        <v>511</v>
      </c>
      <c r="C14" s="85">
        <v>3398</v>
      </c>
      <c r="D14" s="9">
        <v>689</v>
      </c>
      <c r="E14" s="85">
        <v>4934</v>
      </c>
      <c r="F14" s="92">
        <v>2246.3</v>
      </c>
      <c r="G14" s="92">
        <v>2527.4</v>
      </c>
      <c r="H14" s="92">
        <f t="shared" si="0"/>
        <v>4773.700000000001</v>
      </c>
      <c r="I14" s="61">
        <f>'15,25-5'!Q27</f>
        <v>-157.91666666666666</v>
      </c>
      <c r="J14" s="61">
        <f t="shared" si="1"/>
        <v>-172.49358974358972</v>
      </c>
      <c r="K14" s="93">
        <f t="shared" si="2"/>
        <v>4601.206410256411</v>
      </c>
      <c r="L14" s="92"/>
      <c r="M14" s="374">
        <f>SUM($H$10:H14)-SUM($K$10:K14)</f>
        <v>487.44230769230853</v>
      </c>
    </row>
    <row r="15" spans="1:13" ht="12.75">
      <c r="A15" s="14">
        <v>2008</v>
      </c>
      <c r="B15" s="85">
        <v>425</v>
      </c>
      <c r="C15" s="85">
        <v>2946</v>
      </c>
      <c r="D15" s="9">
        <v>689</v>
      </c>
      <c r="E15" s="85">
        <v>4895</v>
      </c>
      <c r="F15" s="92">
        <v>2267.2</v>
      </c>
      <c r="G15" s="92">
        <v>2527.3</v>
      </c>
      <c r="H15" s="92">
        <f t="shared" si="0"/>
        <v>4794.5</v>
      </c>
      <c r="I15" s="61">
        <f>'15,25-5'!Q28</f>
        <v>-137.42618194231096</v>
      </c>
      <c r="J15" s="61">
        <f t="shared" si="1"/>
        <v>-150.11167566006273</v>
      </c>
      <c r="K15" s="93">
        <f t="shared" si="2"/>
        <v>4644.388324339937</v>
      </c>
      <c r="L15" s="92"/>
      <c r="M15" s="374">
        <f>SUM($H$10:H15)-SUM($K$10:K15)</f>
        <v>637.5539833523726</v>
      </c>
    </row>
    <row r="16" spans="1:13" ht="12.75">
      <c r="A16" s="14">
        <v>2009</v>
      </c>
      <c r="B16" s="85">
        <v>370</v>
      </c>
      <c r="C16" s="85">
        <v>2566</v>
      </c>
      <c r="D16" s="9">
        <v>690</v>
      </c>
      <c r="E16" s="85">
        <v>4861</v>
      </c>
      <c r="F16" s="92">
        <v>2290.3</v>
      </c>
      <c r="G16" s="92">
        <v>2536</v>
      </c>
      <c r="H16" s="92">
        <f t="shared" si="0"/>
        <v>4826.3</v>
      </c>
      <c r="I16" s="61">
        <f>'15,25-5'!Q29</f>
        <v>-116.93569721795527</v>
      </c>
      <c r="J16" s="61">
        <f t="shared" si="1"/>
        <v>-127.72976157653574</v>
      </c>
      <c r="K16" s="93">
        <f t="shared" si="2"/>
        <v>4698.570238423465</v>
      </c>
      <c r="L16" s="92"/>
      <c r="M16" s="374">
        <f>SUM($H$10:H16)-SUM($K$10:K16)</f>
        <v>765.2837449289073</v>
      </c>
    </row>
    <row r="17" spans="1:13" ht="12.75">
      <c r="A17" s="14">
        <v>2010</v>
      </c>
      <c r="B17" s="85">
        <v>319</v>
      </c>
      <c r="C17" s="85">
        <v>2229</v>
      </c>
      <c r="D17" s="9">
        <v>690</v>
      </c>
      <c r="E17" s="85">
        <v>4795</v>
      </c>
      <c r="F17" s="92">
        <v>2313.3</v>
      </c>
      <c r="G17" s="92">
        <v>2526.4</v>
      </c>
      <c r="H17" s="92">
        <f t="shared" si="0"/>
        <v>4839.700000000001</v>
      </c>
      <c r="I17" s="61">
        <f>'15,25-5'!Q30</f>
        <v>-44.10146249359959</v>
      </c>
      <c r="J17" s="61">
        <f t="shared" si="1"/>
        <v>-48.17236672377801</v>
      </c>
      <c r="K17" s="93">
        <f t="shared" si="2"/>
        <v>4791.527633276222</v>
      </c>
      <c r="L17" s="92"/>
      <c r="M17" s="374">
        <f>SUM($H$10:H17)-SUM($K$10:K17)</f>
        <v>813.4561116526893</v>
      </c>
    </row>
    <row r="18" spans="1:13" ht="12.75">
      <c r="A18" s="14">
        <v>2011</v>
      </c>
      <c r="B18" s="85">
        <v>274</v>
      </c>
      <c r="C18" s="85">
        <v>1942</v>
      </c>
      <c r="D18" s="9">
        <v>690</v>
      </c>
      <c r="E18" s="85">
        <v>4742</v>
      </c>
      <c r="F18" s="92">
        <v>2337.8</v>
      </c>
      <c r="G18" s="92">
        <v>2516</v>
      </c>
      <c r="H18" s="92">
        <f t="shared" si="0"/>
        <v>4853.8</v>
      </c>
      <c r="I18" s="61">
        <f>'15,25-5'!Q31</f>
        <v>28.732772230756098</v>
      </c>
      <c r="J18" s="61">
        <f t="shared" si="1"/>
        <v>31.385028128979734</v>
      </c>
      <c r="K18" s="93">
        <f t="shared" si="2"/>
        <v>4885.18502812898</v>
      </c>
      <c r="L18" s="92"/>
      <c r="M18" s="374">
        <f>SUM($H$10:H18)-SUM($K$10:K18)</f>
        <v>782.0710835237114</v>
      </c>
    </row>
    <row r="19" spans="1:13" ht="12.75">
      <c r="A19" s="14">
        <v>2012</v>
      </c>
      <c r="B19" s="85">
        <v>235</v>
      </c>
      <c r="C19" s="85">
        <v>1615</v>
      </c>
      <c r="D19" s="9">
        <v>690</v>
      </c>
      <c r="E19" s="85">
        <v>4665</v>
      </c>
      <c r="F19" s="92">
        <v>2358.6</v>
      </c>
      <c r="G19" s="92">
        <v>2490.6</v>
      </c>
      <c r="H19" s="92">
        <f t="shared" si="0"/>
        <v>4849.2</v>
      </c>
      <c r="I19" s="61">
        <f>'15,25-5'!Q32</f>
        <v>75.83784028844512</v>
      </c>
      <c r="J19" s="61">
        <f t="shared" si="1"/>
        <v>82.83825631507082</v>
      </c>
      <c r="K19" s="93">
        <f t="shared" si="2"/>
        <v>4932.038256315071</v>
      </c>
      <c r="L19" s="92"/>
      <c r="M19" s="374">
        <f>SUM($H$10:H19)-SUM($K$10:K19)</f>
        <v>699.2328272086379</v>
      </c>
    </row>
    <row r="20" spans="1:13" ht="13.5" thickBot="1">
      <c r="A20" s="14">
        <v>2013</v>
      </c>
      <c r="B20" s="77">
        <v>202</v>
      </c>
      <c r="C20" s="77">
        <v>1334</v>
      </c>
      <c r="D20" s="41">
        <v>690</v>
      </c>
      <c r="E20" s="77">
        <v>4575</v>
      </c>
      <c r="F20" s="78">
        <v>2386.5</v>
      </c>
      <c r="G20" s="78">
        <v>2476.7</v>
      </c>
      <c r="H20" s="78">
        <f t="shared" si="0"/>
        <v>4863.2</v>
      </c>
      <c r="I20" s="61">
        <f>'15,25-5'!Q33</f>
        <v>122.94290834613415</v>
      </c>
      <c r="J20" s="60">
        <f t="shared" si="1"/>
        <v>134.2914845011619</v>
      </c>
      <c r="K20" s="94">
        <f t="shared" si="2"/>
        <v>4997.491484501162</v>
      </c>
      <c r="L20" s="92"/>
      <c r="M20" s="374">
        <f>SUM($H$10:H20)-SUM($K$10:K20)</f>
        <v>564.941342707476</v>
      </c>
    </row>
    <row r="21" spans="1:13" ht="13.5" thickTop="1">
      <c r="A21" s="95" t="s">
        <v>92</v>
      </c>
      <c r="B21" s="86">
        <f>SUM(B10:B20)</f>
        <v>4629</v>
      </c>
      <c r="C21" s="86">
        <f>SUM(C10:C20)</f>
        <v>33885</v>
      </c>
      <c r="D21" s="86">
        <f aca="true" t="shared" si="3" ref="D21:I21">SUM(D10:D20)</f>
        <v>7277</v>
      </c>
      <c r="E21" s="86">
        <f t="shared" si="3"/>
        <v>53436</v>
      </c>
      <c r="F21" s="96">
        <f t="shared" si="3"/>
        <v>24278.1</v>
      </c>
      <c r="G21" s="96">
        <f t="shared" si="3"/>
        <v>27782.4</v>
      </c>
      <c r="H21" s="96">
        <f t="shared" si="3"/>
        <v>52060.5</v>
      </c>
      <c r="I21" s="174">
        <f t="shared" si="3"/>
        <v>-517.1998207885305</v>
      </c>
      <c r="J21" s="96">
        <f>SUM(J9:J20)</f>
        <v>-564.9413427074718</v>
      </c>
      <c r="K21" s="97">
        <f>SUM(K10:K20)</f>
        <v>51495.558657292524</v>
      </c>
      <c r="L21" s="92"/>
      <c r="M21" s="374"/>
    </row>
    <row r="22" spans="1:13" ht="12.75">
      <c r="A22" s="14">
        <v>2014</v>
      </c>
      <c r="B22" s="9"/>
      <c r="C22" s="9"/>
      <c r="D22" s="9"/>
      <c r="E22" s="85"/>
      <c r="F22" s="3"/>
      <c r="G22" s="3"/>
      <c r="H22" s="227">
        <f>H20</f>
        <v>4863.2</v>
      </c>
      <c r="I22" s="92">
        <f>'15,25-5'!Q34</f>
        <v>122.94290834613415</v>
      </c>
      <c r="J22" s="61">
        <f t="shared" si="1"/>
        <v>134.2914845011619</v>
      </c>
      <c r="K22" s="93">
        <f aca="true" t="shared" si="4" ref="K22:K28">H22+J22</f>
        <v>4997.491484501162</v>
      </c>
      <c r="L22" s="75"/>
      <c r="M22" s="374">
        <f>SUM($H$21:H22)-SUM($K$21:K22)</f>
        <v>430.6498582063141</v>
      </c>
    </row>
    <row r="23" spans="1:13" ht="12.75">
      <c r="A23" s="14">
        <v>2015</v>
      </c>
      <c r="B23" s="9"/>
      <c r="C23" s="9"/>
      <c r="D23" s="9"/>
      <c r="E23" s="85"/>
      <c r="F23" s="85"/>
      <c r="G23" s="85"/>
      <c r="H23" s="92">
        <f aca="true" t="shared" si="5" ref="H23:H28">H22</f>
        <v>4863.2</v>
      </c>
      <c r="I23" s="92">
        <f>'15,25-5'!Q35</f>
        <v>102.45242362177845</v>
      </c>
      <c r="J23" s="61">
        <f t="shared" si="1"/>
        <v>111.90957041763491</v>
      </c>
      <c r="K23" s="93">
        <f t="shared" si="4"/>
        <v>4975.109570417635</v>
      </c>
      <c r="L23" s="75"/>
      <c r="M23" s="374">
        <f>SUM($H$21:H23)-SUM($K$21:K23)</f>
        <v>318.74028778867796</v>
      </c>
    </row>
    <row r="24" spans="1:13" ht="12.75">
      <c r="A24" s="14">
        <v>2016</v>
      </c>
      <c r="B24" s="9"/>
      <c r="C24" s="9"/>
      <c r="D24" s="3"/>
      <c r="E24" s="3"/>
      <c r="F24" s="3"/>
      <c r="G24" s="3"/>
      <c r="H24" s="92">
        <f t="shared" si="5"/>
        <v>4863.2</v>
      </c>
      <c r="I24" s="92">
        <f>'15,25-5'!Q36</f>
        <v>81.96193889742275</v>
      </c>
      <c r="J24" s="61">
        <f t="shared" si="1"/>
        <v>89.52765633410792</v>
      </c>
      <c r="K24" s="93">
        <f t="shared" si="4"/>
        <v>4952.727656334107</v>
      </c>
      <c r="L24" s="75"/>
      <c r="M24" s="374">
        <f>SUM($H$21:H24)-SUM($K$21:K24)</f>
        <v>229.21263145456032</v>
      </c>
    </row>
    <row r="25" spans="1:13" ht="12.75">
      <c r="A25" s="14">
        <v>2017</v>
      </c>
      <c r="B25" s="9"/>
      <c r="C25" s="9"/>
      <c r="D25" s="3"/>
      <c r="E25" s="3"/>
      <c r="F25" s="3"/>
      <c r="G25" s="3"/>
      <c r="H25" s="92">
        <f t="shared" si="5"/>
        <v>4863.2</v>
      </c>
      <c r="I25" s="92">
        <f>'15,25-5'!Q37</f>
        <v>61.47145417306707</v>
      </c>
      <c r="J25" s="61">
        <f t="shared" si="1"/>
        <v>67.14574225058095</v>
      </c>
      <c r="K25" s="93">
        <f t="shared" si="4"/>
        <v>4930.345742250581</v>
      </c>
      <c r="L25" s="75"/>
      <c r="M25" s="374">
        <f>SUM($H$21:H25)-SUM($K$21:K25)</f>
        <v>162.066889203983</v>
      </c>
    </row>
    <row r="26" spans="1:13" ht="12.75">
      <c r="A26" s="14">
        <v>2018</v>
      </c>
      <c r="B26" s="9"/>
      <c r="C26" s="9"/>
      <c r="D26" s="3"/>
      <c r="E26" s="3"/>
      <c r="F26" s="3"/>
      <c r="G26" s="3"/>
      <c r="H26" s="92">
        <f t="shared" si="5"/>
        <v>4863.2</v>
      </c>
      <c r="I26" s="92">
        <f>'15,25-5'!Q38</f>
        <v>40.98096944871138</v>
      </c>
      <c r="J26" s="61">
        <f t="shared" si="1"/>
        <v>44.76382816705396</v>
      </c>
      <c r="K26" s="93">
        <f t="shared" si="4"/>
        <v>4907.963828167054</v>
      </c>
      <c r="L26" s="75"/>
      <c r="M26" s="374">
        <f>SUM($H$21:H26)-SUM($K$21:K26)</f>
        <v>117.30306103693147</v>
      </c>
    </row>
    <row r="27" spans="1:13" ht="12.75">
      <c r="A27" s="14">
        <v>2019</v>
      </c>
      <c r="B27" s="9"/>
      <c r="C27" s="9"/>
      <c r="D27" s="3"/>
      <c r="E27" s="3"/>
      <c r="F27" s="3"/>
      <c r="G27" s="3"/>
      <c r="H27" s="92">
        <f t="shared" si="5"/>
        <v>4863.2</v>
      </c>
      <c r="I27" s="92">
        <f>'15,25-5'!Q39</f>
        <v>20.49048472435569</v>
      </c>
      <c r="J27" s="61">
        <f t="shared" si="1"/>
        <v>22.38191408352698</v>
      </c>
      <c r="K27" s="93">
        <f t="shared" si="4"/>
        <v>4885.5819140835265</v>
      </c>
      <c r="L27" s="75"/>
      <c r="M27" s="374">
        <f>SUM($H$21:H27)-SUM($K$21:K27)</f>
        <v>94.9211469534057</v>
      </c>
    </row>
    <row r="28" spans="1:13" ht="13.5" thickBot="1">
      <c r="A28" s="14">
        <v>2020</v>
      </c>
      <c r="B28" s="9"/>
      <c r="C28" s="9"/>
      <c r="D28" s="3"/>
      <c r="E28" s="3"/>
      <c r="F28" s="3"/>
      <c r="G28" s="3"/>
      <c r="H28" s="78">
        <f t="shared" si="5"/>
        <v>4863.2</v>
      </c>
      <c r="I28" s="78">
        <f>'15,25-5'!Q40</f>
        <v>0</v>
      </c>
      <c r="J28" s="60">
        <f t="shared" si="1"/>
        <v>0</v>
      </c>
      <c r="K28" s="94">
        <f t="shared" si="4"/>
        <v>4863.2</v>
      </c>
      <c r="L28" s="75"/>
      <c r="M28" s="374"/>
    </row>
    <row r="29" spans="1:13" ht="13.5" thickTop="1">
      <c r="A29" s="14" t="s">
        <v>167</v>
      </c>
      <c r="B29" s="9"/>
      <c r="C29" s="9"/>
      <c r="D29" s="3"/>
      <c r="E29" s="3"/>
      <c r="F29" s="3"/>
      <c r="G29" s="3"/>
      <c r="H29" s="92">
        <f>SUM(H21:H28)</f>
        <v>86102.89999999998</v>
      </c>
      <c r="I29" s="61">
        <f>SUM(I21:I28)</f>
        <v>-86.899641577061</v>
      </c>
      <c r="J29" s="61">
        <f>SUM(J21:J28)</f>
        <v>-94.9211469534052</v>
      </c>
      <c r="K29" s="93">
        <f>SUM(K21:K28)</f>
        <v>86007.97885304657</v>
      </c>
      <c r="L29" s="92"/>
      <c r="M29" s="374">
        <f>H29-K29</f>
        <v>94.9211469534057</v>
      </c>
    </row>
    <row r="30" spans="1:13" ht="12.75">
      <c r="A30" s="14"/>
      <c r="B30" s="9"/>
      <c r="C30" s="9"/>
      <c r="D30" s="3"/>
      <c r="E30" s="3"/>
      <c r="F30" s="3"/>
      <c r="G30" s="3"/>
      <c r="H30" s="92">
        <f>SUM(H11:H20)+SUM(H22:H27)</f>
        <v>76594.2</v>
      </c>
      <c r="I30" s="92"/>
      <c r="J30" s="61"/>
      <c r="K30" s="93">
        <f>SUM(K11:K20)+SUM(K22:K27)</f>
        <v>76499.27885304659</v>
      </c>
      <c r="L30" s="75"/>
      <c r="M30" s="374">
        <f>H30-K30</f>
        <v>94.9211469534057</v>
      </c>
    </row>
    <row r="31" spans="1:12" ht="12.75">
      <c r="A31" s="79"/>
      <c r="B31" s="228"/>
      <c r="C31" s="407" t="s">
        <v>168</v>
      </c>
      <c r="D31" s="407"/>
      <c r="E31" s="407"/>
      <c r="F31" s="99">
        <f>F21/H21</f>
        <v>0.4663439651943412</v>
      </c>
      <c r="G31" s="99">
        <f>G21/H21</f>
        <v>0.5336560348056588</v>
      </c>
      <c r="H31" s="3" t="s">
        <v>95</v>
      </c>
      <c r="I31" s="61"/>
      <c r="J31" s="61"/>
      <c r="K31" s="229">
        <f>(3.41+3.3+3.35+3.4+3.46+3.52+3.59+3.66+3.72+3.78+3.86)/11</f>
        <v>3.55</v>
      </c>
      <c r="L31" s="75"/>
    </row>
    <row r="32" spans="1:12" ht="12.75">
      <c r="A32" s="79"/>
      <c r="B32" s="228"/>
      <c r="C32" s="407" t="s">
        <v>200</v>
      </c>
      <c r="D32" s="407"/>
      <c r="E32" s="407"/>
      <c r="F32" s="118">
        <f>G21/E21</f>
        <v>0.5199191556254211</v>
      </c>
      <c r="G32" s="69">
        <f>'15,25-5'!I15</f>
        <v>0.5416666666666666</v>
      </c>
      <c r="H32" s="3" t="s">
        <v>94</v>
      </c>
      <c r="I32" s="61"/>
      <c r="J32" s="61"/>
      <c r="K32" s="229">
        <v>3.25</v>
      </c>
      <c r="L32" s="75"/>
    </row>
    <row r="33" spans="1:12" ht="12.75">
      <c r="A33" s="79"/>
      <c r="B33" s="228"/>
      <c r="C33" s="228" t="s">
        <v>201</v>
      </c>
      <c r="D33" s="228"/>
      <c r="E33" s="85"/>
      <c r="F33" s="118">
        <f>F21/D21</f>
        <v>3.336278686271815</v>
      </c>
      <c r="G33" s="85"/>
      <c r="H33" s="3" t="s">
        <v>96</v>
      </c>
      <c r="I33" s="61"/>
      <c r="J33" s="61"/>
      <c r="K33" s="230">
        <f>K31/K32</f>
        <v>1.0923076923076922</v>
      </c>
      <c r="L33" s="75"/>
    </row>
    <row r="34" spans="1:12" ht="12.75">
      <c r="A34" s="14"/>
      <c r="B34" s="9"/>
      <c r="C34" s="9"/>
      <c r="D34" s="3"/>
      <c r="E34" s="3"/>
      <c r="F34" s="3"/>
      <c r="G34" s="3"/>
      <c r="H34" s="92"/>
      <c r="I34" s="61"/>
      <c r="J34" s="61"/>
      <c r="K34" s="93"/>
      <c r="L34" s="75"/>
    </row>
    <row r="35" spans="1:12" ht="12.75">
      <c r="A35" s="95" t="s">
        <v>335</v>
      </c>
      <c r="B35" s="120"/>
      <c r="C35" s="120"/>
      <c r="D35" s="120"/>
      <c r="E35" s="120"/>
      <c r="F35" s="120"/>
      <c r="G35" s="120"/>
      <c r="H35" s="120"/>
      <c r="I35" s="96"/>
      <c r="J35" s="231"/>
      <c r="K35" s="97"/>
      <c r="L35" s="75"/>
    </row>
    <row r="36" ht="12.75">
      <c r="L36" s="75"/>
    </row>
    <row r="37" spans="1:11" ht="18">
      <c r="A37" s="454" t="s">
        <v>340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6"/>
    </row>
    <row r="38" spans="1:11" ht="12.75">
      <c r="A38" s="14" t="s">
        <v>81</v>
      </c>
      <c r="B38" s="9" t="s">
        <v>118</v>
      </c>
      <c r="C38" s="9" t="s">
        <v>101</v>
      </c>
      <c r="D38" s="9" t="s">
        <v>344</v>
      </c>
      <c r="E38" s="9" t="s">
        <v>345</v>
      </c>
      <c r="F38" s="9" t="s">
        <v>120</v>
      </c>
      <c r="G38" s="9" t="s">
        <v>121</v>
      </c>
      <c r="H38" s="9" t="s">
        <v>122</v>
      </c>
      <c r="I38" s="9" t="s">
        <v>123</v>
      </c>
      <c r="J38" s="9" t="s">
        <v>146</v>
      </c>
      <c r="K38" s="28" t="s">
        <v>294</v>
      </c>
    </row>
    <row r="39" spans="1:11" ht="15">
      <c r="A39" s="17"/>
      <c r="B39" s="232"/>
      <c r="C39" s="3"/>
      <c r="D39" s="460" t="s">
        <v>326</v>
      </c>
      <c r="E39" s="461"/>
      <c r="F39" s="461"/>
      <c r="G39" s="461"/>
      <c r="H39" s="462"/>
      <c r="I39" s="460" t="s">
        <v>325</v>
      </c>
      <c r="J39" s="461"/>
      <c r="K39" s="462"/>
    </row>
    <row r="40" spans="1:11" ht="15.75">
      <c r="A40" s="233"/>
      <c r="B40" s="256" t="s">
        <v>317</v>
      </c>
      <c r="C40" s="3" t="s">
        <v>319</v>
      </c>
      <c r="D40" s="420" t="s">
        <v>103</v>
      </c>
      <c r="E40" s="407"/>
      <c r="F40" s="407"/>
      <c r="G40" s="377"/>
      <c r="H40" s="142" t="s">
        <v>322</v>
      </c>
      <c r="I40" s="413" t="s">
        <v>327</v>
      </c>
      <c r="J40" s="408"/>
      <c r="K40" s="142" t="s">
        <v>322</v>
      </c>
    </row>
    <row r="41" spans="1:11" ht="12.75">
      <c r="A41" s="72"/>
      <c r="B41" s="82" t="s">
        <v>342</v>
      </c>
      <c r="C41" s="9" t="s">
        <v>320</v>
      </c>
      <c r="D41" s="392" t="s">
        <v>110</v>
      </c>
      <c r="E41" s="393"/>
      <c r="F41" s="393"/>
      <c r="G41" s="394"/>
      <c r="H41" s="28" t="s">
        <v>319</v>
      </c>
      <c r="I41" s="9" t="s">
        <v>328</v>
      </c>
      <c r="J41" s="9" t="s">
        <v>343</v>
      </c>
      <c r="K41" s="28" t="s">
        <v>319</v>
      </c>
    </row>
    <row r="42" spans="1:16" ht="12.75">
      <c r="A42" s="72"/>
      <c r="B42" s="73" t="s">
        <v>341</v>
      </c>
      <c r="C42" s="9" t="s">
        <v>321</v>
      </c>
      <c r="D42" s="87" t="s">
        <v>111</v>
      </c>
      <c r="E42" s="412" t="s">
        <v>113</v>
      </c>
      <c r="F42" s="412"/>
      <c r="G42" s="28" t="s">
        <v>36</v>
      </c>
      <c r="H42" s="142" t="s">
        <v>318</v>
      </c>
      <c r="I42" s="73" t="s">
        <v>323</v>
      </c>
      <c r="J42" s="73" t="s">
        <v>324</v>
      </c>
      <c r="K42" s="142" t="s">
        <v>325</v>
      </c>
      <c r="O42" s="73" t="s">
        <v>106</v>
      </c>
      <c r="P42" s="73" t="s">
        <v>105</v>
      </c>
    </row>
    <row r="43" spans="1:16" ht="13.5" thickBot="1">
      <c r="A43" s="27" t="s">
        <v>40</v>
      </c>
      <c r="B43" s="23" t="s">
        <v>93</v>
      </c>
      <c r="C43" s="23" t="s">
        <v>44</v>
      </c>
      <c r="D43" s="109" t="s">
        <v>8</v>
      </c>
      <c r="E43" s="101" t="s">
        <v>8</v>
      </c>
      <c r="F43" s="112" t="s">
        <v>3</v>
      </c>
      <c r="G43" s="26" t="s">
        <v>43</v>
      </c>
      <c r="H43" s="26" t="s">
        <v>44</v>
      </c>
      <c r="I43" s="23" t="s">
        <v>44</v>
      </c>
      <c r="J43" s="23" t="s">
        <v>44</v>
      </c>
      <c r="K43" s="303" t="s">
        <v>44</v>
      </c>
      <c r="O43" s="101" t="s">
        <v>8</v>
      </c>
      <c r="P43" s="101" t="s">
        <v>8</v>
      </c>
    </row>
    <row r="44" spans="1:16" ht="12.75">
      <c r="A44" s="14">
        <v>2003</v>
      </c>
      <c r="B44" s="226">
        <f aca="true" t="shared" si="6" ref="B44:B54">C10*$J$63</f>
        <v>378.4249</v>
      </c>
      <c r="C44" s="92">
        <f aca="true" t="shared" si="7" ref="C44:C58">B44*$F$32</f>
        <v>196.75035447563442</v>
      </c>
      <c r="D44" s="111">
        <f>('15,25-5'!$O$11*'15,25-5'!$O$12+'15,25-5'!$Q$11*'15,25-5'!$Q$12)</f>
        <v>343.5</v>
      </c>
      <c r="E44" s="3"/>
      <c r="F44" s="82">
        <f aca="true" t="shared" si="8" ref="F44:F58">E44*$K$65</f>
        <v>0</v>
      </c>
      <c r="G44" s="28">
        <f aca="true" t="shared" si="9" ref="G44:G58">F44/$C$65</f>
        <v>0</v>
      </c>
      <c r="H44" s="93">
        <f aca="true" t="shared" si="10" ref="H44:H58">(B44+E44)*$F$32</f>
        <v>196.75035447563442</v>
      </c>
      <c r="I44" s="92">
        <f>F44*$F$32</f>
        <v>0</v>
      </c>
      <c r="J44" s="92">
        <f>('15,25-5'!M23+'15,25-5'!N23)*$F$32</f>
        <v>0</v>
      </c>
      <c r="K44" s="93">
        <f aca="true" t="shared" si="11" ref="K44:K58">C44+I44+J44</f>
        <v>196.75035447563442</v>
      </c>
      <c r="O44" s="9">
        <f>('15,25-5'!$Q$8-'15,25-5'!$Q$11)*'15,25-5'!$I$7</f>
        <v>37.5</v>
      </c>
      <c r="P44" s="3"/>
    </row>
    <row r="45" spans="1:16" ht="12.75">
      <c r="A45" s="14">
        <v>2004</v>
      </c>
      <c r="B45" s="128">
        <f t="shared" si="6"/>
        <v>365.04429999999996</v>
      </c>
      <c r="C45" s="92">
        <f t="shared" si="7"/>
        <v>189.7935242218729</v>
      </c>
      <c r="D45" s="111">
        <f>('15,25-5'!$O$11*'15,25-5'!$O$12+'15,25-5'!$Q$11*'15,25-5'!$Q$12)</f>
        <v>343.5</v>
      </c>
      <c r="E45" s="42">
        <f>(SUM($D$44:D44)/$H$64)</f>
        <v>57.25</v>
      </c>
      <c r="F45" s="52">
        <f t="shared" si="8"/>
        <v>47.07463630613536</v>
      </c>
      <c r="G45" s="30">
        <f t="shared" si="9"/>
        <v>1.81056293485136</v>
      </c>
      <c r="H45" s="93">
        <f t="shared" si="10"/>
        <v>219.55889588142827</v>
      </c>
      <c r="I45" s="92">
        <f>(E45-'15,25-5'!J24)*$F$32</f>
        <v>-28.075634403772742</v>
      </c>
      <c r="J45" s="92">
        <f>('15,25-5'!P24-'15,25-5'!M24)*$F$32</f>
        <v>5.338169945931009</v>
      </c>
      <c r="K45" s="93">
        <f t="shared" si="11"/>
        <v>167.05605976403118</v>
      </c>
      <c r="M45" s="374">
        <f>M11</f>
        <v>57.17548076923049</v>
      </c>
      <c r="N45" s="374">
        <f>SUM($H$44:H45)-SUM($K$44:K45)</f>
        <v>52.50283611739707</v>
      </c>
      <c r="O45" s="9">
        <f>('15,25-5'!$Q$8-'15,25-5'!$Q$11)*'15,25-5'!$I$7</f>
        <v>37.5</v>
      </c>
      <c r="P45" s="42">
        <f>((SUM($O$44:O44))*'15,25-5'!$P$15)/'15,25-5'!$K$16</f>
        <v>12.5</v>
      </c>
    </row>
    <row r="46" spans="1:16" ht="12.75">
      <c r="A46" s="14">
        <v>2005</v>
      </c>
      <c r="B46" s="128">
        <f t="shared" si="6"/>
        <v>331.7466</v>
      </c>
      <c r="C46" s="92">
        <f t="shared" si="7"/>
        <v>172.48141215360434</v>
      </c>
      <c r="D46" s="111">
        <f>('15,25-5'!$O$11*'15,25-5'!$O$12+'15,25-5'!$Q$11*'15,25-5'!$Q$12)</f>
        <v>343.5</v>
      </c>
      <c r="E46" s="42">
        <f>(SUM($D$44:D45)/$H$64)</f>
        <v>114.5</v>
      </c>
      <c r="F46" s="52">
        <f t="shared" si="8"/>
        <v>94.14927261227072</v>
      </c>
      <c r="G46" s="30">
        <f t="shared" si="9"/>
        <v>3.62112586970272</v>
      </c>
      <c r="H46" s="93">
        <f t="shared" si="10"/>
        <v>232.01215547271505</v>
      </c>
      <c r="I46" s="92">
        <f>(E46-'15,25-5'!J25)*$F$32</f>
        <v>-56.151268807545485</v>
      </c>
      <c r="J46" s="92">
        <f>('15,25-5'!P25-'15,25-5'!M25)*$F$32</f>
        <v>10.676339891862018</v>
      </c>
      <c r="K46" s="93">
        <f t="shared" si="11"/>
        <v>127.00648323792088</v>
      </c>
      <c r="M46" s="374">
        <f aca="true" t="shared" si="12" ref="M46:M53">M12</f>
        <v>171.5264423076933</v>
      </c>
      <c r="N46" s="374">
        <f>SUM($H$44:H46)-SUM($K$44:K46)</f>
        <v>157.50850835219126</v>
      </c>
      <c r="O46" s="9">
        <f>('15,25-5'!$Q$8-'15,25-5'!$Q$11)*'15,25-5'!$I$7</f>
        <v>37.5</v>
      </c>
      <c r="P46" s="42">
        <f>((SUM(O44:O45))*'15,25-5'!$P$15)/'15,25-5'!$K$16</f>
        <v>25</v>
      </c>
    </row>
    <row r="47" spans="1:16" ht="12.75">
      <c r="A47" s="14">
        <v>2006</v>
      </c>
      <c r="B47" s="128">
        <f t="shared" si="6"/>
        <v>297.83369999999996</v>
      </c>
      <c r="C47" s="92">
        <f t="shared" si="7"/>
        <v>154.84944582079498</v>
      </c>
      <c r="D47" s="111">
        <f>('15,25-5'!$O$11*'15,25-5'!$O$12+'15,25-5'!$Q$11*'15,25-5'!$Q$12)</f>
        <v>343.5</v>
      </c>
      <c r="E47" s="42">
        <f>(SUM($D$44:D46)/$H$64)</f>
        <v>171.75</v>
      </c>
      <c r="F47" s="52">
        <f t="shared" si="8"/>
        <v>141.22390891840607</v>
      </c>
      <c r="G47" s="30">
        <f t="shared" si="9"/>
        <v>5.43168880455408</v>
      </c>
      <c r="H47" s="93">
        <f t="shared" si="10"/>
        <v>244.14556079946104</v>
      </c>
      <c r="I47" s="92">
        <f>(E47-'15,25-5'!J26)*$F$32</f>
        <v>-59.53074331911072</v>
      </c>
      <c r="J47" s="92">
        <f>('15,25-5'!P26-'15,25-5'!M26)*$F$32</f>
        <v>16.014509837793025</v>
      </c>
      <c r="K47" s="93">
        <f t="shared" si="11"/>
        <v>111.3332123394773</v>
      </c>
      <c r="M47" s="374">
        <f t="shared" si="12"/>
        <v>314.9487179487187</v>
      </c>
      <c r="N47" s="374">
        <f>SUM($H$44:H47)-SUM($K$44:K47)</f>
        <v>290.32085681217495</v>
      </c>
      <c r="O47" s="9">
        <f>('15,25-5'!$Q$8-'15,25-5'!$Q$11)*'15,25-5'!$I$7</f>
        <v>37.5</v>
      </c>
      <c r="P47" s="42">
        <f>((SUM(O45:O46))*'15,25-5'!$P$15)/'15,25-5'!$K$16</f>
        <v>25</v>
      </c>
    </row>
    <row r="48" spans="1:16" ht="12.75">
      <c r="A48" s="14">
        <v>2007</v>
      </c>
      <c r="B48" s="128">
        <f t="shared" si="6"/>
        <v>261.3062</v>
      </c>
      <c r="C48" s="92">
        <f t="shared" si="7"/>
        <v>135.85809886368742</v>
      </c>
      <c r="D48" s="111">
        <f>('15,25-5'!$O$11*'15,25-5'!$O$12+'15,25-5'!$Q$11*'15,25-5'!$Q$12)</f>
        <v>343.5</v>
      </c>
      <c r="E48" s="42">
        <f>(SUM($D$44:D47)/$H$64)</f>
        <v>229</v>
      </c>
      <c r="F48" s="52">
        <f t="shared" si="8"/>
        <v>188.29854522454144</v>
      </c>
      <c r="G48" s="30">
        <f t="shared" si="9"/>
        <v>7.24225173940544</v>
      </c>
      <c r="H48" s="93">
        <f t="shared" si="10"/>
        <v>254.91958550190884</v>
      </c>
      <c r="I48" s="92">
        <f>(E48-'15,25-5'!J27)*$F$32</f>
        <v>-62.910217830675954</v>
      </c>
      <c r="J48" s="92">
        <f>('15,25-5'!P27-'15,25-5'!M27)*$F$32</f>
        <v>21.352679783724035</v>
      </c>
      <c r="K48" s="93">
        <f t="shared" si="11"/>
        <v>94.3005608167355</v>
      </c>
      <c r="M48" s="374">
        <f t="shared" si="12"/>
        <v>487.44230769230853</v>
      </c>
      <c r="N48" s="374">
        <f>SUM($H$44:H48)-SUM($K$44:K48)</f>
        <v>450.93988149734844</v>
      </c>
      <c r="O48" s="9">
        <f>('15,25-5'!$Q$8-'15,25-5'!$Q$11)*'15,25-5'!$I$7</f>
        <v>37.5</v>
      </c>
      <c r="P48" s="42">
        <f>((SUM(O46:O47))*'15,25-5'!$P$15)/'15,25-5'!$K$16</f>
        <v>25</v>
      </c>
    </row>
    <row r="49" spans="1:16" ht="12.75">
      <c r="A49" s="14">
        <v>2008</v>
      </c>
      <c r="B49" s="128">
        <f t="shared" si="6"/>
        <v>226.54739999999998</v>
      </c>
      <c r="C49" s="92">
        <f t="shared" si="7"/>
        <v>117.78633291713452</v>
      </c>
      <c r="D49" s="111">
        <f>('15,25-5'!$O$11*'15,25-5'!$O$12+'15,25-5'!$Q$11*'15,25-5'!$Q$12)</f>
        <v>343.5</v>
      </c>
      <c r="E49" s="42">
        <f>(SUM($D$44:D48)/$H$64)</f>
        <v>286.25</v>
      </c>
      <c r="F49" s="52">
        <f t="shared" si="8"/>
        <v>235.3731815306768</v>
      </c>
      <c r="G49" s="30">
        <f t="shared" si="9"/>
        <v>9.0528146742568</v>
      </c>
      <c r="H49" s="93">
        <f t="shared" si="10"/>
        <v>266.6131912149113</v>
      </c>
      <c r="I49" s="92">
        <f>(E49-'15,25-5'!J28)*$F$32</f>
        <v>-33.1448461711206</v>
      </c>
      <c r="J49" s="92">
        <f>('15,25-5'!P28-'15,25-5'!M28)*$F$32</f>
        <v>39.643740393149784</v>
      </c>
      <c r="K49" s="93">
        <f t="shared" si="11"/>
        <v>124.28522713916371</v>
      </c>
      <c r="M49" s="374">
        <f t="shared" si="12"/>
        <v>637.5539833523726</v>
      </c>
      <c r="N49" s="374">
        <f>SUM($H$44:H49)-SUM($K$44:K49)</f>
        <v>593.267845573096</v>
      </c>
      <c r="O49" s="9">
        <f>('15,25-5'!$Q$8-'15,25-5'!$Q$11)*'15,25-5'!$I$7</f>
        <v>37.5</v>
      </c>
      <c r="P49" s="42">
        <f>((SUM(O47:O48))*'15,25-5'!$P$15)/'15,25-5'!$K$16</f>
        <v>25</v>
      </c>
    </row>
    <row r="50" spans="1:16" ht="12.75">
      <c r="A50" s="14">
        <v>2009</v>
      </c>
      <c r="B50" s="128">
        <f t="shared" si="6"/>
        <v>197.3254</v>
      </c>
      <c r="C50" s="92">
        <f t="shared" si="7"/>
        <v>102.59325535144848</v>
      </c>
      <c r="D50" s="111">
        <f>('15,25-5'!$O$11*'15,25-5'!$O$12+'15,25-5'!$Q$11*'15,25-5'!$Q$12)</f>
        <v>343.5</v>
      </c>
      <c r="E50" s="42">
        <f>(SUM(D44:D49)/$H$64)</f>
        <v>343.5</v>
      </c>
      <c r="F50" s="52">
        <f t="shared" si="8"/>
        <v>282.44781783681213</v>
      </c>
      <c r="G50" s="30">
        <f t="shared" si="9"/>
        <v>10.86337760910816</v>
      </c>
      <c r="H50" s="93">
        <f t="shared" si="10"/>
        <v>281.1854853087806</v>
      </c>
      <c r="I50" s="92">
        <f>(E50-'15,25-5'!J29)*$F$32</f>
        <v>-3.3794745115652374</v>
      </c>
      <c r="J50" s="92">
        <f>('15,25-5'!P29-'15,25-5'!M29)*$F$32</f>
        <v>57.93480100257554</v>
      </c>
      <c r="K50" s="93">
        <f t="shared" si="11"/>
        <v>157.14858184245878</v>
      </c>
      <c r="M50" s="374">
        <f t="shared" si="12"/>
        <v>765.2837449289073</v>
      </c>
      <c r="N50" s="374">
        <f>SUM($H$44:H50)-SUM($K$44:K50)</f>
        <v>717.3047490394179</v>
      </c>
      <c r="O50" s="3"/>
      <c r="P50" s="42">
        <f>((SUM(O48:O49))*'15,25-5'!$P$15)/'15,25-5'!$K$16</f>
        <v>25</v>
      </c>
    </row>
    <row r="51" spans="1:16" ht="12.75">
      <c r="A51" s="14">
        <v>2010</v>
      </c>
      <c r="B51" s="128">
        <f t="shared" si="6"/>
        <v>171.4101</v>
      </c>
      <c r="C51" s="92">
        <f t="shared" si="7"/>
        <v>89.119394457669</v>
      </c>
      <c r="D51" s="111">
        <f>('15,25-5'!$O$11*'15,25-5'!$O$12+'15,25-5'!$Q$11*'15,25-5'!$Q$12)</f>
        <v>343.5</v>
      </c>
      <c r="E51" s="42">
        <f aca="true" t="shared" si="13" ref="E51:E58">(SUM(D45:D50)/$H$64)</f>
        <v>343.5</v>
      </c>
      <c r="F51" s="52">
        <f t="shared" si="8"/>
        <v>282.44781783681213</v>
      </c>
      <c r="G51" s="30">
        <f t="shared" si="9"/>
        <v>10.86337760910816</v>
      </c>
      <c r="H51" s="93">
        <f t="shared" si="10"/>
        <v>267.7116244150012</v>
      </c>
      <c r="I51" s="92">
        <f>(E51-'15,25-5'!J30)*$F$32</f>
        <v>54.46153155176286</v>
      </c>
      <c r="J51" s="92">
        <f>('15,25-5'!P30-'15,25-5'!M30)*$F$32</f>
        <v>70.8876916660703</v>
      </c>
      <c r="K51" s="93">
        <f t="shared" si="11"/>
        <v>214.46861767550217</v>
      </c>
      <c r="M51" s="374">
        <f t="shared" si="12"/>
        <v>813.4561116526893</v>
      </c>
      <c r="N51" s="374">
        <f>SUM($H$44:H51)-SUM($K$44:K51)</f>
        <v>770.5477557789168</v>
      </c>
      <c r="O51" s="3"/>
      <c r="P51" s="42">
        <f>((SUM(O49:O50))*'15,25-5'!$P$15)/'15,25-5'!$K$16</f>
        <v>12.5</v>
      </c>
    </row>
    <row r="52" spans="1:16" ht="12.75">
      <c r="A52" s="14">
        <v>2011</v>
      </c>
      <c r="B52" s="128">
        <f t="shared" si="6"/>
        <v>149.3398</v>
      </c>
      <c r="C52" s="92">
        <f t="shared" si="7"/>
        <v>77.64462271726926</v>
      </c>
      <c r="D52" s="111">
        <f>('15,25-5'!$O$11*'15,25-5'!$O$12+'15,25-5'!$Q$11*'15,25-5'!$Q$12)</f>
        <v>343.5</v>
      </c>
      <c r="E52" s="42">
        <f t="shared" si="13"/>
        <v>343.5</v>
      </c>
      <c r="F52" s="52">
        <f t="shared" si="8"/>
        <v>282.44781783681213</v>
      </c>
      <c r="G52" s="30">
        <f t="shared" si="9"/>
        <v>10.86337760910816</v>
      </c>
      <c r="H52" s="93">
        <f t="shared" si="10"/>
        <v>256.2368526746014</v>
      </c>
      <c r="I52" s="92">
        <f>(E52-'15,25-5'!J31)*$F$32</f>
        <v>112.30253761509097</v>
      </c>
      <c r="J52" s="92">
        <f>('15,25-5'!P31-'15,25-5'!M31)*$F$32</f>
        <v>83.84058232956502</v>
      </c>
      <c r="K52" s="93">
        <f t="shared" si="11"/>
        <v>273.7877426619252</v>
      </c>
      <c r="M52" s="374">
        <f t="shared" si="12"/>
        <v>782.0710835237114</v>
      </c>
      <c r="N52" s="374">
        <f>SUM($H$44:H52)-SUM($K$44:K52)</f>
        <v>752.9968657915929</v>
      </c>
      <c r="O52" s="3"/>
      <c r="P52" s="42">
        <f>((SUM(O50:O51))*'15,25-5'!$P$15)/'15,25-5'!$K$16</f>
        <v>0</v>
      </c>
    </row>
    <row r="53" spans="1:16" ht="12.75">
      <c r="A53" s="14">
        <v>2012</v>
      </c>
      <c r="B53" s="128">
        <f t="shared" si="6"/>
        <v>124.1935</v>
      </c>
      <c r="C53" s="92">
        <f t="shared" si="7"/>
        <v>64.57057965416574</v>
      </c>
      <c r="D53" s="111">
        <f>('15,25-5'!$O$11*'15,25-5'!$O$12+'15,25-5'!$Q$11*'15,25-5'!$Q$12)</f>
        <v>343.5</v>
      </c>
      <c r="E53" s="42">
        <f t="shared" si="13"/>
        <v>343.5</v>
      </c>
      <c r="F53" s="52">
        <f t="shared" si="8"/>
        <v>282.44781783681213</v>
      </c>
      <c r="G53" s="30">
        <f t="shared" si="9"/>
        <v>10.86337760910816</v>
      </c>
      <c r="H53" s="93">
        <f t="shared" si="10"/>
        <v>243.1628096114979</v>
      </c>
      <c r="I53" s="92">
        <f>(E53-'15,25-5'!J32)*$F$32</f>
        <v>145.44738378621156</v>
      </c>
      <c r="J53" s="92">
        <f>('15,25-5'!P32-'15,25-5'!M32)*$F$32</f>
        <v>96.7934729930598</v>
      </c>
      <c r="K53" s="93">
        <f t="shared" si="11"/>
        <v>306.81143643343705</v>
      </c>
      <c r="M53" s="374">
        <f t="shared" si="12"/>
        <v>699.2328272086379</v>
      </c>
      <c r="N53" s="374">
        <f>SUM($H$44:H53)-SUM($K$44:K53)</f>
        <v>689.3482389696537</v>
      </c>
      <c r="O53" s="3"/>
      <c r="P53" s="3"/>
    </row>
    <row r="54" spans="1:16" ht="12.75">
      <c r="A54" s="14">
        <v>2013</v>
      </c>
      <c r="B54" s="128">
        <f t="shared" si="6"/>
        <v>102.5846</v>
      </c>
      <c r="C54" s="92">
        <f t="shared" si="7"/>
        <v>53.335698612171576</v>
      </c>
      <c r="D54" s="111">
        <f>('15,25-5'!$O$11*'15,25-5'!$O$12+'15,25-5'!$Q$11*'15,25-5'!$Q$12)</f>
        <v>343.5</v>
      </c>
      <c r="E54" s="42">
        <f t="shared" si="13"/>
        <v>343.5</v>
      </c>
      <c r="F54" s="52">
        <f t="shared" si="8"/>
        <v>282.44781783681213</v>
      </c>
      <c r="G54" s="30">
        <f t="shared" si="9"/>
        <v>10.86337760910816</v>
      </c>
      <c r="H54" s="93">
        <f t="shared" si="10"/>
        <v>231.92792856950373</v>
      </c>
      <c r="I54" s="92">
        <f>(E54-'15,25-5'!J33)*$F$32</f>
        <v>178.59222995733217</v>
      </c>
      <c r="J54" s="92">
        <f>('15,25-5'!P33-'15,25-5'!M33)*$F$32</f>
        <v>109.74636365655455</v>
      </c>
      <c r="K54" s="93">
        <f t="shared" si="11"/>
        <v>341.6742922260583</v>
      </c>
      <c r="M54" s="374">
        <f>M20</f>
        <v>564.941342707476</v>
      </c>
      <c r="N54" s="374">
        <f>SUM($H$44:H54)-SUM($K$44:K54)</f>
        <v>579.6018753130993</v>
      </c>
      <c r="O54" s="3"/>
      <c r="P54" s="3"/>
    </row>
    <row r="55" spans="1:16" ht="12.75">
      <c r="A55" s="14">
        <v>2014</v>
      </c>
      <c r="B55" s="129">
        <f>B54*(B54/B53)</f>
        <v>84.7355147987616</v>
      </c>
      <c r="C55" s="92">
        <f t="shared" si="7"/>
        <v>44.055617305657506</v>
      </c>
      <c r="D55" s="111">
        <f>('15,25-5'!$O$11*'15,25-5'!$O$12+'15,25-5'!$Q$11*'15,25-5'!$Q$12)</f>
        <v>343.5</v>
      </c>
      <c r="E55" s="42">
        <f t="shared" si="13"/>
        <v>343.5</v>
      </c>
      <c r="F55" s="52">
        <f t="shared" si="8"/>
        <v>282.44781783681213</v>
      </c>
      <c r="G55" s="30">
        <f t="shared" si="9"/>
        <v>10.86337760910816</v>
      </c>
      <c r="H55" s="93">
        <f t="shared" si="10"/>
        <v>222.64784726298964</v>
      </c>
      <c r="I55" s="92">
        <f>(E55-'15,25-5'!J34)*$F$32</f>
        <v>178.59222995733217</v>
      </c>
      <c r="J55" s="92">
        <f>('15,25-5'!P34-'15,25-5'!M34)*$F$32</f>
        <v>109.74636365655455</v>
      </c>
      <c r="K55" s="93">
        <f t="shared" si="11"/>
        <v>332.3942109195442</v>
      </c>
      <c r="M55" s="374">
        <f>M22</f>
        <v>430.6498582063141</v>
      </c>
      <c r="N55" s="374">
        <f>SUM($H$44:H55)-SUM($K$44:K55)</f>
        <v>469.8555116565449</v>
      </c>
      <c r="O55" s="3"/>
      <c r="P55" s="3"/>
    </row>
    <row r="56" spans="1:16" ht="12.75">
      <c r="A56" s="14">
        <v>2015</v>
      </c>
      <c r="B56" s="129">
        <f>B55*(B55/B54)</f>
        <v>69.99205990188729</v>
      </c>
      <c r="C56" s="92">
        <f t="shared" si="7"/>
        <v>36.39021268467314</v>
      </c>
      <c r="D56" s="111">
        <f>('15,25-5'!$O$11*'15,25-5'!$O$12+'15,25-5'!$Q$11*'15,25-5'!$Q$12)</f>
        <v>343.5</v>
      </c>
      <c r="E56" s="42">
        <f t="shared" si="13"/>
        <v>343.5</v>
      </c>
      <c r="F56" s="52">
        <f t="shared" si="8"/>
        <v>282.44781783681213</v>
      </c>
      <c r="G56" s="30">
        <f t="shared" si="9"/>
        <v>10.86337760910816</v>
      </c>
      <c r="H56" s="93">
        <f t="shared" si="10"/>
        <v>214.98244264200528</v>
      </c>
      <c r="I56" s="92">
        <f>(E56-'15,25-5'!J35)*$F$32</f>
        <v>178.59222995733217</v>
      </c>
      <c r="J56" s="92">
        <f>('15,25-5'!P35-'15,25-5'!M35)*$F$32</f>
        <v>91.4553030471288</v>
      </c>
      <c r="K56" s="93">
        <f t="shared" si="11"/>
        <v>306.4377456891341</v>
      </c>
      <c r="M56" s="374">
        <f>M23</f>
        <v>318.74028778867796</v>
      </c>
      <c r="N56" s="374">
        <f>SUM($H$44:H56)-SUM($K$44:K56)</f>
        <v>378.40020860941604</v>
      </c>
      <c r="O56" s="3"/>
      <c r="P56" s="3"/>
    </row>
    <row r="57" spans="1:16" ht="12.75">
      <c r="A57" s="14">
        <v>2016</v>
      </c>
      <c r="B57" s="129">
        <f>B56*(B56/B55)</f>
        <v>57.81387486632671</v>
      </c>
      <c r="C57" s="92">
        <f t="shared" si="7"/>
        <v>30.058541003934337</v>
      </c>
      <c r="D57" s="111">
        <f>('15,25-5'!$O$11*'15,25-5'!$O$12+'15,25-5'!$Q$11*'15,25-5'!$Q$12)</f>
        <v>343.5</v>
      </c>
      <c r="E57" s="42">
        <f t="shared" si="13"/>
        <v>343.5</v>
      </c>
      <c r="F57" s="52">
        <f t="shared" si="8"/>
        <v>282.44781783681213</v>
      </c>
      <c r="G57" s="30">
        <f t="shared" si="9"/>
        <v>10.86337760910816</v>
      </c>
      <c r="H57" s="93">
        <f t="shared" si="10"/>
        <v>208.65077096126652</v>
      </c>
      <c r="I57" s="92">
        <f>(E57-'15,25-5'!J36)*$F$32</f>
        <v>178.59222995733217</v>
      </c>
      <c r="J57" s="92">
        <f>('15,25-5'!P36-'15,25-5'!M36)*$F$32</f>
        <v>73.16424243770304</v>
      </c>
      <c r="K57" s="93">
        <f t="shared" si="11"/>
        <v>281.81501339896954</v>
      </c>
      <c r="M57" s="374">
        <f>M24</f>
        <v>229.21263145456032</v>
      </c>
      <c r="N57" s="374">
        <f>SUM($H$44:H57)-SUM($K$44:K57)</f>
        <v>305.23596617171324</v>
      </c>
      <c r="O57" s="3"/>
      <c r="P57" s="3"/>
    </row>
    <row r="58" spans="1:16" ht="13.5" thickBot="1">
      <c r="A58" s="14">
        <v>2017</v>
      </c>
      <c r="B58" s="164">
        <f>B57*(B57/B56)</f>
        <v>47.754618620235185</v>
      </c>
      <c r="C58" s="78">
        <f t="shared" si="7"/>
        <v>24.82854099024669</v>
      </c>
      <c r="D58" s="165">
        <f>('15,25-5'!$O$11*'15,25-5'!$O$12+'15,25-5'!$Q$11*'15,25-5'!$Q$12)</f>
        <v>343.5</v>
      </c>
      <c r="E58" s="58">
        <f t="shared" si="13"/>
        <v>343.5</v>
      </c>
      <c r="F58" s="166">
        <f t="shared" si="8"/>
        <v>282.44781783681213</v>
      </c>
      <c r="G58" s="57">
        <f t="shared" si="9"/>
        <v>10.86337760910816</v>
      </c>
      <c r="H58" s="94">
        <f t="shared" si="10"/>
        <v>203.42077094757886</v>
      </c>
      <c r="I58" s="78">
        <f>(E58-'15,25-5'!J37)*$F$32</f>
        <v>178.59222995733217</v>
      </c>
      <c r="J58" s="78">
        <f>('15,25-5'!P37-'15,25-5'!M37)*$F$32</f>
        <v>54.873181828277275</v>
      </c>
      <c r="K58" s="94">
        <f t="shared" si="11"/>
        <v>258.29395277585616</v>
      </c>
      <c r="M58" s="374">
        <f>M25</f>
        <v>162.066889203983</v>
      </c>
      <c r="N58" s="374">
        <f>SUM($H$44:H58)-SUM($K$44:K58)</f>
        <v>250.36278434343603</v>
      </c>
      <c r="O58" s="56"/>
      <c r="P58" s="56"/>
    </row>
    <row r="59" spans="1:16" ht="13.5" thickTop="1">
      <c r="A59" s="14" t="s">
        <v>104</v>
      </c>
      <c r="B59" s="85">
        <f aca="true" t="shared" si="14" ref="B59:K59">SUM(B44:B58)</f>
        <v>2866.052568187211</v>
      </c>
      <c r="C59" s="92">
        <f t="shared" si="14"/>
        <v>1490.1156312299643</v>
      </c>
      <c r="D59" s="128">
        <f t="shared" si="14"/>
        <v>5152.5</v>
      </c>
      <c r="E59" s="85">
        <f t="shared" si="14"/>
        <v>3950.25</v>
      </c>
      <c r="F59" s="85">
        <f t="shared" si="14"/>
        <v>3248.14990512334</v>
      </c>
      <c r="G59" s="85">
        <f t="shared" si="14"/>
        <v>124.9288425047438</v>
      </c>
      <c r="H59" s="93">
        <f t="shared" si="14"/>
        <v>3543.9262757392844</v>
      </c>
      <c r="I59" s="92">
        <f t="shared" si="14"/>
        <v>961.9804176959354</v>
      </c>
      <c r="J59" s="92">
        <f t="shared" si="14"/>
        <v>841.4674424699488</v>
      </c>
      <c r="K59" s="93">
        <f t="shared" si="14"/>
        <v>3293.5634913958484</v>
      </c>
      <c r="M59" s="374"/>
      <c r="N59" s="374"/>
      <c r="O59" s="85">
        <f>SUM(O44:O58)</f>
        <v>225</v>
      </c>
      <c r="P59" s="85">
        <f>SUM(P44:P58)</f>
        <v>150</v>
      </c>
    </row>
    <row r="60" spans="1:11" ht="12.75">
      <c r="A60" s="95" t="s">
        <v>202</v>
      </c>
      <c r="B60" s="336">
        <v>0.07</v>
      </c>
      <c r="C60" s="337">
        <f>NPV($B$60,C44:C58)</f>
        <v>1055.406574521517</v>
      </c>
      <c r="D60" s="338"/>
      <c r="E60" s="86"/>
      <c r="F60" s="120"/>
      <c r="G60" s="120"/>
      <c r="H60" s="339">
        <f>NPV($B$60,H44:H58)</f>
        <v>2157.517740461533</v>
      </c>
      <c r="I60" s="337">
        <f>NPV($B$60,I44:I58)</f>
        <v>354.1471839223887</v>
      </c>
      <c r="J60" s="337">
        <f>NPV($B$60,J44:J58)</f>
        <v>426.46229914397105</v>
      </c>
      <c r="K60" s="339">
        <f>NPV($B$60,K44:K58)</f>
        <v>1836.0160575878772</v>
      </c>
    </row>
    <row r="61" spans="1:11" ht="12.75">
      <c r="A61" s="79"/>
      <c r="B61" s="115"/>
      <c r="C61" s="234"/>
      <c r="D61" s="83"/>
      <c r="E61" s="85"/>
      <c r="F61" s="3"/>
      <c r="G61" s="3"/>
      <c r="H61" s="234"/>
      <c r="I61" s="234"/>
      <c r="J61" s="234"/>
      <c r="K61" s="234"/>
    </row>
    <row r="62" spans="1:11" ht="12.75">
      <c r="A62" s="134" t="s">
        <v>0</v>
      </c>
      <c r="B62" s="340"/>
      <c r="C62" s="341"/>
      <c r="D62" s="342"/>
      <c r="E62" s="225"/>
      <c r="F62" s="89"/>
      <c r="G62" s="89"/>
      <c r="H62" s="341"/>
      <c r="I62" s="341"/>
      <c r="J62" s="341"/>
      <c r="K62" s="343"/>
    </row>
    <row r="63" spans="1:11" ht="12.75">
      <c r="A63" s="79" t="s">
        <v>329</v>
      </c>
      <c r="B63" s="3"/>
      <c r="C63" s="3"/>
      <c r="D63" s="3"/>
      <c r="E63" s="3"/>
      <c r="F63" s="3"/>
      <c r="G63" s="3"/>
      <c r="H63" s="3"/>
      <c r="I63" s="92"/>
      <c r="J63" s="99">
        <v>0.0769</v>
      </c>
      <c r="K63" s="344"/>
    </row>
    <row r="64" spans="1:11" ht="12.75">
      <c r="A64" s="79" t="s">
        <v>333</v>
      </c>
      <c r="B64" s="3"/>
      <c r="C64" s="3"/>
      <c r="D64" s="3"/>
      <c r="E64" s="3"/>
      <c r="F64" s="54">
        <f>(('15,25-5'!O12*K65/'15,25-5'!O13)+('15,25-5'!Q12*K65/'15,25-5'!Q13))/2</f>
        <v>6.1794956411737205</v>
      </c>
      <c r="G64" s="9" t="s">
        <v>334</v>
      </c>
      <c r="H64" s="32">
        <f>ROUND(F64,0)</f>
        <v>6</v>
      </c>
      <c r="I64" s="92"/>
      <c r="J64" s="335"/>
      <c r="K64" s="344"/>
    </row>
    <row r="65" spans="1:11" ht="12.75">
      <c r="A65" s="392" t="s">
        <v>330</v>
      </c>
      <c r="B65" s="393"/>
      <c r="C65" s="48">
        <v>26</v>
      </c>
      <c r="D65" s="120" t="s">
        <v>46</v>
      </c>
      <c r="E65" s="393" t="s">
        <v>331</v>
      </c>
      <c r="F65" s="393"/>
      <c r="G65" s="48">
        <v>5.62</v>
      </c>
      <c r="H65" s="120" t="s">
        <v>46</v>
      </c>
      <c r="I65" s="458" t="s">
        <v>332</v>
      </c>
      <c r="J65" s="458"/>
      <c r="K65" s="345">
        <f>(1-(G65/(C65+G65)))</f>
        <v>0.8222643896268185</v>
      </c>
    </row>
    <row r="66" spans="5:10" ht="12.75">
      <c r="E66" s="3"/>
      <c r="F66" s="3"/>
      <c r="G66" s="3"/>
      <c r="H66" s="3"/>
      <c r="I66" s="3"/>
      <c r="J66" s="3"/>
    </row>
    <row r="67" spans="1:10" ht="12.75">
      <c r="A67" s="134" t="s">
        <v>346</v>
      </c>
      <c r="B67" s="89"/>
      <c r="C67" s="89"/>
      <c r="D67" s="89"/>
      <c r="E67" s="89"/>
      <c r="F67" s="89"/>
      <c r="G67" s="89"/>
      <c r="H67" s="89"/>
      <c r="I67" s="91"/>
      <c r="J67" s="3"/>
    </row>
    <row r="68" spans="1:10" ht="12.75">
      <c r="A68" s="79" t="s">
        <v>358</v>
      </c>
      <c r="B68" s="3"/>
      <c r="C68" s="3"/>
      <c r="D68" s="3"/>
      <c r="E68" s="32"/>
      <c r="F68" s="3"/>
      <c r="G68" s="3"/>
      <c r="H68" s="3"/>
      <c r="I68" s="80"/>
      <c r="J68" s="3"/>
    </row>
    <row r="69" spans="1:10" ht="12.75">
      <c r="A69" s="95" t="s">
        <v>359</v>
      </c>
      <c r="B69" s="120"/>
      <c r="C69" s="120"/>
      <c r="D69" s="120"/>
      <c r="E69" s="346"/>
      <c r="F69" s="120"/>
      <c r="G69" s="346"/>
      <c r="H69" s="86"/>
      <c r="I69" s="97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2" ht="12.75">
      <c r="D72" s="3"/>
    </row>
    <row r="74" ht="12.75">
      <c r="D74" s="3"/>
    </row>
  </sheetData>
  <mergeCells count="23">
    <mergeCell ref="A65:B65"/>
    <mergeCell ref="E65:F65"/>
    <mergeCell ref="I65:J65"/>
    <mergeCell ref="F6:H6"/>
    <mergeCell ref="F7:H7"/>
    <mergeCell ref="I40:J40"/>
    <mergeCell ref="E42:F42"/>
    <mergeCell ref="D39:H39"/>
    <mergeCell ref="I39:K39"/>
    <mergeCell ref="A37:K37"/>
    <mergeCell ref="A1:K1"/>
    <mergeCell ref="D40:G40"/>
    <mergeCell ref="D7:E7"/>
    <mergeCell ref="C31:E31"/>
    <mergeCell ref="C32:E32"/>
    <mergeCell ref="B7:C7"/>
    <mergeCell ref="D41:G41"/>
    <mergeCell ref="T2:U2"/>
    <mergeCell ref="I5:K5"/>
    <mergeCell ref="I6:K6"/>
    <mergeCell ref="B6:E6"/>
    <mergeCell ref="A3:K3"/>
    <mergeCell ref="M8:N8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8" width="12.7109375" style="0" customWidth="1"/>
    <col min="9" max="9" width="32.7109375" style="0" customWidth="1"/>
  </cols>
  <sheetData>
    <row r="1" spans="1:9" ht="18">
      <c r="A1" s="409" t="s">
        <v>207</v>
      </c>
      <c r="B1" s="409"/>
      <c r="C1" s="409"/>
      <c r="D1" s="409"/>
      <c r="E1" s="409"/>
      <c r="F1" s="409"/>
      <c r="G1" s="409"/>
      <c r="H1" s="409"/>
      <c r="I1" s="409"/>
    </row>
    <row r="2" spans="1:9" ht="12.75">
      <c r="A2" s="410" t="s">
        <v>208</v>
      </c>
      <c r="B2" s="410"/>
      <c r="C2" s="410"/>
      <c r="D2" s="410"/>
      <c r="E2" s="410"/>
      <c r="F2" s="410"/>
      <c r="G2" s="410"/>
      <c r="H2" s="410"/>
      <c r="I2" s="410"/>
    </row>
    <row r="3" spans="1:9" ht="12.75">
      <c r="A3" s="239" t="s">
        <v>209</v>
      </c>
      <c r="B3" s="240"/>
      <c r="C3" s="411" t="s">
        <v>210</v>
      </c>
      <c r="D3" s="412"/>
      <c r="E3" s="411" t="s">
        <v>211</v>
      </c>
      <c r="F3" s="412"/>
      <c r="G3" s="411" t="s">
        <v>212</v>
      </c>
      <c r="H3" s="412"/>
      <c r="I3" s="241" t="s">
        <v>213</v>
      </c>
    </row>
    <row r="4" spans="2:9" ht="12.75">
      <c r="B4" s="3"/>
      <c r="C4" s="134"/>
      <c r="D4" s="3"/>
      <c r="E4" s="3"/>
      <c r="F4" s="3"/>
      <c r="G4" s="3"/>
      <c r="H4" s="3"/>
      <c r="I4" s="242"/>
    </row>
    <row r="5" spans="1:9" ht="15.75">
      <c r="A5" s="79" t="s">
        <v>214</v>
      </c>
      <c r="B5" s="9" t="s">
        <v>215</v>
      </c>
      <c r="C5" s="206">
        <v>25</v>
      </c>
      <c r="D5" s="3" t="s">
        <v>216</v>
      </c>
      <c r="E5" s="9">
        <f>27.06-(0.3/2)</f>
        <v>26.91</v>
      </c>
      <c r="F5" s="3"/>
      <c r="G5" s="9">
        <f>29.5-(0.31/2)</f>
        <v>29.345</v>
      </c>
      <c r="H5" s="3"/>
      <c r="I5" s="243" t="s">
        <v>217</v>
      </c>
    </row>
    <row r="6" spans="1:9" ht="12.75">
      <c r="A6" s="244"/>
      <c r="B6" s="9"/>
      <c r="C6" s="14"/>
      <c r="D6" s="3"/>
      <c r="E6" s="3"/>
      <c r="F6" s="3"/>
      <c r="G6" s="3"/>
      <c r="H6" s="3"/>
      <c r="I6" s="245"/>
    </row>
    <row r="7" spans="1:9" ht="15.75">
      <c r="A7" s="79" t="s">
        <v>131</v>
      </c>
      <c r="B7" s="9" t="s">
        <v>218</v>
      </c>
      <c r="C7" s="14">
        <v>-0.72</v>
      </c>
      <c r="D7" s="3"/>
      <c r="E7" s="9">
        <f>C7</f>
        <v>-0.72</v>
      </c>
      <c r="F7" s="9"/>
      <c r="G7" s="9">
        <f>C7</f>
        <v>-0.72</v>
      </c>
      <c r="H7" s="3"/>
      <c r="I7" s="242" t="s">
        <v>219</v>
      </c>
    </row>
    <row r="8" spans="1:9" ht="12.75">
      <c r="A8" s="79"/>
      <c r="B8" s="9"/>
      <c r="C8" s="14"/>
      <c r="D8" s="3"/>
      <c r="E8" s="3"/>
      <c r="F8" s="3"/>
      <c r="G8" s="3"/>
      <c r="H8" s="3"/>
      <c r="I8" s="243"/>
    </row>
    <row r="9" spans="1:9" ht="12.75">
      <c r="A9" s="79" t="s">
        <v>127</v>
      </c>
      <c r="B9" s="9" t="s">
        <v>220</v>
      </c>
      <c r="C9" s="246">
        <v>3.5</v>
      </c>
      <c r="D9" s="3" t="s">
        <v>181</v>
      </c>
      <c r="E9" s="118">
        <v>3.5</v>
      </c>
      <c r="F9" s="3" t="s">
        <v>181</v>
      </c>
      <c r="G9" s="118">
        <v>3.5</v>
      </c>
      <c r="H9" s="3" t="s">
        <v>181</v>
      </c>
      <c r="I9" s="243" t="s">
        <v>221</v>
      </c>
    </row>
    <row r="10" spans="2:9" ht="12.75">
      <c r="B10" s="9"/>
      <c r="C10" s="14"/>
      <c r="D10" s="3"/>
      <c r="E10" s="3"/>
      <c r="F10" s="3"/>
      <c r="G10" s="3"/>
      <c r="H10" s="3"/>
      <c r="I10" s="243"/>
    </row>
    <row r="11" spans="1:9" ht="15.75">
      <c r="A11" s="79" t="s">
        <v>222</v>
      </c>
      <c r="B11" s="9" t="s">
        <v>223</v>
      </c>
      <c r="C11" s="206">
        <v>25</v>
      </c>
      <c r="D11" s="3" t="s">
        <v>216</v>
      </c>
      <c r="E11" s="9">
        <f>26.76+(0.3/2)</f>
        <v>26.91</v>
      </c>
      <c r="F11" s="3"/>
      <c r="G11" s="9">
        <f>29.19+(0.31/2)</f>
        <v>29.345000000000002</v>
      </c>
      <c r="H11" s="3"/>
      <c r="I11" s="243" t="s">
        <v>217</v>
      </c>
    </row>
    <row r="12" spans="1:9" ht="12.75">
      <c r="A12" s="244"/>
      <c r="B12" s="9"/>
      <c r="C12" s="247"/>
      <c r="D12" s="3"/>
      <c r="E12" s="3"/>
      <c r="F12" s="3"/>
      <c r="G12" s="3"/>
      <c r="H12" s="3"/>
      <c r="I12" s="245"/>
    </row>
    <row r="13" spans="1:9" ht="15.75">
      <c r="A13" s="95" t="s">
        <v>129</v>
      </c>
      <c r="B13" s="48" t="s">
        <v>224</v>
      </c>
      <c r="C13" s="248">
        <f>I33</f>
        <v>1.093769198837692</v>
      </c>
      <c r="D13" s="120" t="s">
        <v>225</v>
      </c>
      <c r="E13" s="249">
        <f>C13</f>
        <v>1.093769198837692</v>
      </c>
      <c r="F13" s="48"/>
      <c r="G13" s="249">
        <f>C13</f>
        <v>1.093769198837692</v>
      </c>
      <c r="H13" s="120"/>
      <c r="I13" s="250" t="s">
        <v>226</v>
      </c>
    </row>
    <row r="14" spans="1:9" ht="13.5" thickBot="1">
      <c r="A14" s="251" t="s">
        <v>227</v>
      </c>
      <c r="B14" s="211"/>
      <c r="C14" s="405"/>
      <c r="D14" s="406"/>
      <c r="E14" s="279"/>
      <c r="F14" s="252"/>
      <c r="G14" s="279"/>
      <c r="H14" s="253"/>
      <c r="I14" s="254"/>
    </row>
    <row r="15" spans="1:9" ht="13.5" thickBot="1">
      <c r="A15" s="134" t="s">
        <v>228</v>
      </c>
      <c r="B15" s="88" t="s">
        <v>229</v>
      </c>
      <c r="C15" s="278">
        <v>0.147</v>
      </c>
      <c r="D15" s="89" t="s">
        <v>216</v>
      </c>
      <c r="E15" s="280">
        <v>0.229</v>
      </c>
      <c r="F15" s="89" t="s">
        <v>216</v>
      </c>
      <c r="G15" s="280">
        <v>0.145</v>
      </c>
      <c r="H15" s="89" t="s">
        <v>216</v>
      </c>
      <c r="I15" s="255" t="s">
        <v>230</v>
      </c>
    </row>
    <row r="16" spans="1:9" ht="12.75">
      <c r="A16" s="79"/>
      <c r="B16" s="3"/>
      <c r="C16" s="79"/>
      <c r="D16" s="3"/>
      <c r="E16" s="3"/>
      <c r="F16" s="3"/>
      <c r="G16" s="3"/>
      <c r="H16" s="80"/>
      <c r="I16" s="242"/>
    </row>
    <row r="17" spans="1:9" ht="12.75">
      <c r="A17" s="79" t="s">
        <v>231</v>
      </c>
      <c r="B17" s="256" t="s">
        <v>232</v>
      </c>
      <c r="C17" s="257">
        <v>-0.011306</v>
      </c>
      <c r="D17" s="3" t="s">
        <v>181</v>
      </c>
      <c r="E17" s="258">
        <v>-0.016337</v>
      </c>
      <c r="F17" s="3" t="s">
        <v>181</v>
      </c>
      <c r="G17" s="258">
        <v>-0.009507</v>
      </c>
      <c r="H17" s="80" t="s">
        <v>181</v>
      </c>
      <c r="I17" s="259" t="s">
        <v>233</v>
      </c>
    </row>
    <row r="18" spans="1:9" ht="12.75">
      <c r="A18" s="14" t="s">
        <v>126</v>
      </c>
      <c r="B18" s="3"/>
      <c r="C18" s="79"/>
      <c r="D18" s="3"/>
      <c r="E18" s="3"/>
      <c r="F18" s="3"/>
      <c r="G18" s="3"/>
      <c r="H18" s="80"/>
      <c r="I18" s="242"/>
    </row>
    <row r="19" spans="1:9" ht="15.75">
      <c r="A19" s="244" t="s">
        <v>234</v>
      </c>
      <c r="B19" s="9" t="s">
        <v>235</v>
      </c>
      <c r="C19" s="260">
        <f>((C$5/C$9)*(C$7*C17))+C$5</f>
        <v>25.058145142857143</v>
      </c>
      <c r="D19" s="3" t="s">
        <v>216</v>
      </c>
      <c r="E19" s="261">
        <f>((E$5/E$9)*(E$7*E17))+E$5</f>
        <v>27.000437897828572</v>
      </c>
      <c r="F19" s="3" t="s">
        <v>216</v>
      </c>
      <c r="G19" s="261">
        <f>((G$5/G$9)*(G$7*G17))+G$5</f>
        <v>29.402390771085713</v>
      </c>
      <c r="H19" s="80" t="s">
        <v>216</v>
      </c>
      <c r="I19" s="259" t="s">
        <v>236</v>
      </c>
    </row>
    <row r="20" spans="1:9" ht="15.75">
      <c r="A20" s="244" t="s">
        <v>237</v>
      </c>
      <c r="B20" s="9" t="s">
        <v>238</v>
      </c>
      <c r="C20" s="260">
        <f>(((C$11+C15)/C$9)*(C$13*C17))+(C$11+C15)</f>
        <v>25.058150946065116</v>
      </c>
      <c r="D20" s="3" t="s">
        <v>216</v>
      </c>
      <c r="E20" s="261">
        <f>(((E$11+E15)/E$9)*(E$13*E17))+(E$11+E15)</f>
        <v>27.000444492009457</v>
      </c>
      <c r="F20" s="3" t="s">
        <v>216</v>
      </c>
      <c r="G20" s="261">
        <f>(((G$11+G15)/G$9)*(G$13*G17))+(G$11+G15)</f>
        <v>29.402385515235405</v>
      </c>
      <c r="H20" s="3" t="s">
        <v>216</v>
      </c>
      <c r="I20" s="259" t="s">
        <v>239</v>
      </c>
    </row>
    <row r="21" spans="1:9" ht="12.75">
      <c r="A21" s="14"/>
      <c r="B21" s="107"/>
      <c r="C21" s="297">
        <f>C17/C22</f>
        <v>-0.00019444444444444506</v>
      </c>
      <c r="D21" s="3"/>
      <c r="E21" s="297">
        <f>E17/E22</f>
        <v>-0.00018064329658532436</v>
      </c>
      <c r="F21" s="3"/>
      <c r="G21" s="297">
        <f>G17/G22</f>
        <v>-0.000165653811930861</v>
      </c>
      <c r="H21" s="3"/>
      <c r="I21" s="262"/>
    </row>
    <row r="22" spans="1:9" ht="12.75">
      <c r="A22" s="155" t="s">
        <v>240</v>
      </c>
      <c r="B22" s="256" t="s">
        <v>241</v>
      </c>
      <c r="C22" s="129">
        <f>(C19-C$5)*1000</f>
        <v>58.14514285714267</v>
      </c>
      <c r="D22" s="3" t="s">
        <v>242</v>
      </c>
      <c r="E22" s="22">
        <f>(E19-E$5)*1000</f>
        <v>90.43789782857203</v>
      </c>
      <c r="F22" s="3" t="s">
        <v>242</v>
      </c>
      <c r="G22" s="22">
        <f>(G19-G$5)*1000</f>
        <v>57.39077108571422</v>
      </c>
      <c r="H22" s="3" t="s">
        <v>242</v>
      </c>
      <c r="I22" s="259" t="s">
        <v>243</v>
      </c>
    </row>
    <row r="23" spans="1:9" ht="12.75">
      <c r="A23" s="79" t="s">
        <v>244</v>
      </c>
      <c r="B23" s="3"/>
      <c r="C23" s="263">
        <f>C22/(C15*1000)</f>
        <v>0.39554518950437195</v>
      </c>
      <c r="D23" s="264"/>
      <c r="E23" s="99">
        <f>E22/(E15*1000)</f>
        <v>0.39492531802869885</v>
      </c>
      <c r="F23" s="264"/>
      <c r="G23" s="99">
        <f>G22/(G15*1000)</f>
        <v>0.39579842128078774</v>
      </c>
      <c r="H23" s="3"/>
      <c r="I23" s="265" t="s">
        <v>245</v>
      </c>
    </row>
    <row r="24" spans="1:9" ht="12.75">
      <c r="A24" s="155" t="s">
        <v>246</v>
      </c>
      <c r="B24" s="73" t="s">
        <v>247</v>
      </c>
      <c r="C24" s="266">
        <f>C9+C17</f>
        <v>3.488694</v>
      </c>
      <c r="D24" s="3" t="s">
        <v>181</v>
      </c>
      <c r="E24" s="267">
        <f>E9+E17</f>
        <v>3.483663</v>
      </c>
      <c r="F24" s="3" t="s">
        <v>181</v>
      </c>
      <c r="G24" s="267">
        <f>G9+G17</f>
        <v>3.490493</v>
      </c>
      <c r="H24" s="3" t="s">
        <v>181</v>
      </c>
      <c r="I24" s="268" t="s">
        <v>248</v>
      </c>
    </row>
    <row r="25" spans="1:9" ht="12.75">
      <c r="A25" s="79" t="s">
        <v>249</v>
      </c>
      <c r="B25" s="73" t="s">
        <v>250</v>
      </c>
      <c r="C25" s="246">
        <f>3.25/6</f>
        <v>0.5416666666666666</v>
      </c>
      <c r="D25" s="3" t="s">
        <v>181</v>
      </c>
      <c r="E25" s="118">
        <f>3.25/6</f>
        <v>0.5416666666666666</v>
      </c>
      <c r="F25" s="3" t="s">
        <v>181</v>
      </c>
      <c r="G25" s="118">
        <f>3.25/6</f>
        <v>0.5416666666666666</v>
      </c>
      <c r="H25" s="3" t="s">
        <v>181</v>
      </c>
      <c r="I25" s="268" t="s">
        <v>251</v>
      </c>
    </row>
    <row r="26" spans="1:9" ht="12.75">
      <c r="A26" s="95" t="s">
        <v>252</v>
      </c>
      <c r="B26" s="269" t="s">
        <v>253</v>
      </c>
      <c r="C26" s="276">
        <f>(C22*C25/2)</f>
        <v>15.747642857142806</v>
      </c>
      <c r="D26" s="120" t="s">
        <v>169</v>
      </c>
      <c r="E26" s="277">
        <f>(E22*E25/2)</f>
        <v>24.493597328571592</v>
      </c>
      <c r="F26" s="120" t="s">
        <v>169</v>
      </c>
      <c r="G26" s="277">
        <f>(G22*G25/2)</f>
        <v>15.543333835714266</v>
      </c>
      <c r="H26" s="120" t="s">
        <v>169</v>
      </c>
      <c r="I26" s="270" t="s">
        <v>254</v>
      </c>
    </row>
    <row r="27" ht="12.75">
      <c r="D27" s="271"/>
    </row>
    <row r="29" spans="7:9" ht="12.75">
      <c r="G29" s="407" t="s">
        <v>255</v>
      </c>
      <c r="H29" s="407"/>
      <c r="I29" s="407"/>
    </row>
    <row r="30" spans="7:9" ht="14.25">
      <c r="G30" s="103" t="s">
        <v>256</v>
      </c>
      <c r="H30" s="9" t="s">
        <v>257</v>
      </c>
      <c r="I30" s="54">
        <v>1.08</v>
      </c>
    </row>
    <row r="31" spans="7:9" ht="14.25">
      <c r="G31" s="103" t="s">
        <v>258</v>
      </c>
      <c r="H31" s="9" t="s">
        <v>257</v>
      </c>
      <c r="I31" s="54">
        <v>0.5</v>
      </c>
    </row>
    <row r="32" spans="7:9" ht="14.25">
      <c r="G32" s="103" t="s">
        <v>259</v>
      </c>
      <c r="H32" s="9" t="s">
        <v>257</v>
      </c>
      <c r="I32" s="54">
        <v>1.61</v>
      </c>
    </row>
    <row r="33" spans="7:9" ht="12.75">
      <c r="G33" s="408" t="s">
        <v>260</v>
      </c>
      <c r="H33" s="408"/>
      <c r="I33" s="272">
        <f>(I30*H36+I31*H37+I32*H38)/H39</f>
        <v>1.093769198837692</v>
      </c>
    </row>
    <row r="35" spans="6:9" ht="12.75">
      <c r="F35" s="408" t="s">
        <v>261</v>
      </c>
      <c r="G35" s="408"/>
      <c r="H35" s="408"/>
      <c r="I35" s="408"/>
    </row>
    <row r="36" spans="7:9" ht="12.75">
      <c r="G36" s="103" t="s">
        <v>256</v>
      </c>
      <c r="H36" s="54">
        <f>14.84+0.1+0.44</f>
        <v>15.379999999999999</v>
      </c>
      <c r="I36" s="3" t="s">
        <v>216</v>
      </c>
    </row>
    <row r="37" spans="7:9" ht="12.75">
      <c r="G37" s="103" t="s">
        <v>258</v>
      </c>
      <c r="H37" s="54">
        <v>3.86</v>
      </c>
      <c r="I37" s="3" t="s">
        <v>216</v>
      </c>
    </row>
    <row r="38" spans="7:9" ht="13.5" thickBot="1">
      <c r="G38" s="103" t="s">
        <v>259</v>
      </c>
      <c r="H38" s="273">
        <f>4.85</f>
        <v>4.85</v>
      </c>
      <c r="I38" s="3" t="s">
        <v>216</v>
      </c>
    </row>
    <row r="39" spans="7:9" ht="13.5" thickTop="1">
      <c r="G39" s="274" t="s">
        <v>90</v>
      </c>
      <c r="H39" s="104">
        <f>H36+H37+H38</f>
        <v>24.089999999999996</v>
      </c>
      <c r="I39" s="3" t="s">
        <v>216</v>
      </c>
    </row>
    <row r="40" spans="7:8" ht="12.75">
      <c r="G40" s="73"/>
      <c r="H40" s="69"/>
    </row>
    <row r="41" ht="12.75">
      <c r="G41" s="1"/>
    </row>
    <row r="42" spans="7:9" ht="12.75">
      <c r="G42" s="1"/>
      <c r="H42" s="1"/>
      <c r="I42" s="275">
        <v>37698</v>
      </c>
    </row>
  </sheetData>
  <mergeCells count="9">
    <mergeCell ref="A1:I1"/>
    <mergeCell ref="A2:I2"/>
    <mergeCell ref="C3:D3"/>
    <mergeCell ref="E3:F3"/>
    <mergeCell ref="G3:H3"/>
    <mergeCell ref="C14:D14"/>
    <mergeCell ref="G29:I29"/>
    <mergeCell ref="G33:H33"/>
    <mergeCell ref="F35:I35"/>
  </mergeCells>
  <printOptions/>
  <pageMargins left="0.54" right="0.34" top="0.69" bottom="0.5" header="0.5" footer="0.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A1" sqref="A1:R1"/>
    </sheetView>
  </sheetViews>
  <sheetFormatPr defaultColWidth="9.140625" defaultRowHeight="12.75"/>
  <cols>
    <col min="1" max="1" width="9.7109375" style="0" customWidth="1"/>
    <col min="2" max="2" width="14.8515625" style="0" customWidth="1"/>
    <col min="3" max="3" width="10.7109375" style="0" customWidth="1"/>
    <col min="4" max="4" width="14.28125" style="0" customWidth="1"/>
    <col min="5" max="5" width="11.7109375" style="0" customWidth="1"/>
    <col min="6" max="6" width="10.8515625" style="0" customWidth="1"/>
    <col min="7" max="7" width="2.7109375" style="0" customWidth="1"/>
    <col min="8" max="8" width="9.8515625" style="0" customWidth="1"/>
    <col min="9" max="9" width="12.57421875" style="0" customWidth="1"/>
    <col min="10" max="10" width="9.28125" style="0" bestFit="1" customWidth="1"/>
    <col min="11" max="11" width="9.7109375" style="0" bestFit="1" customWidth="1"/>
    <col min="12" max="12" width="9.28125" style="0" bestFit="1" customWidth="1"/>
    <col min="13" max="13" width="11.7109375" style="0" bestFit="1" customWidth="1"/>
    <col min="14" max="15" width="12.7109375" style="0" customWidth="1"/>
    <col min="16" max="16" width="10.7109375" style="0" bestFit="1" customWidth="1"/>
    <col min="17" max="17" width="13.00390625" style="0" customWidth="1"/>
    <col min="18" max="18" width="11.57421875" style="0" bestFit="1" customWidth="1"/>
    <col min="19" max="19" width="10.57421875" style="0" bestFit="1" customWidth="1"/>
    <col min="21" max="21" width="11.28125" style="0" bestFit="1" customWidth="1"/>
    <col min="22" max="22" width="9.7109375" style="0" bestFit="1" customWidth="1"/>
    <col min="23" max="23" width="9.7109375" style="0" customWidth="1"/>
    <col min="24" max="24" width="10.140625" style="0" customWidth="1"/>
    <col min="25" max="25" width="9.57421875" style="0" bestFit="1" customWidth="1"/>
  </cols>
  <sheetData>
    <row r="1" spans="1:25" ht="20.25">
      <c r="A1" s="384" t="s">
        <v>153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21"/>
      <c r="T1" s="221"/>
      <c r="U1" s="221"/>
      <c r="V1" s="221"/>
      <c r="W1" s="221"/>
      <c r="X1" s="221"/>
      <c r="Y1" s="221"/>
    </row>
    <row r="2" spans="1:25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Y2" s="146"/>
    </row>
    <row r="3" spans="1:23" ht="15" customHeight="1" thickBot="1">
      <c r="A3" s="380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  <c r="S3" s="127"/>
      <c r="T3" s="127"/>
      <c r="U3" s="84"/>
      <c r="V3" s="84"/>
      <c r="W3" s="84"/>
    </row>
    <row r="4" spans="1:18" ht="15" customHeight="1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386" t="s">
        <v>142</v>
      </c>
      <c r="N4" s="387"/>
      <c r="O4" s="387"/>
      <c r="P4" s="387"/>
      <c r="Q4" s="387"/>
      <c r="R4" s="388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15</v>
      </c>
      <c r="J5" s="3" t="s">
        <v>3</v>
      </c>
      <c r="K5" t="s">
        <v>152</v>
      </c>
      <c r="L5" s="158">
        <f>I5/3</f>
        <v>5</v>
      </c>
      <c r="M5" s="3" t="s">
        <v>55</v>
      </c>
      <c r="N5" s="3"/>
      <c r="O5" s="407" t="s">
        <v>56</v>
      </c>
      <c r="P5" s="407"/>
      <c r="Q5" s="420" t="s">
        <v>57</v>
      </c>
      <c r="R5" s="421"/>
    </row>
    <row r="6" spans="1:18" ht="12.75" customHeight="1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25</v>
      </c>
      <c r="J6" s="3" t="s">
        <v>3</v>
      </c>
      <c r="K6" t="s">
        <v>152</v>
      </c>
      <c r="L6" s="169">
        <f>I6/5+I7*(4/5)</f>
        <v>9</v>
      </c>
      <c r="M6" s="3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2.75" customHeight="1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5</v>
      </c>
      <c r="J7" s="3" t="s">
        <v>3</v>
      </c>
      <c r="L7" s="171">
        <f>L5+L6</f>
        <v>14</v>
      </c>
      <c r="M7" s="113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13" t="s">
        <v>63</v>
      </c>
      <c r="N8" s="9"/>
      <c r="O8" s="42">
        <f>O11/(369/1147)</f>
        <v>37.30081300813008</v>
      </c>
      <c r="P8" s="42"/>
      <c r="Q8" s="34">
        <f>Q11/(48/168)</f>
        <v>10.5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13" t="s">
        <v>64</v>
      </c>
      <c r="N9" s="9"/>
      <c r="O9" s="3"/>
      <c r="P9" s="43">
        <f>P11/(1/3)</f>
        <v>54</v>
      </c>
      <c r="Q9" s="79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13" t="s">
        <v>65</v>
      </c>
      <c r="N10" s="9"/>
      <c r="O10" s="9"/>
      <c r="P10" s="44"/>
      <c r="Q10" s="79"/>
      <c r="R10" s="45">
        <f>R11/(1/5)</f>
        <v>35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3.979249011857708</v>
      </c>
      <c r="L11" s="154">
        <f>ROUND(K11,0)</f>
        <v>4</v>
      </c>
      <c r="M11" s="113" t="s">
        <v>66</v>
      </c>
      <c r="N11" s="9"/>
      <c r="O11" s="9">
        <v>12</v>
      </c>
      <c r="P11" s="43">
        <v>18</v>
      </c>
      <c r="Q11" s="34">
        <v>3</v>
      </c>
      <c r="R11" s="45">
        <v>7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6.723908918406072</v>
      </c>
      <c r="L12" s="80"/>
      <c r="M12" s="113" t="s">
        <v>78</v>
      </c>
      <c r="N12" s="9"/>
      <c r="O12" s="9">
        <v>21</v>
      </c>
      <c r="P12" s="46">
        <v>45.5</v>
      </c>
      <c r="Q12" s="14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7.609570667486681</v>
      </c>
      <c r="L13" s="80"/>
      <c r="M13" s="107" t="s">
        <v>133</v>
      </c>
      <c r="N13" s="3"/>
      <c r="O13" s="9">
        <v>2.5</v>
      </c>
      <c r="P13" s="158">
        <f>((O11*O13)+((P11-O11)*O13*P14))/(P11)</f>
        <v>3.3333333333333335</v>
      </c>
      <c r="Q13" s="9">
        <v>4.6</v>
      </c>
      <c r="R13" s="53">
        <f>((Q11*Q13)+((R11-Q11)*Q13*P14))/R11</f>
        <v>7.228571428571428</v>
      </c>
      <c r="AA13" s="107"/>
      <c r="AB13" s="107"/>
      <c r="AC13" s="107"/>
      <c r="AD13" s="289"/>
      <c r="AE13" s="107"/>
      <c r="AF13" s="107"/>
      <c r="AG13" s="107"/>
      <c r="AH13" s="107"/>
      <c r="AI13" s="288"/>
    </row>
    <row r="14" spans="1:35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7.244445844927021</v>
      </c>
      <c r="L14" s="154">
        <f>ROUND(K14,0)</f>
        <v>7</v>
      </c>
      <c r="M14" s="3" t="s">
        <v>112</v>
      </c>
      <c r="N14" s="3"/>
      <c r="O14" s="3"/>
      <c r="P14" s="73">
        <v>2</v>
      </c>
      <c r="Q14" s="3"/>
      <c r="R14" s="40">
        <f>P14</f>
        <v>2</v>
      </c>
      <c r="AA14" s="107"/>
      <c r="AB14" s="107"/>
      <c r="AC14" s="107"/>
      <c r="AD14" s="107"/>
      <c r="AE14" s="107"/>
      <c r="AF14" s="107"/>
      <c r="AG14" s="107"/>
      <c r="AH14" s="107"/>
      <c r="AI14" s="107"/>
    </row>
    <row r="15" spans="1:35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80"/>
      <c r="M15" s="74" t="s">
        <v>132</v>
      </c>
      <c r="N15" s="3"/>
      <c r="O15" s="3"/>
      <c r="P15" s="115">
        <f>2/3</f>
        <v>0.6666666666666666</v>
      </c>
      <c r="Q15" s="125">
        <f>(R10-R11)*P15</f>
        <v>18.666666666666664</v>
      </c>
      <c r="R15" s="40">
        <f>ROUND(Q15,0)</f>
        <v>19</v>
      </c>
      <c r="AA15" s="107"/>
      <c r="AB15" s="107"/>
      <c r="AC15" s="107"/>
      <c r="AD15" s="289"/>
      <c r="AE15" s="107"/>
      <c r="AF15" s="107"/>
      <c r="AG15" s="107"/>
      <c r="AH15" s="107"/>
      <c r="AI15" s="288"/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49" t="s">
        <v>154</v>
      </c>
      <c r="N16" s="12"/>
      <c r="O16" s="12"/>
      <c r="P16" s="12"/>
      <c r="Q16" s="12"/>
      <c r="R16" s="150">
        <v>1</v>
      </c>
    </row>
    <row r="17" spans="1:18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25" ht="13.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  <c r="W18" s="127"/>
      <c r="X18" s="127"/>
      <c r="Y18" s="127"/>
    </row>
    <row r="19" spans="1:25" ht="12.75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  <c r="W19" s="9"/>
      <c r="X19" s="141"/>
      <c r="Y19" s="9"/>
    </row>
    <row r="20" spans="1:29" ht="12.75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195</v>
      </c>
      <c r="L20" s="15" t="s">
        <v>25</v>
      </c>
      <c r="M20" s="14" t="s">
        <v>26</v>
      </c>
      <c r="N20" s="392" t="s">
        <v>196</v>
      </c>
      <c r="O20" s="394"/>
      <c r="P20" s="17" t="s">
        <v>195</v>
      </c>
      <c r="Q20" s="15" t="s">
        <v>29</v>
      </c>
      <c r="R20" s="294" t="s">
        <v>279</v>
      </c>
      <c r="AB20" s="9"/>
      <c r="AC20" s="9"/>
    </row>
    <row r="21" spans="1:29" ht="12.75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AB21" s="73"/>
      <c r="AC21" s="73"/>
    </row>
    <row r="22" spans="1:29" ht="13.5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AB22" s="9"/>
      <c r="AC22" s="9"/>
    </row>
    <row r="23" spans="1:29" ht="12.75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34">
        <f>$Q$60</f>
        <v>255</v>
      </c>
      <c r="I23" s="28">
        <f>$Q$61</f>
        <v>95</v>
      </c>
      <c r="J23" s="73">
        <v>0</v>
      </c>
      <c r="K23" s="35">
        <f>$Q$68</f>
        <v>477.3333333333333</v>
      </c>
      <c r="L23" s="29">
        <f>$Q$63</f>
        <v>190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2" ref="P23:P40">M23+N23+$C$15*O23</f>
        <v>0</v>
      </c>
      <c r="Q23" s="33">
        <f aca="true" t="shared" si="3" ref="Q23:Q40">(($D$9-$D$10)*$C$11*(1-$E$11)*(N23-J23))+(($D$9-$D$10)*$J$8*$C$11*(1-$E$11)*O23)</f>
        <v>0</v>
      </c>
      <c r="R23" s="75">
        <f>J23*$I$15</f>
        <v>0</v>
      </c>
      <c r="AB23" s="115"/>
      <c r="AC23" s="115"/>
    </row>
    <row r="24" spans="1:29" ht="12.75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34">
        <f aca="true" t="shared" si="4" ref="H24:I28">H23</f>
        <v>255</v>
      </c>
      <c r="I24" s="28">
        <f t="shared" si="4"/>
        <v>95</v>
      </c>
      <c r="J24" s="34">
        <f>(SUM($H$23:H23)/$L$11)+(SUM($I$23:I23)/$K$16)</f>
        <v>111.25</v>
      </c>
      <c r="K24" s="35">
        <f aca="true" t="shared" si="5" ref="K24:L28">K23</f>
        <v>477.3333333333333</v>
      </c>
      <c r="L24" s="30">
        <f t="shared" si="5"/>
        <v>190</v>
      </c>
      <c r="M24" s="30">
        <f>SUM($L$23:L23)/$L$11</f>
        <v>47.5</v>
      </c>
      <c r="N24" s="30">
        <f>IF($L$11&gt;(A24-$A$24),0,(((((1-($C$15/($C$14+$C$15)))*SUM($K$23:K23)))-SUM($L$23:L23))/$L$14))</f>
        <v>0</v>
      </c>
      <c r="O24" s="30">
        <f aca="true" t="shared" si="6" ref="O24:O40">(M24+N24)/$C$14</f>
        <v>1.8269230769230769</v>
      </c>
      <c r="P24" s="32">
        <f t="shared" si="2"/>
        <v>57.767307692307696</v>
      </c>
      <c r="Q24" s="36">
        <f t="shared" si="3"/>
        <v>-52.34375</v>
      </c>
      <c r="R24" s="75">
        <f aca="true" t="shared" si="7" ref="R24:R33">J24*$I$15</f>
        <v>60.260416666666664</v>
      </c>
      <c r="AB24" s="143"/>
      <c r="AC24" s="143"/>
    </row>
    <row r="25" spans="1:29" ht="12.75">
      <c r="A25" s="1">
        <v>2005</v>
      </c>
      <c r="B25" s="128">
        <f>'Total Roy'!B46</f>
        <v>331.7466</v>
      </c>
      <c r="C25" s="111">
        <f aca="true" t="shared" si="8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34">
        <f t="shared" si="4"/>
        <v>255</v>
      </c>
      <c r="I25" s="28">
        <f t="shared" si="4"/>
        <v>95</v>
      </c>
      <c r="J25" s="34">
        <f>(SUM($H$23:H24)/$L$11)+(SUM(I23:I24)/$K$16)</f>
        <v>222.5</v>
      </c>
      <c r="K25" s="35">
        <f t="shared" si="5"/>
        <v>477.3333333333333</v>
      </c>
      <c r="L25" s="30">
        <f t="shared" si="5"/>
        <v>190</v>
      </c>
      <c r="M25" s="30">
        <f>SUM($L$23:L24)/$L$11</f>
        <v>95</v>
      </c>
      <c r="N25" s="30">
        <f>IF($L$11&gt;(A25-$A$24),0,(((((1-($C$15/($C$14+$C$15)))*SUM($K$23:K24)))-SUM($L$23:L24))/$L$14))</f>
        <v>0</v>
      </c>
      <c r="O25" s="30">
        <f t="shared" si="6"/>
        <v>3.6538461538461537</v>
      </c>
      <c r="P25" s="32">
        <f t="shared" si="2"/>
        <v>115.53461538461539</v>
      </c>
      <c r="Q25" s="36">
        <f t="shared" si="3"/>
        <v>-104.6875</v>
      </c>
      <c r="R25" s="75">
        <f t="shared" si="7"/>
        <v>120.52083333333333</v>
      </c>
      <c r="AB25" s="143"/>
      <c r="AC25" s="143"/>
    </row>
    <row r="26" spans="1:29" ht="12.75">
      <c r="A26" s="1">
        <v>2006</v>
      </c>
      <c r="B26" s="128">
        <f>'Total Roy'!B47</f>
        <v>297.83369999999996</v>
      </c>
      <c r="C26" s="111">
        <f t="shared" si="8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34">
        <f t="shared" si="4"/>
        <v>255</v>
      </c>
      <c r="I26" s="28">
        <f t="shared" si="4"/>
        <v>95</v>
      </c>
      <c r="J26" s="34">
        <f>(SUM($H$23:H25)/$L$11)+(SUM(I24:I25)/$K$16)</f>
        <v>286.25</v>
      </c>
      <c r="K26" s="35">
        <f t="shared" si="5"/>
        <v>477.3333333333333</v>
      </c>
      <c r="L26" s="30">
        <f t="shared" si="5"/>
        <v>190</v>
      </c>
      <c r="M26" s="30">
        <f>SUM($L$23:L25)/$L$11</f>
        <v>142.5</v>
      </c>
      <c r="N26" s="30">
        <f>IF($L$11&gt;(A26-$A$24),0,(((((1-($C$15/($C$14+$C$15)))*SUM($K$23:K25)))-SUM($L$23:L25))/$L$14))</f>
        <v>0</v>
      </c>
      <c r="O26" s="30">
        <f t="shared" si="6"/>
        <v>5.480769230769231</v>
      </c>
      <c r="P26" s="32">
        <f t="shared" si="2"/>
        <v>173.3019230769231</v>
      </c>
      <c r="Q26" s="36">
        <f t="shared" si="3"/>
        <v>-131.30208333333331</v>
      </c>
      <c r="R26" s="75">
        <f t="shared" si="7"/>
        <v>155.05208333333331</v>
      </c>
      <c r="AB26" s="143"/>
      <c r="AC26" s="143"/>
    </row>
    <row r="27" spans="1:29" ht="12.75">
      <c r="A27" s="1">
        <v>2007</v>
      </c>
      <c r="B27" s="128">
        <f>'Total Roy'!B48</f>
        <v>261.3062</v>
      </c>
      <c r="C27" s="111">
        <f t="shared" si="8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34">
        <f t="shared" si="4"/>
        <v>255</v>
      </c>
      <c r="I27" s="28">
        <f t="shared" si="4"/>
        <v>95</v>
      </c>
      <c r="J27" s="34">
        <f aca="true" t="shared" si="9" ref="J27:J33">(SUM(H23:H26)/$L$11)+(SUM(I25:I26)/$K$16)</f>
        <v>350</v>
      </c>
      <c r="K27" s="35">
        <f t="shared" si="5"/>
        <v>477.3333333333333</v>
      </c>
      <c r="L27" s="30">
        <f t="shared" si="5"/>
        <v>190</v>
      </c>
      <c r="M27" s="30">
        <f aca="true" t="shared" si="10" ref="M27:M33">SUM(L23:L26)/$L$11</f>
        <v>190</v>
      </c>
      <c r="N27" s="30">
        <f>IF($L$11&gt;(A27-$A$24),0,(((((1-($C$15/($C$14+$C$15)))*SUM(K23:K26)))-SUM(L23:L26))/$L$14))</f>
        <v>0</v>
      </c>
      <c r="O27" s="30">
        <f t="shared" si="6"/>
        <v>7.3076923076923075</v>
      </c>
      <c r="P27" s="32">
        <f t="shared" si="2"/>
        <v>231.06923076923078</v>
      </c>
      <c r="Q27" s="36">
        <f t="shared" si="3"/>
        <v>-157.91666666666666</v>
      </c>
      <c r="R27" s="75">
        <f t="shared" si="7"/>
        <v>189.58333333333331</v>
      </c>
      <c r="AB27" s="143"/>
      <c r="AC27" s="143"/>
    </row>
    <row r="28" spans="1:29" ht="12.75">
      <c r="A28" s="1">
        <v>2008</v>
      </c>
      <c r="B28" s="128">
        <f>'Total Roy'!B49</f>
        <v>226.54739999999998</v>
      </c>
      <c r="C28" s="111">
        <f t="shared" si="8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34">
        <f t="shared" si="4"/>
        <v>255</v>
      </c>
      <c r="I28" s="28">
        <f t="shared" si="4"/>
        <v>95</v>
      </c>
      <c r="J28" s="34">
        <f t="shared" si="9"/>
        <v>350</v>
      </c>
      <c r="K28" s="35">
        <f t="shared" si="5"/>
        <v>477.3333333333333</v>
      </c>
      <c r="L28" s="30">
        <f t="shared" si="5"/>
        <v>190</v>
      </c>
      <c r="M28" s="30">
        <f t="shared" si="10"/>
        <v>190</v>
      </c>
      <c r="N28" s="30">
        <f>IF($L$11&gt;(A28-$A$24),0,(((((1-($C$15/($C$14+$C$15)))*SUM($K$23:K23)))-SUM($L$23:L23))/$L$14))</f>
        <v>28.92774314026686</v>
      </c>
      <c r="O28" s="30">
        <f t="shared" si="6"/>
        <v>8.420297813087187</v>
      </c>
      <c r="P28" s="32">
        <f t="shared" si="2"/>
        <v>266.24981684981685</v>
      </c>
      <c r="Q28" s="36">
        <f t="shared" si="3"/>
        <v>-137.42618194231096</v>
      </c>
      <c r="R28" s="75">
        <f t="shared" si="7"/>
        <v>189.58333333333331</v>
      </c>
      <c r="AB28" s="143"/>
      <c r="AC28" s="143"/>
    </row>
    <row r="29" spans="1:29" ht="12.75">
      <c r="A29" s="1">
        <v>2009</v>
      </c>
      <c r="B29" s="128">
        <f>'Total Roy'!B50</f>
        <v>197.3254</v>
      </c>
      <c r="C29" s="111">
        <f t="shared" si="8"/>
        <v>343.5</v>
      </c>
      <c r="D29" s="42">
        <f aca="true" t="shared" si="11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9"/>
        <v>350</v>
      </c>
      <c r="K29" s="28">
        <v>0</v>
      </c>
      <c r="L29" s="28">
        <v>0</v>
      </c>
      <c r="M29" s="30">
        <f t="shared" si="10"/>
        <v>190</v>
      </c>
      <c r="N29" s="30">
        <f>IF($L$11&gt;(A29-$A$24),0,(((((1-($C$15/($C$14+$C$15)))*SUM($K$23:K24)))-SUM($L$23:L24))/$L$14))</f>
        <v>57.85548628053372</v>
      </c>
      <c r="O29" s="30">
        <f t="shared" si="6"/>
        <v>9.532903318482067</v>
      </c>
      <c r="P29" s="32">
        <f t="shared" si="2"/>
        <v>301.4304029304029</v>
      </c>
      <c r="Q29" s="36">
        <f t="shared" si="3"/>
        <v>-116.93569721795527</v>
      </c>
      <c r="R29" s="75">
        <f t="shared" si="7"/>
        <v>189.58333333333331</v>
      </c>
      <c r="AB29" s="143"/>
      <c r="AC29" s="143"/>
    </row>
    <row r="30" spans="1:29" ht="12.75">
      <c r="A30" s="1">
        <v>2010</v>
      </c>
      <c r="B30" s="128">
        <f>'Total Roy'!B51</f>
        <v>171.4101</v>
      </c>
      <c r="C30" s="111">
        <f t="shared" si="8"/>
        <v>343.5</v>
      </c>
      <c r="D30" s="42">
        <f t="shared" si="11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9"/>
        <v>238.75</v>
      </c>
      <c r="K30" s="28"/>
      <c r="L30" s="28"/>
      <c r="M30" s="30">
        <f t="shared" si="10"/>
        <v>142.5</v>
      </c>
      <c r="N30" s="30">
        <f>IF($L$11&gt;(A30-$A$24),0,(((((1-($C$15/($C$14+$C$15)))*SUM($K$23:K25)))-SUM($L$23:L25))/$L$14))</f>
        <v>86.78322942080058</v>
      </c>
      <c r="O30" s="30">
        <f t="shared" si="6"/>
        <v>8.818585746953868</v>
      </c>
      <c r="P30" s="32">
        <f t="shared" si="2"/>
        <v>278.8436813186813</v>
      </c>
      <c r="Q30" s="36">
        <f t="shared" si="3"/>
        <v>-44.10146249359959</v>
      </c>
      <c r="R30" s="75">
        <f t="shared" si="7"/>
        <v>129.32291666666666</v>
      </c>
      <c r="AB30" s="143"/>
      <c r="AC30" s="143"/>
    </row>
    <row r="31" spans="1:29" ht="12.75">
      <c r="A31" s="1">
        <v>2011</v>
      </c>
      <c r="B31" s="128">
        <f>'Total Roy'!B52</f>
        <v>149.3398</v>
      </c>
      <c r="C31" s="111">
        <f t="shared" si="8"/>
        <v>343.5</v>
      </c>
      <c r="D31" s="42">
        <f t="shared" si="11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9"/>
        <v>127.5</v>
      </c>
      <c r="K31" s="28"/>
      <c r="L31" s="28"/>
      <c r="M31" s="30">
        <f t="shared" si="10"/>
        <v>95</v>
      </c>
      <c r="N31" s="30">
        <f>IF($L$11&gt;(A31-$A$24),0,(((((1-($C$15/($C$14+$C$15)))*SUM($K$23:K26)))-SUM($L$23:L26))/$L$14))</f>
        <v>115.71097256106744</v>
      </c>
      <c r="O31" s="30">
        <f t="shared" si="6"/>
        <v>8.10426817542567</v>
      </c>
      <c r="P31" s="32">
        <f t="shared" si="2"/>
        <v>256.25695970695966</v>
      </c>
      <c r="Q31" s="36">
        <f t="shared" si="3"/>
        <v>28.732772230756098</v>
      </c>
      <c r="R31" s="75">
        <f t="shared" si="7"/>
        <v>69.0625</v>
      </c>
      <c r="AB31" s="143"/>
      <c r="AC31" s="143"/>
    </row>
    <row r="32" spans="1:29" ht="12.75">
      <c r="A32" s="1">
        <v>2012</v>
      </c>
      <c r="B32" s="128">
        <f>'Total Roy'!B53</f>
        <v>124.1935</v>
      </c>
      <c r="C32" s="111">
        <f t="shared" si="8"/>
        <v>343.5</v>
      </c>
      <c r="D32" s="42">
        <f t="shared" si="11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9"/>
        <v>63.75</v>
      </c>
      <c r="K32" s="28"/>
      <c r="L32" s="28"/>
      <c r="M32" s="30">
        <f t="shared" si="10"/>
        <v>47.5</v>
      </c>
      <c r="N32" s="30">
        <f>IF($L$11&gt;(A32-$A$24),0,(((((1-($C$15/($C$14+$C$15)))*SUM($K$23:K27)))-SUM($L$23:L27))/$L$14))</f>
        <v>144.6387157013343</v>
      </c>
      <c r="O32" s="30">
        <f t="shared" si="6"/>
        <v>7.389950603897473</v>
      </c>
      <c r="P32" s="32">
        <f t="shared" si="2"/>
        <v>233.6702380952381</v>
      </c>
      <c r="Q32" s="36">
        <f t="shared" si="3"/>
        <v>75.83784028844512</v>
      </c>
      <c r="R32" s="75">
        <f t="shared" si="7"/>
        <v>34.53125</v>
      </c>
      <c r="AB32" s="143"/>
      <c r="AC32" s="143"/>
    </row>
    <row r="33" spans="1:29" ht="12.75">
      <c r="A33" s="1">
        <v>2013</v>
      </c>
      <c r="B33" s="128">
        <f>'Total Roy'!B54</f>
        <v>102.5846</v>
      </c>
      <c r="C33" s="111">
        <f t="shared" si="8"/>
        <v>343.5</v>
      </c>
      <c r="D33" s="42">
        <f t="shared" si="11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9"/>
        <v>0</v>
      </c>
      <c r="K33" s="9"/>
      <c r="L33" s="9"/>
      <c r="M33" s="30">
        <f t="shared" si="10"/>
        <v>0</v>
      </c>
      <c r="N33" s="30">
        <f>IF($L$11&gt;(A33-$A$24),0,(((((1-($C$15/($C$14+$C$15)))*SUM($K$23:K28)))-SUM($L$23:L28))/$L$14))</f>
        <v>173.56645884160116</v>
      </c>
      <c r="O33" s="30">
        <f t="shared" si="6"/>
        <v>6.675633032369276</v>
      </c>
      <c r="P33" s="32">
        <f t="shared" si="2"/>
        <v>211.0835164835165</v>
      </c>
      <c r="Q33" s="36">
        <f t="shared" si="3"/>
        <v>122.94290834613415</v>
      </c>
      <c r="R33" s="75">
        <f t="shared" si="7"/>
        <v>0</v>
      </c>
      <c r="AB33" s="143"/>
      <c r="AC33" s="143"/>
    </row>
    <row r="34" spans="1:29" ht="12.75">
      <c r="A34" s="1">
        <v>2014</v>
      </c>
      <c r="B34" s="129">
        <f aca="true" t="shared" si="12" ref="B34:B39">B33*(B33/B32)</f>
        <v>84.7355147987616</v>
      </c>
      <c r="C34" s="111">
        <f t="shared" si="8"/>
        <v>343.5</v>
      </c>
      <c r="D34" s="42">
        <f t="shared" si="11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34"/>
      <c r="K34" s="3"/>
      <c r="L34" s="3"/>
      <c r="M34" s="30"/>
      <c r="N34" s="30">
        <f>IF($L$11&gt;(A34-$A$24),0,(((((1-($C$15/($C$14+$C$15)))*SUM(K23:K29)))-SUM(L23:L29))/$L$14))</f>
        <v>173.56645884160116</v>
      </c>
      <c r="O34" s="30">
        <f t="shared" si="6"/>
        <v>6.675633032369276</v>
      </c>
      <c r="P34" s="32">
        <f t="shared" si="2"/>
        <v>211.0835164835165</v>
      </c>
      <c r="Q34" s="36">
        <f t="shared" si="3"/>
        <v>122.94290834613415</v>
      </c>
      <c r="R34" s="75"/>
      <c r="AB34" s="143"/>
      <c r="AC34" s="143"/>
    </row>
    <row r="35" spans="1:29" ht="12.75">
      <c r="A35" s="1">
        <v>2015</v>
      </c>
      <c r="B35" s="129">
        <f t="shared" si="12"/>
        <v>69.99205990188729</v>
      </c>
      <c r="C35" s="111">
        <f t="shared" si="8"/>
        <v>343.5</v>
      </c>
      <c r="D35" s="42">
        <f t="shared" si="11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3" ref="N35:N40">IF($L$11&gt;(A35-$A$24),0,(((((1-($C$15/($C$14+$C$15)))*SUM(K24:K30)))-SUM(L24:L30))/$L$14))</f>
        <v>144.6387157013343</v>
      </c>
      <c r="O35" s="30">
        <f t="shared" si="6"/>
        <v>5.563027526974396</v>
      </c>
      <c r="P35" s="32">
        <f t="shared" si="2"/>
        <v>175.9029304029304</v>
      </c>
      <c r="Q35" s="36">
        <f t="shared" si="3"/>
        <v>102.45242362177845</v>
      </c>
      <c r="R35" s="75"/>
      <c r="AB35" s="143"/>
      <c r="AC35" s="143"/>
    </row>
    <row r="36" spans="1:29" ht="12.75">
      <c r="A36" s="1">
        <v>2016</v>
      </c>
      <c r="B36" s="129">
        <f t="shared" si="12"/>
        <v>57.81387486632671</v>
      </c>
      <c r="C36" s="111">
        <f t="shared" si="8"/>
        <v>343.5</v>
      </c>
      <c r="D36" s="42">
        <f t="shared" si="11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3"/>
        <v>115.71097256106744</v>
      </c>
      <c r="O36" s="30">
        <f t="shared" si="6"/>
        <v>4.4504220215795165</v>
      </c>
      <c r="P36" s="32">
        <f t="shared" si="2"/>
        <v>140.72234432234433</v>
      </c>
      <c r="Q36" s="36">
        <f t="shared" si="3"/>
        <v>81.96193889742275</v>
      </c>
      <c r="R36" s="75"/>
      <c r="AB36" s="143"/>
      <c r="AC36" s="143"/>
    </row>
    <row r="37" spans="1:29" ht="12.75">
      <c r="A37" s="1">
        <v>2017</v>
      </c>
      <c r="B37" s="129">
        <f t="shared" si="12"/>
        <v>47.754618620235185</v>
      </c>
      <c r="C37" s="111">
        <f t="shared" si="8"/>
        <v>343.5</v>
      </c>
      <c r="D37" s="42">
        <f t="shared" si="11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3"/>
        <v>86.78322942080058</v>
      </c>
      <c r="O37" s="30">
        <f t="shared" si="6"/>
        <v>3.337816516184638</v>
      </c>
      <c r="P37" s="32">
        <f t="shared" si="2"/>
        <v>105.54175824175825</v>
      </c>
      <c r="Q37" s="36">
        <f t="shared" si="3"/>
        <v>61.47145417306707</v>
      </c>
      <c r="AB37" s="143"/>
      <c r="AC37" s="143"/>
    </row>
    <row r="38" spans="1:29" ht="12.75">
      <c r="A38" s="1">
        <v>2018</v>
      </c>
      <c r="B38" s="129">
        <f t="shared" si="12"/>
        <v>39.445610674547204</v>
      </c>
      <c r="C38" s="111">
        <f t="shared" si="8"/>
        <v>343.5</v>
      </c>
      <c r="D38" s="42">
        <f t="shared" si="11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3"/>
        <v>57.85548628053372</v>
      </c>
      <c r="O38" s="30">
        <f t="shared" si="6"/>
        <v>2.2252110107897582</v>
      </c>
      <c r="P38" s="32">
        <f t="shared" si="2"/>
        <v>70.36117216117216</v>
      </c>
      <c r="Q38" s="36">
        <f t="shared" si="3"/>
        <v>40.98096944871138</v>
      </c>
      <c r="AB38" s="143"/>
      <c r="AC38" s="143"/>
    </row>
    <row r="39" spans="1:29" ht="12.75">
      <c r="A39" s="1">
        <v>2019</v>
      </c>
      <c r="B39" s="129">
        <f t="shared" si="12"/>
        <v>32.58231866244332</v>
      </c>
      <c r="C39" s="111">
        <f t="shared" si="8"/>
        <v>343.5</v>
      </c>
      <c r="D39" s="42">
        <f t="shared" si="11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3"/>
        <v>28.92774314026686</v>
      </c>
      <c r="O39" s="30">
        <f t="shared" si="6"/>
        <v>1.1126055053948791</v>
      </c>
      <c r="P39" s="32">
        <f t="shared" si="2"/>
        <v>35.18058608058608</v>
      </c>
      <c r="Q39" s="36">
        <f t="shared" si="3"/>
        <v>20.49048472435569</v>
      </c>
      <c r="AB39" s="143"/>
      <c r="AC39" s="143"/>
    </row>
    <row r="40" spans="1:29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3"/>
        <v>0</v>
      </c>
      <c r="O40" s="57">
        <f t="shared" si="6"/>
        <v>0</v>
      </c>
      <c r="P40" s="59">
        <f t="shared" si="2"/>
        <v>0</v>
      </c>
      <c r="Q40" s="71">
        <f t="shared" si="3"/>
        <v>0</v>
      </c>
      <c r="R40" s="130"/>
      <c r="AB40" s="143"/>
      <c r="AC40" s="143"/>
    </row>
    <row r="41" spans="1:29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1530</v>
      </c>
      <c r="I41" s="85">
        <f>SUM(I23:I40)</f>
        <v>570</v>
      </c>
      <c r="J41" s="85">
        <f aca="true" t="shared" si="14" ref="J41:P41">SUM(J23:J40)</f>
        <v>2100</v>
      </c>
      <c r="K41" s="85">
        <f>SUM(K23:K40)</f>
        <v>2864</v>
      </c>
      <c r="L41" s="85">
        <f t="shared" si="14"/>
        <v>1140</v>
      </c>
      <c r="M41" s="85">
        <f t="shared" si="14"/>
        <v>1140</v>
      </c>
      <c r="N41" s="85">
        <f t="shared" si="14"/>
        <v>1214.9652118912081</v>
      </c>
      <c r="O41" s="85">
        <f t="shared" si="14"/>
        <v>90.57558507273878</v>
      </c>
      <c r="P41" s="85">
        <f t="shared" si="14"/>
        <v>2864</v>
      </c>
      <c r="Q41" s="36">
        <f>SUM(Q23:Q40)</f>
        <v>-86.899641577061</v>
      </c>
      <c r="R41" s="36">
        <f>SUM(R23:R40)</f>
        <v>1137.5</v>
      </c>
      <c r="W41" s="3"/>
      <c r="AB41" s="3"/>
      <c r="AC41" s="3"/>
    </row>
    <row r="42" spans="2:23" ht="12.75">
      <c r="B42" s="79"/>
      <c r="C42" s="9" t="s">
        <v>147</v>
      </c>
      <c r="D42" s="85">
        <f>NPV(O42,D24:D39)</f>
        <v>2509.01384092669</v>
      </c>
      <c r="E42" s="3"/>
      <c r="F42" s="80"/>
      <c r="G42" s="79"/>
      <c r="H42" s="79"/>
      <c r="I42" s="85"/>
      <c r="J42" s="85"/>
      <c r="K42" s="85">
        <f>6*Q69+M41</f>
        <v>2864</v>
      </c>
      <c r="L42" s="3"/>
      <c r="M42" s="411" t="s">
        <v>77</v>
      </c>
      <c r="N42" s="412"/>
      <c r="O42" s="64">
        <v>0.07</v>
      </c>
      <c r="P42" s="65">
        <f>NPV(O42,P24:P39)</f>
        <v>1735.667344260333</v>
      </c>
      <c r="Q42" s="66">
        <f>NPV($O$42,Q24:Q39)</f>
        <v>-267.3632924145818</v>
      </c>
      <c r="R42" s="66">
        <f>NPV($O$42,R24:R39)</f>
        <v>833.7978187966066</v>
      </c>
      <c r="W42" s="3"/>
    </row>
    <row r="43" spans="1:25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2100</v>
      </c>
      <c r="K43" s="86">
        <f>M43+N43+O43</f>
        <v>2864</v>
      </c>
      <c r="L43" s="120"/>
      <c r="M43" s="86">
        <f>M41</f>
        <v>1140</v>
      </c>
      <c r="N43" s="86">
        <f>N41</f>
        <v>1214.9652118912081</v>
      </c>
      <c r="O43" s="136">
        <f>O41*C15</f>
        <v>509.03478810879193</v>
      </c>
      <c r="P43" s="120"/>
      <c r="Q43" s="137"/>
      <c r="V43" s="3"/>
      <c r="W43" s="3"/>
      <c r="X43" s="3"/>
      <c r="Y43" s="3"/>
    </row>
    <row r="44" spans="13:24" ht="6" customHeight="1">
      <c r="M44" s="3"/>
      <c r="N44" s="42"/>
      <c r="O44" s="42"/>
      <c r="P44" s="32"/>
      <c r="Q44" s="61"/>
      <c r="S44" s="98"/>
      <c r="T44" s="98"/>
      <c r="U44" s="37"/>
      <c r="V44" s="63"/>
      <c r="W44" s="63"/>
      <c r="X44" s="75"/>
    </row>
    <row r="45" spans="2:24" ht="13.5" customHeight="1">
      <c r="B45" s="422" t="s">
        <v>141</v>
      </c>
      <c r="C45" s="390"/>
      <c r="D45" s="390"/>
      <c r="E45" s="390"/>
      <c r="F45" s="391"/>
      <c r="I45" s="1" t="s">
        <v>296</v>
      </c>
      <c r="M45" s="3"/>
      <c r="N45" s="42"/>
      <c r="O45" s="42"/>
      <c r="P45" s="32"/>
      <c r="Q45" s="61"/>
      <c r="S45" s="98"/>
      <c r="T45" s="98"/>
      <c r="U45" s="37"/>
      <c r="V45" s="63"/>
      <c r="W45" s="63"/>
      <c r="X45" s="75"/>
    </row>
    <row r="46" spans="2:24" ht="12.75" customHeight="1">
      <c r="B46" s="139" t="s">
        <v>120</v>
      </c>
      <c r="C46" s="9" t="s">
        <v>121</v>
      </c>
      <c r="D46" s="9" t="s">
        <v>122</v>
      </c>
      <c r="E46" s="140" t="s">
        <v>123</v>
      </c>
      <c r="F46" s="1" t="s">
        <v>146</v>
      </c>
      <c r="H46" s="1" t="s">
        <v>294</v>
      </c>
      <c r="I46" s="294" t="s">
        <v>278</v>
      </c>
      <c r="J46" s="208" t="s">
        <v>295</v>
      </c>
      <c r="K46" s="167" t="s">
        <v>151</v>
      </c>
      <c r="L46" s="127"/>
      <c r="M46" s="84"/>
      <c r="N46" s="84"/>
      <c r="O46" s="84"/>
      <c r="Q46" s="168">
        <f>P41/J41</f>
        <v>1.3638095238095238</v>
      </c>
      <c r="R46" s="32"/>
      <c r="S46" s="61"/>
      <c r="T46" s="98"/>
      <c r="U46" s="37"/>
      <c r="V46" s="63"/>
      <c r="W46" s="63"/>
      <c r="X46" s="75"/>
    </row>
    <row r="47" spans="2:24" ht="12.75" customHeight="1" thickBot="1">
      <c r="B47" s="413" t="s">
        <v>109</v>
      </c>
      <c r="C47" s="408"/>
      <c r="D47" s="408"/>
      <c r="E47" s="407" t="s">
        <v>282</v>
      </c>
      <c r="F47" s="407"/>
      <c r="H47" s="9" t="s">
        <v>125</v>
      </c>
      <c r="I47" s="294" t="s">
        <v>280</v>
      </c>
      <c r="J47" s="28" t="s">
        <v>145</v>
      </c>
      <c r="R47" s="298">
        <v>37711</v>
      </c>
      <c r="S47" s="299"/>
      <c r="T47" s="98"/>
      <c r="U47" s="37"/>
      <c r="V47" s="63"/>
      <c r="W47" s="63"/>
      <c r="X47" s="75"/>
    </row>
    <row r="48" spans="2:24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14" t="s">
        <v>79</v>
      </c>
      <c r="L48" s="415"/>
      <c r="M48" s="415"/>
      <c r="N48" s="415"/>
      <c r="O48" s="415"/>
      <c r="P48" s="416"/>
      <c r="R48" s="42"/>
      <c r="S48" s="61"/>
      <c r="T48" s="98"/>
      <c r="U48" s="37"/>
      <c r="V48" s="63"/>
      <c r="W48" s="63"/>
      <c r="X48" s="75"/>
    </row>
    <row r="49" spans="1:24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6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  <c r="R49" s="42"/>
      <c r="S49" s="296"/>
      <c r="T49" s="98"/>
      <c r="U49" s="37"/>
      <c r="V49" s="63"/>
      <c r="W49" s="63"/>
      <c r="X49" s="75"/>
    </row>
    <row r="50" spans="1:24" ht="12.75">
      <c r="A50" s="1">
        <v>2003</v>
      </c>
      <c r="B50" s="14">
        <f aca="true" t="shared" si="15" ref="B50:B66">E23</f>
        <v>0</v>
      </c>
      <c r="C50" s="42">
        <f aca="true" t="shared" si="16" ref="C50:C66">E23+M23+N23</f>
        <v>0</v>
      </c>
      <c r="D50" s="42">
        <f aca="true" t="shared" si="17" ref="D50:D62">C50-E23</f>
        <v>0</v>
      </c>
      <c r="E50" s="22">
        <f>$E$8*D50</f>
        <v>0</v>
      </c>
      <c r="F50" s="1">
        <f aca="true" t="shared" si="18" ref="F50:F67">($D$9*(E50/H50))/$D$6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6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  <c r="R50" s="42"/>
      <c r="S50" s="61"/>
      <c r="T50" s="98"/>
      <c r="U50" s="37"/>
      <c r="V50" s="63"/>
      <c r="W50" s="63"/>
      <c r="X50" s="75"/>
    </row>
    <row r="51" spans="1:24" ht="12.75">
      <c r="A51" s="1">
        <v>2004</v>
      </c>
      <c r="B51" s="34">
        <f t="shared" si="15"/>
        <v>47.07463630613536</v>
      </c>
      <c r="C51" s="42">
        <f t="shared" si="16"/>
        <v>94.57463630613536</v>
      </c>
      <c r="D51" s="42">
        <f t="shared" si="17"/>
        <v>47.5</v>
      </c>
      <c r="E51" s="22">
        <f>$E$8*D51</f>
        <v>18.7625</v>
      </c>
      <c r="F51" s="300">
        <f t="shared" si="18"/>
        <v>-0.0038014628413971957</v>
      </c>
      <c r="H51" s="85">
        <f>22920+3*($H$52-22920)/4</f>
        <v>23992.5</v>
      </c>
      <c r="I51" s="67">
        <f aca="true" t="shared" si="20" ref="I51:I67">H51*-F51</f>
        <v>91.20659722222221</v>
      </c>
      <c r="J51" s="36">
        <f t="shared" si="19"/>
        <v>5.081510416666666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  <c r="R51" s="42"/>
      <c r="S51" s="61"/>
      <c r="T51" s="98"/>
      <c r="U51" s="37"/>
      <c r="V51" s="63"/>
      <c r="W51" s="63"/>
      <c r="X51" s="75"/>
    </row>
    <row r="52" spans="1:24" ht="12.75">
      <c r="A52" s="1">
        <v>2005</v>
      </c>
      <c r="B52" s="34">
        <f t="shared" si="15"/>
        <v>94.14927261227072</v>
      </c>
      <c r="C52" s="42">
        <f t="shared" si="16"/>
        <v>189.14927261227072</v>
      </c>
      <c r="D52" s="42">
        <f t="shared" si="17"/>
        <v>95</v>
      </c>
      <c r="E52" s="22">
        <f>$E$8*D52</f>
        <v>37.525</v>
      </c>
      <c r="F52" s="300">
        <f t="shared" si="18"/>
        <v>-0.007491301619895049</v>
      </c>
      <c r="H52" s="85">
        <f>24.35*1000</f>
        <v>24350</v>
      </c>
      <c r="I52" s="67">
        <f t="shared" si="20"/>
        <v>182.41319444444446</v>
      </c>
      <c r="J52" s="36">
        <f t="shared" si="19"/>
        <v>10.163020833333333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  <c r="R52" s="42"/>
      <c r="S52" s="61"/>
      <c r="T52" s="98"/>
      <c r="U52" s="37"/>
      <c r="V52" s="63"/>
      <c r="W52" s="63"/>
      <c r="X52" s="75"/>
    </row>
    <row r="53" spans="1:24" ht="12.75">
      <c r="A53" s="1">
        <v>2006</v>
      </c>
      <c r="B53" s="34">
        <f t="shared" si="15"/>
        <v>141.22390891840607</v>
      </c>
      <c r="C53" s="42">
        <f t="shared" si="16"/>
        <v>283.7239089184061</v>
      </c>
      <c r="D53" s="42">
        <f t="shared" si="17"/>
        <v>142.50000000000003</v>
      </c>
      <c r="E53" s="22">
        <f aca="true" t="shared" si="21" ref="E53:E67">$E$8*D53</f>
        <v>56.287500000000016</v>
      </c>
      <c r="F53" s="300">
        <f t="shared" si="18"/>
        <v>-0.011005542259941548</v>
      </c>
      <c r="H53" s="85">
        <f>$H$52+($H$57-$H$52)/5</f>
        <v>24862</v>
      </c>
      <c r="I53" s="67">
        <f t="shared" si="20"/>
        <v>273.61979166666674</v>
      </c>
      <c r="J53" s="36">
        <f t="shared" si="19"/>
        <v>15.244531250000003</v>
      </c>
      <c r="K53" s="8" t="s">
        <v>74</v>
      </c>
      <c r="L53" s="9"/>
      <c r="M53" s="3"/>
      <c r="N53" s="3"/>
      <c r="O53" s="54">
        <f>O51+((P11-O11)*P12)/1000</f>
        <v>0.525</v>
      </c>
      <c r="P53" s="55">
        <f>P51+((R11-Q11)*R12)/1000</f>
        <v>0.4807</v>
      </c>
      <c r="R53" s="42"/>
      <c r="S53" s="61"/>
      <c r="T53" s="98"/>
      <c r="U53" s="37"/>
      <c r="V53" s="63"/>
      <c r="W53" s="63"/>
      <c r="X53" s="75"/>
    </row>
    <row r="54" spans="1:24" ht="12.75">
      <c r="A54" s="1">
        <v>2007</v>
      </c>
      <c r="B54" s="34">
        <f t="shared" si="15"/>
        <v>188.29854522454144</v>
      </c>
      <c r="C54" s="42">
        <f t="shared" si="16"/>
        <v>378.29854522454144</v>
      </c>
      <c r="D54" s="42">
        <f t="shared" si="17"/>
        <v>190</v>
      </c>
      <c r="E54" s="22">
        <f t="shared" si="21"/>
        <v>75.05</v>
      </c>
      <c r="F54" s="300">
        <f t="shared" si="18"/>
        <v>-0.014377961255178092</v>
      </c>
      <c r="H54" s="85">
        <f>$H$52+2*($H$57-$H$52)/5</f>
        <v>25374</v>
      </c>
      <c r="I54" s="67">
        <f t="shared" si="20"/>
        <v>364.8263888888889</v>
      </c>
      <c r="J54" s="36">
        <f t="shared" si="19"/>
        <v>20.326041666666665</v>
      </c>
      <c r="K54" s="2" t="s">
        <v>73</v>
      </c>
      <c r="L54" s="3"/>
      <c r="M54" s="3"/>
      <c r="N54" s="9">
        <f>N52</f>
        <v>6</v>
      </c>
      <c r="O54" s="22">
        <f>O53*N54</f>
        <v>3.1500000000000004</v>
      </c>
      <c r="P54" s="53">
        <f>P53*N54</f>
        <v>2.8842</v>
      </c>
      <c r="R54" s="42"/>
      <c r="S54" s="61"/>
      <c r="T54" s="98"/>
      <c r="U54" s="37"/>
      <c r="V54" s="63"/>
      <c r="W54" s="63"/>
      <c r="X54" s="75"/>
    </row>
    <row r="55" spans="1:24" ht="12.75">
      <c r="A55" s="1">
        <v>2008</v>
      </c>
      <c r="B55" s="34">
        <f t="shared" si="15"/>
        <v>235.3731815306768</v>
      </c>
      <c r="C55" s="42">
        <f t="shared" si="16"/>
        <v>454.30092467094363</v>
      </c>
      <c r="D55" s="42">
        <f t="shared" si="17"/>
        <v>218.92774314026684</v>
      </c>
      <c r="E55" s="22">
        <f t="shared" si="21"/>
        <v>86.4764585404054</v>
      </c>
      <c r="F55" s="300">
        <f t="shared" si="18"/>
        <v>-0.01623934456695913</v>
      </c>
      <c r="H55" s="85">
        <f>$H$52+3*($H$57-$H$52)/5</f>
        <v>25886</v>
      </c>
      <c r="I55" s="67">
        <f t="shared" si="20"/>
        <v>420.37167346030407</v>
      </c>
      <c r="J55" s="36">
        <f t="shared" si="19"/>
        <v>23.420707521359795</v>
      </c>
      <c r="K55" s="2" t="s">
        <v>197</v>
      </c>
      <c r="L55" s="3"/>
      <c r="M55" s="3"/>
      <c r="N55" s="3"/>
      <c r="O55" s="22">
        <f>O54-O52</f>
        <v>1.6380000000000003</v>
      </c>
      <c r="P55" s="53">
        <f>P54-P52</f>
        <v>2.3352</v>
      </c>
      <c r="R55" s="42"/>
      <c r="S55" s="61"/>
      <c r="T55" s="98"/>
      <c r="U55" s="37"/>
      <c r="V55" s="63"/>
      <c r="W55" s="63"/>
      <c r="X55" s="75"/>
    </row>
    <row r="56" spans="1:24" ht="12.75">
      <c r="A56" s="1">
        <v>2009</v>
      </c>
      <c r="B56" s="34">
        <f t="shared" si="15"/>
        <v>282.44781783681213</v>
      </c>
      <c r="C56" s="42">
        <f t="shared" si="16"/>
        <v>530.3033041173459</v>
      </c>
      <c r="D56" s="42">
        <f t="shared" si="17"/>
        <v>247.85548628053374</v>
      </c>
      <c r="E56" s="22">
        <f t="shared" si="21"/>
        <v>97.90291708081084</v>
      </c>
      <c r="F56" s="300">
        <f t="shared" si="18"/>
        <v>-0.01802852329842107</v>
      </c>
      <c r="H56" s="85">
        <f>$H$52+4*($H$57-$H$52)/5</f>
        <v>26398</v>
      </c>
      <c r="I56" s="67">
        <f t="shared" si="20"/>
        <v>475.9169580317194</v>
      </c>
      <c r="J56" s="36">
        <f t="shared" si="19"/>
        <v>26.515373376052935</v>
      </c>
      <c r="K56" s="2" t="s">
        <v>76</v>
      </c>
      <c r="L56" s="3"/>
      <c r="M56" s="3"/>
      <c r="N56" s="3"/>
      <c r="O56" s="3"/>
      <c r="P56" s="53">
        <f>(O54+P54)</f>
        <v>6.0342</v>
      </c>
      <c r="R56" s="42"/>
      <c r="S56" s="61"/>
      <c r="T56" s="98"/>
      <c r="U56" s="37"/>
      <c r="V56" s="63"/>
      <c r="W56" s="63"/>
      <c r="X56" s="75"/>
    </row>
    <row r="57" spans="1:24" ht="13.5" thickBot="1">
      <c r="A57" s="1">
        <v>2010</v>
      </c>
      <c r="B57" s="34">
        <f t="shared" si="15"/>
        <v>282.44781783681213</v>
      </c>
      <c r="C57" s="42">
        <f t="shared" si="16"/>
        <v>511.7310472576127</v>
      </c>
      <c r="D57" s="42">
        <f t="shared" si="17"/>
        <v>229.28322942080058</v>
      </c>
      <c r="E57" s="22">
        <f t="shared" si="21"/>
        <v>90.56687562121623</v>
      </c>
      <c r="F57" s="300">
        <f t="shared" si="18"/>
        <v>-0.016360298973649656</v>
      </c>
      <c r="H57" s="85">
        <f>26.91*1000</f>
        <v>26910</v>
      </c>
      <c r="I57" s="67">
        <f t="shared" si="20"/>
        <v>440.25564538091226</v>
      </c>
      <c r="J57" s="36">
        <f t="shared" si="19"/>
        <v>24.528528814079394</v>
      </c>
      <c r="K57" s="11" t="s">
        <v>178</v>
      </c>
      <c r="L57" s="12"/>
      <c r="M57" s="12"/>
      <c r="N57" s="12"/>
      <c r="O57" s="12"/>
      <c r="P57" s="62">
        <f>(O55+P55)</f>
        <v>3.9732000000000003</v>
      </c>
      <c r="R57" s="42"/>
      <c r="S57" s="61"/>
      <c r="T57" s="98"/>
      <c r="U57" s="37"/>
      <c r="V57" s="63"/>
      <c r="W57" s="63"/>
      <c r="X57" s="75"/>
    </row>
    <row r="58" spans="1:24" ht="13.5" customHeight="1" thickBot="1">
      <c r="A58" s="1">
        <v>2011</v>
      </c>
      <c r="B58" s="34">
        <f t="shared" si="15"/>
        <v>282.44781783681213</v>
      </c>
      <c r="C58" s="42">
        <f t="shared" si="16"/>
        <v>493.15879039787956</v>
      </c>
      <c r="D58" s="42">
        <f t="shared" si="17"/>
        <v>210.71097256106742</v>
      </c>
      <c r="E58" s="22">
        <f t="shared" si="21"/>
        <v>83.23083416162163</v>
      </c>
      <c r="F58" s="300">
        <f t="shared" si="18"/>
        <v>-0.01476783343906651</v>
      </c>
      <c r="H58" s="85">
        <f>$H$57+($H$62-$H$57)/5</f>
        <v>27397</v>
      </c>
      <c r="I58" s="67">
        <f t="shared" si="20"/>
        <v>404.5943327301052</v>
      </c>
      <c r="J58" s="36">
        <f t="shared" si="19"/>
        <v>22.541684252105856</v>
      </c>
      <c r="O58" s="3"/>
      <c r="P58" s="42"/>
      <c r="R58" s="42"/>
      <c r="S58" s="61"/>
      <c r="T58" s="98"/>
      <c r="U58" s="37"/>
      <c r="V58" s="63"/>
      <c r="W58" s="63"/>
      <c r="X58" s="75"/>
    </row>
    <row r="59" spans="1:24" ht="13.5" customHeight="1">
      <c r="A59" s="1">
        <v>2012</v>
      </c>
      <c r="B59" s="34">
        <f t="shared" si="15"/>
        <v>282.44781783681213</v>
      </c>
      <c r="C59" s="42">
        <f t="shared" si="16"/>
        <v>474.58653353814645</v>
      </c>
      <c r="D59" s="42">
        <f t="shared" si="17"/>
        <v>192.13871570133432</v>
      </c>
      <c r="E59" s="22">
        <f t="shared" si="21"/>
        <v>75.89479270202706</v>
      </c>
      <c r="F59" s="300">
        <f t="shared" si="18"/>
        <v>-0.013230993404077544</v>
      </c>
      <c r="H59" s="85">
        <f>$H$57+2*($H$62-$H$57)/5</f>
        <v>27884</v>
      </c>
      <c r="I59" s="67">
        <f t="shared" si="20"/>
        <v>368.9330200792982</v>
      </c>
      <c r="J59" s="61">
        <f t="shared" si="19"/>
        <v>20.55483969013233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61"/>
      <c r="T59" s="98"/>
      <c r="U59" s="37"/>
      <c r="V59" s="63"/>
      <c r="W59" s="63"/>
      <c r="X59" s="75"/>
    </row>
    <row r="60" spans="1:24" ht="12.75">
      <c r="A60" s="1">
        <v>2013</v>
      </c>
      <c r="B60" s="34">
        <f t="shared" si="15"/>
        <v>282.44781783681213</v>
      </c>
      <c r="C60" s="42">
        <f t="shared" si="16"/>
        <v>456.0142766784133</v>
      </c>
      <c r="D60" s="42">
        <f t="shared" si="17"/>
        <v>173.56645884160116</v>
      </c>
      <c r="E60" s="22">
        <f t="shared" si="21"/>
        <v>68.55875124243246</v>
      </c>
      <c r="F60" s="300">
        <f t="shared" si="18"/>
        <v>-0.01174691436426249</v>
      </c>
      <c r="H60" s="85">
        <f>$H$57+3*($H$62-$H$57)/5</f>
        <v>28371</v>
      </c>
      <c r="I60" s="67">
        <f t="shared" si="20"/>
        <v>333.27170742849114</v>
      </c>
      <c r="J60" s="61">
        <f t="shared" si="19"/>
        <v>18.567995128158792</v>
      </c>
      <c r="K60" s="2" t="s">
        <v>2</v>
      </c>
      <c r="L60" s="3"/>
      <c r="M60" s="3"/>
      <c r="N60" s="3"/>
      <c r="O60" s="3"/>
      <c r="P60" s="3"/>
      <c r="Q60" s="3">
        <f>(O11*I5)+(Q11*I6)</f>
        <v>255</v>
      </c>
      <c r="R60" s="4" t="s">
        <v>3</v>
      </c>
      <c r="S60" s="61"/>
      <c r="T60" s="98"/>
      <c r="U60" s="37"/>
      <c r="V60" s="63"/>
      <c r="W60" s="63"/>
      <c r="X60" s="75"/>
    </row>
    <row r="61" spans="1:24" ht="12.75">
      <c r="A61" s="1">
        <v>2014</v>
      </c>
      <c r="B61" s="34">
        <f t="shared" si="15"/>
        <v>282.44781783681213</v>
      </c>
      <c r="C61" s="42">
        <f t="shared" si="16"/>
        <v>456.0142766784133</v>
      </c>
      <c r="D61" s="42">
        <f t="shared" si="17"/>
        <v>173.56645884160116</v>
      </c>
      <c r="E61" s="22">
        <f t="shared" si="21"/>
        <v>68.55875124243246</v>
      </c>
      <c r="F61" s="300">
        <f t="shared" si="18"/>
        <v>-0.011548676534357585</v>
      </c>
      <c r="H61" s="85">
        <f>$H$57+4*($H$62-$H$57)/5</f>
        <v>28858</v>
      </c>
      <c r="I61" s="67">
        <f t="shared" si="20"/>
        <v>333.2717074284912</v>
      </c>
      <c r="J61" s="61">
        <f t="shared" si="19"/>
        <v>18.567995128158792</v>
      </c>
      <c r="K61" s="2" t="s">
        <v>116</v>
      </c>
      <c r="L61" s="3"/>
      <c r="M61" s="3"/>
      <c r="N61" s="3"/>
      <c r="O61" s="3"/>
      <c r="P61" s="3"/>
      <c r="Q61" s="5">
        <f>R15*I7</f>
        <v>95</v>
      </c>
      <c r="R61" s="4" t="s">
        <v>3</v>
      </c>
      <c r="T61" s="98"/>
      <c r="U61" s="37"/>
      <c r="V61" s="63"/>
      <c r="W61" s="63"/>
      <c r="X61" s="75"/>
    </row>
    <row r="62" spans="1:24" ht="12.75">
      <c r="A62" s="1">
        <v>2015</v>
      </c>
      <c r="B62" s="34">
        <f t="shared" si="15"/>
        <v>282.44781783681213</v>
      </c>
      <c r="C62" s="42">
        <f t="shared" si="16"/>
        <v>427.08653353814645</v>
      </c>
      <c r="D62" s="42">
        <f t="shared" si="17"/>
        <v>144.63871570133432</v>
      </c>
      <c r="E62" s="22">
        <f t="shared" si="21"/>
        <v>57.13229270202706</v>
      </c>
      <c r="F62" s="300">
        <f t="shared" si="18"/>
        <v>-0.009464182070440483</v>
      </c>
      <c r="H62" s="85">
        <f>29.345*1000</f>
        <v>29345</v>
      </c>
      <c r="I62" s="67">
        <f t="shared" si="20"/>
        <v>277.726422857076</v>
      </c>
      <c r="J62" s="61">
        <f t="shared" si="19"/>
        <v>15.47332927346566</v>
      </c>
      <c r="K62" s="2" t="s">
        <v>351</v>
      </c>
      <c r="L62" s="3"/>
      <c r="M62" s="3"/>
      <c r="N62" s="3"/>
      <c r="O62" s="3"/>
      <c r="P62" s="3"/>
      <c r="Q62" s="5">
        <f>(O53-O51+P53-P51)*1000</f>
        <v>662.2</v>
      </c>
      <c r="R62" s="4" t="s">
        <v>8</v>
      </c>
      <c r="T62" s="98"/>
      <c r="U62" s="37"/>
      <c r="V62" s="63"/>
      <c r="W62" s="63"/>
      <c r="X62" s="75"/>
    </row>
    <row r="63" spans="1:24" ht="12.75">
      <c r="A63" s="1">
        <v>2016</v>
      </c>
      <c r="B63" s="34">
        <f t="shared" si="15"/>
        <v>282.44781783681213</v>
      </c>
      <c r="C63" s="42">
        <f t="shared" si="16"/>
        <v>398.15879039787956</v>
      </c>
      <c r="D63" s="42">
        <f>C63-B63</f>
        <v>115.71097256106742</v>
      </c>
      <c r="E63" s="22">
        <f t="shared" si="21"/>
        <v>45.70583416162163</v>
      </c>
      <c r="F63" s="300">
        <f t="shared" si="18"/>
        <v>-0.007437772438593356</v>
      </c>
      <c r="H63" s="85">
        <f>$H$62+($H$67-$H$62)/5</f>
        <v>29872</v>
      </c>
      <c r="I63" s="67">
        <f t="shared" si="20"/>
        <v>222.18113828566072</v>
      </c>
      <c r="J63" s="61">
        <f t="shared" si="19"/>
        <v>12.378663418772524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190</v>
      </c>
      <c r="R63" s="4" t="s">
        <v>3</v>
      </c>
      <c r="S63" s="103">
        <f>(($P$11-$O$11)*((1-$O$64)+($O$64*$O$66))*$I$5)+(($R$11-$Q$11)*((1-$O$65)+($O$65*$O$66))*$I$6)</f>
        <v>143.3560443328441</v>
      </c>
      <c r="T63" s="98"/>
      <c r="U63" s="37"/>
      <c r="V63" s="63"/>
      <c r="W63" s="63"/>
      <c r="X63" s="75"/>
    </row>
    <row r="64" spans="1:24" ht="12.75">
      <c r="A64" s="1">
        <v>2017</v>
      </c>
      <c r="B64" s="34">
        <f t="shared" si="15"/>
        <v>282.44781783681213</v>
      </c>
      <c r="C64" s="42">
        <f t="shared" si="16"/>
        <v>369.2310472576127</v>
      </c>
      <c r="D64" s="42">
        <f>C64-B64</f>
        <v>86.78322942080058</v>
      </c>
      <c r="E64" s="22">
        <f t="shared" si="21"/>
        <v>34.27937562121623</v>
      </c>
      <c r="F64" s="300">
        <f t="shared" si="18"/>
        <v>-0.00548162287293153</v>
      </c>
      <c r="H64" s="85">
        <f>$H$62+2*($H$67-$H$62)/5</f>
        <v>30399</v>
      </c>
      <c r="I64" s="67">
        <f t="shared" si="20"/>
        <v>166.6358537142456</v>
      </c>
      <c r="J64" s="61">
        <f t="shared" si="19"/>
        <v>9.283997564079396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180</v>
      </c>
      <c r="R64" s="4" t="s">
        <v>8</v>
      </c>
      <c r="T64" s="98"/>
      <c r="U64" s="37"/>
      <c r="V64" s="63"/>
      <c r="W64" s="63"/>
      <c r="X64" s="75"/>
    </row>
    <row r="65" spans="1:24" ht="12.75">
      <c r="A65" s="1">
        <v>2018</v>
      </c>
      <c r="B65" s="34">
        <f t="shared" si="15"/>
        <v>282.44781783681213</v>
      </c>
      <c r="C65" s="42">
        <f t="shared" si="16"/>
        <v>340.3033041173459</v>
      </c>
      <c r="D65" s="42">
        <f>C65-B65</f>
        <v>57.85548628053374</v>
      </c>
      <c r="E65" s="22">
        <f t="shared" si="21"/>
        <v>22.85291708081083</v>
      </c>
      <c r="F65" s="300">
        <f t="shared" si="18"/>
        <v>-0.0035921415360159878</v>
      </c>
      <c r="H65" s="85">
        <f>$H$62+3*($H$67-$H$62)/5</f>
        <v>30926</v>
      </c>
      <c r="I65" s="67">
        <f t="shared" si="20"/>
        <v>111.09056914283043</v>
      </c>
      <c r="J65" s="61">
        <f t="shared" si="19"/>
        <v>6.189331709386266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97.3</v>
      </c>
      <c r="R65" s="4" t="s">
        <v>8</v>
      </c>
      <c r="T65" s="98"/>
      <c r="U65" s="37"/>
      <c r="V65" s="63"/>
      <c r="W65" s="63"/>
      <c r="X65" s="75"/>
    </row>
    <row r="66" spans="1:24" ht="12.75">
      <c r="A66" s="1">
        <v>2019</v>
      </c>
      <c r="B66" s="34">
        <f t="shared" si="15"/>
        <v>282.44781783681213</v>
      </c>
      <c r="C66" s="42">
        <f t="shared" si="16"/>
        <v>311.375560977079</v>
      </c>
      <c r="D66" s="42">
        <f>C66-B66</f>
        <v>28.92774314026684</v>
      </c>
      <c r="E66" s="22">
        <f t="shared" si="21"/>
        <v>11.426458540405402</v>
      </c>
      <c r="F66" s="300">
        <f t="shared" si="18"/>
        <v>-0.0017659773176299607</v>
      </c>
      <c r="H66" s="85">
        <f>$H$62+4*($H$67-$H$62)/5</f>
        <v>31453</v>
      </c>
      <c r="I66" s="67">
        <f t="shared" si="20"/>
        <v>55.54528457141515</v>
      </c>
      <c r="J66" s="61">
        <f t="shared" si="19"/>
        <v>3.0946658546931296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92.43333333333334</v>
      </c>
      <c r="R66" s="4" t="s">
        <v>8</v>
      </c>
      <c r="T66" s="98"/>
      <c r="U66" s="37"/>
      <c r="V66" s="63"/>
      <c r="W66" s="63"/>
      <c r="X66" s="75"/>
    </row>
    <row r="67" spans="1:24" ht="13.5" thickBot="1">
      <c r="A67" s="1">
        <v>2020</v>
      </c>
      <c r="B67" s="144"/>
      <c r="C67" s="58"/>
      <c r="D67" s="58"/>
      <c r="E67" s="163">
        <f t="shared" si="21"/>
        <v>0</v>
      </c>
      <c r="F67" s="301">
        <f t="shared" si="18"/>
        <v>0</v>
      </c>
      <c r="H67" s="77">
        <v>31980</v>
      </c>
      <c r="I67" s="60">
        <f t="shared" si="20"/>
        <v>0</v>
      </c>
      <c r="J67" s="60">
        <f>(($D$9*AC40)*E67)/2</f>
        <v>0</v>
      </c>
      <c r="K67" s="6" t="s">
        <v>350</v>
      </c>
      <c r="L67" s="3"/>
      <c r="M67" s="3"/>
      <c r="N67" s="3"/>
      <c r="O67" s="3"/>
      <c r="P67" s="3"/>
      <c r="Q67" s="41">
        <f>(((P11-O11)*P12)-((1-O64)*(P11-O11)*P64))+((1-O65)*(R11-Q11)*R12)</f>
        <v>384.9</v>
      </c>
      <c r="R67" s="4" t="s">
        <v>8</v>
      </c>
      <c r="T67" s="98"/>
      <c r="U67" s="37"/>
      <c r="V67" s="63"/>
      <c r="W67" s="63"/>
      <c r="X67" s="75"/>
    </row>
    <row r="68" spans="1:24" ht="13.5" thickTop="1">
      <c r="A68" t="s">
        <v>104</v>
      </c>
      <c r="B68" s="128">
        <f>SUM(B50:B67)</f>
        <v>3813.0455407969644</v>
      </c>
      <c r="C68" s="85">
        <f>SUM(C50:C67)</f>
        <v>6168.010752688172</v>
      </c>
      <c r="D68" s="85">
        <f>SUM(D50:D67)</f>
        <v>2354.965211891208</v>
      </c>
      <c r="E68" s="85">
        <f>SUM(E50:E67)</f>
        <v>930.2112586970271</v>
      </c>
      <c r="I68" s="36">
        <f>SUM(I50:I67)</f>
        <v>4521.860285332772</v>
      </c>
      <c r="J68" s="61">
        <f>SUM(J50:J67)</f>
        <v>251.93221589711155</v>
      </c>
      <c r="K68" s="6" t="s">
        <v>353</v>
      </c>
      <c r="L68" s="3"/>
      <c r="M68" s="3"/>
      <c r="N68" s="3"/>
      <c r="O68" s="3"/>
      <c r="P68" s="3"/>
      <c r="Q68" s="7">
        <f>Q66+Q67</f>
        <v>477.3333333333333</v>
      </c>
      <c r="R68" s="4" t="s">
        <v>8</v>
      </c>
      <c r="T68" s="98"/>
      <c r="U68" s="37"/>
      <c r="V68" s="63"/>
      <c r="W68" s="63"/>
      <c r="X68" s="75"/>
    </row>
    <row r="69" spans="2:24" ht="13.5" thickBot="1">
      <c r="B69" s="79"/>
      <c r="C69" s="42"/>
      <c r="D69" s="42"/>
      <c r="H69" s="9" t="s">
        <v>147</v>
      </c>
      <c r="I69" s="36">
        <f>NPV($O$42,I51:I66)</f>
        <v>2740.3789219831715</v>
      </c>
      <c r="J69" s="61">
        <f>NPV($O$42,J51:J66)</f>
        <v>152.67825422477668</v>
      </c>
      <c r="K69" s="11" t="s">
        <v>10</v>
      </c>
      <c r="L69" s="12"/>
      <c r="M69" s="12"/>
      <c r="N69" s="12"/>
      <c r="O69" s="12"/>
      <c r="P69" s="12"/>
      <c r="Q69" s="286">
        <f>Q68-Q63</f>
        <v>287.3333333333333</v>
      </c>
      <c r="R69" s="287" t="s">
        <v>8</v>
      </c>
      <c r="S69" s="98"/>
      <c r="T69" s="98"/>
      <c r="U69" s="37"/>
      <c r="V69" s="63"/>
      <c r="W69" s="63"/>
      <c r="X69" s="75"/>
    </row>
    <row r="70" spans="1:24" ht="12.75">
      <c r="A70" t="s">
        <v>114</v>
      </c>
      <c r="B70" s="95"/>
      <c r="C70" s="136"/>
      <c r="D70" s="86">
        <f>M41+N41</f>
        <v>2354.965211891208</v>
      </c>
      <c r="E70" s="120"/>
      <c r="F70" s="120"/>
      <c r="G70" s="120"/>
      <c r="H70" s="120" t="s">
        <v>264</v>
      </c>
      <c r="I70" s="120"/>
      <c r="J70" s="120"/>
      <c r="K70" s="120"/>
      <c r="L70" s="120"/>
      <c r="M70" s="120"/>
      <c r="N70" s="120"/>
      <c r="O70" s="120"/>
      <c r="P70" s="120"/>
      <c r="Q70" s="120"/>
      <c r="R70" s="371"/>
      <c r="S70" s="98"/>
      <c r="T70" s="98"/>
      <c r="U70" s="37"/>
      <c r="V70" s="63"/>
      <c r="W70" s="63"/>
      <c r="X70" s="75"/>
    </row>
    <row r="71" spans="19:24" ht="12.75">
      <c r="S71" s="98"/>
      <c r="T71" s="98"/>
      <c r="U71" s="37"/>
      <c r="V71" s="63"/>
      <c r="W71" s="63"/>
      <c r="X71" s="75"/>
    </row>
    <row r="72" spans="4:24" ht="12.75">
      <c r="D72" s="318">
        <f>D68/(COUNT(D51:D66))</f>
        <v>147.1853257432005</v>
      </c>
      <c r="E72" s="318">
        <f>E68/(COUNT(E51:E66))</f>
        <v>58.138203668564195</v>
      </c>
      <c r="I72" s="216">
        <f>I68/(COUNT(I51:I66))</f>
        <v>282.61626783329825</v>
      </c>
      <c r="K72" s="107"/>
      <c r="L72" s="3"/>
      <c r="M72" s="3"/>
      <c r="N72" s="3"/>
      <c r="O72" s="3"/>
      <c r="P72" s="103"/>
      <c r="Q72" s="5"/>
      <c r="R72" s="3"/>
      <c r="S72" s="98"/>
      <c r="T72" s="98"/>
      <c r="U72" s="37"/>
      <c r="V72" s="63"/>
      <c r="W72" s="63"/>
      <c r="X72" s="75"/>
    </row>
    <row r="73" spans="5:20" ht="12.75">
      <c r="E73" s="319">
        <f>E72/D72</f>
        <v>0.39499999999999996</v>
      </c>
      <c r="H73" s="3"/>
      <c r="I73" s="3"/>
      <c r="J73" s="54"/>
      <c r="K73" s="3"/>
      <c r="L73" s="3"/>
      <c r="M73" s="3"/>
      <c r="N73" s="3"/>
      <c r="O73" s="3"/>
      <c r="P73" s="3"/>
      <c r="Q73" s="3"/>
      <c r="R73" s="3"/>
      <c r="S73" s="98"/>
      <c r="T73" s="98"/>
    </row>
    <row r="74" spans="4:18" ht="12.75">
      <c r="D74" s="98">
        <f>AVERAGE(D51:D66)</f>
        <v>147.1853257432005</v>
      </c>
      <c r="E74" s="98">
        <f>AVERAGE(E51:E66)</f>
        <v>58.138203668564195</v>
      </c>
      <c r="H74" s="98">
        <f>AVERAGE(H51:H66)</f>
        <v>27642.34375</v>
      </c>
      <c r="I74" s="67">
        <f>AVERAGE(I51:I66)</f>
        <v>282.61626783329825</v>
      </c>
      <c r="J74" s="67">
        <f>AVERAGE(J51:J66)</f>
        <v>15.745763493569472</v>
      </c>
      <c r="K74" s="3"/>
      <c r="L74" s="3"/>
      <c r="M74" s="3"/>
      <c r="N74" s="3"/>
      <c r="O74" s="3"/>
      <c r="P74" s="285"/>
      <c r="Q74" s="7"/>
      <c r="R74" s="3"/>
    </row>
    <row r="75" ht="12.75">
      <c r="H75" s="320">
        <f>D74/H74</f>
        <v>0.005324632638764595</v>
      </c>
    </row>
  </sheetData>
  <mergeCells count="19">
    <mergeCell ref="A3:R3"/>
    <mergeCell ref="F4:L4"/>
    <mergeCell ref="A1:R1"/>
    <mergeCell ref="A4:E4"/>
    <mergeCell ref="M4:R4"/>
    <mergeCell ref="M42:N42"/>
    <mergeCell ref="Q5:R5"/>
    <mergeCell ref="B18:F18"/>
    <mergeCell ref="B45:F45"/>
    <mergeCell ref="H18:Q18"/>
    <mergeCell ref="H20:I20"/>
    <mergeCell ref="O5:P5"/>
    <mergeCell ref="C20:F20"/>
    <mergeCell ref="N20:O20"/>
    <mergeCell ref="D21:E21"/>
    <mergeCell ref="B47:D47"/>
    <mergeCell ref="E47:F47"/>
    <mergeCell ref="K48:P48"/>
    <mergeCell ref="K59:R59"/>
  </mergeCells>
  <printOptions/>
  <pageMargins left="0.91" right="0.12" top="0.5" bottom="0.5" header="0.5" footer="0.5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:R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4" width="14.28125" style="0" bestFit="1" customWidth="1"/>
    <col min="6" max="6" width="10.8515625" style="0" bestFit="1" customWidth="1"/>
    <col min="7" max="7" width="2.7109375" style="0" customWidth="1"/>
    <col min="9" max="9" width="12.57421875" style="0" bestFit="1" customWidth="1"/>
    <col min="10" max="11" width="9.57421875" style="0" bestFit="1" customWidth="1"/>
    <col min="13" max="13" width="11.57421875" style="0" bestFit="1" customWidth="1"/>
    <col min="14" max="15" width="12.7109375" style="0" customWidth="1"/>
    <col min="16" max="16" width="10.57421875" style="0" bestFit="1" customWidth="1"/>
    <col min="17" max="17" width="12.7109375" style="0" bestFit="1" customWidth="1"/>
    <col min="18" max="18" width="11.7109375" style="0" bestFit="1" customWidth="1"/>
  </cols>
  <sheetData>
    <row r="1" spans="1:18" ht="20.25">
      <c r="A1" s="384" t="s">
        <v>316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8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.75" customHeight="1">
      <c r="A3" s="423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5"/>
    </row>
    <row r="4" spans="1:18" ht="12.75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411" t="s">
        <v>142</v>
      </c>
      <c r="N4" s="412"/>
      <c r="O4" s="412"/>
      <c r="P4" s="412"/>
      <c r="Q4" s="412"/>
      <c r="R4" s="426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10</v>
      </c>
      <c r="J5" s="3" t="s">
        <v>3</v>
      </c>
      <c r="K5" t="s">
        <v>152</v>
      </c>
      <c r="L5" s="108">
        <f>I5/3</f>
        <v>3.3333333333333335</v>
      </c>
      <c r="M5" s="79" t="s">
        <v>55</v>
      </c>
      <c r="N5" s="3"/>
      <c r="O5" s="407" t="s">
        <v>56</v>
      </c>
      <c r="P5" s="377"/>
      <c r="Q5" s="378" t="s">
        <v>57</v>
      </c>
      <c r="R5" s="379"/>
    </row>
    <row r="6" spans="1:18" ht="12.75" customHeight="1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25</v>
      </c>
      <c r="J6" s="3" t="s">
        <v>3</v>
      </c>
      <c r="K6" t="s">
        <v>152</v>
      </c>
      <c r="L6" s="169">
        <f>I6/5+I7*(4/5)</f>
        <v>9</v>
      </c>
      <c r="M6" s="79" t="s">
        <v>58</v>
      </c>
      <c r="N6" s="3"/>
      <c r="O6" s="9" t="s">
        <v>59</v>
      </c>
      <c r="P6" s="28" t="s">
        <v>60</v>
      </c>
      <c r="Q6" s="9" t="s">
        <v>59</v>
      </c>
      <c r="R6" s="40" t="s">
        <v>60</v>
      </c>
    </row>
    <row r="7" spans="1:18" ht="12.75" customHeight="1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5</v>
      </c>
      <c r="J7" s="3" t="s">
        <v>3</v>
      </c>
      <c r="L7" s="108">
        <f>L5+L6</f>
        <v>12.333333333333334</v>
      </c>
      <c r="M7" s="155" t="s">
        <v>61</v>
      </c>
      <c r="N7" s="3"/>
      <c r="O7" s="9" t="s">
        <v>62</v>
      </c>
      <c r="P7" s="28" t="s">
        <v>62</v>
      </c>
      <c r="Q7" s="9" t="s">
        <v>62</v>
      </c>
      <c r="R7" s="40" t="s">
        <v>62</v>
      </c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55" t="s">
        <v>63</v>
      </c>
      <c r="N8" s="9"/>
      <c r="O8" s="42">
        <f>O11/(369/1147)</f>
        <v>37.30081300813008</v>
      </c>
      <c r="P8" s="30"/>
      <c r="Q8" s="42">
        <f>Q11/(48/168)</f>
        <v>10.5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42" t="s">
        <v>140</v>
      </c>
      <c r="M9" s="155" t="s">
        <v>64</v>
      </c>
      <c r="N9" s="9"/>
      <c r="O9" s="3"/>
      <c r="P9" s="156">
        <f>P11/(1/3)</f>
        <v>48</v>
      </c>
      <c r="Q9" s="3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55" t="s">
        <v>65</v>
      </c>
      <c r="N10" s="9"/>
      <c r="O10" s="9"/>
      <c r="P10" s="172"/>
      <c r="Q10" s="3"/>
      <c r="R10" s="45">
        <f>R11/(1/5)</f>
        <v>35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3.3292490118577076</v>
      </c>
      <c r="L11" s="154">
        <f>ROUND(K11,0)</f>
        <v>3</v>
      </c>
      <c r="M11" s="155" t="s">
        <v>66</v>
      </c>
      <c r="N11" s="9"/>
      <c r="O11" s="9">
        <v>12</v>
      </c>
      <c r="P11" s="156">
        <v>16</v>
      </c>
      <c r="Q11" s="9">
        <v>3</v>
      </c>
      <c r="R11" s="45">
        <v>7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8.772169512966478</v>
      </c>
      <c r="L12" s="80"/>
      <c r="M12" s="155" t="s">
        <v>78</v>
      </c>
      <c r="N12" s="9"/>
      <c r="O12" s="9">
        <v>21</v>
      </c>
      <c r="P12" s="157">
        <v>45.5</v>
      </c>
      <c r="Q12" s="9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7.609570667486681</v>
      </c>
      <c r="L13" s="80"/>
      <c r="M13" s="151" t="s">
        <v>133</v>
      </c>
      <c r="N13" s="3"/>
      <c r="O13" s="9">
        <v>2.5</v>
      </c>
      <c r="P13" s="158">
        <f>((O11*O13)+((P11-O11)*O13*P14))/(P11)</f>
        <v>3.125</v>
      </c>
      <c r="Q13" s="9">
        <v>4.6</v>
      </c>
      <c r="R13" s="53">
        <f>((Q11*Q13)+((R11-Q11)*Q13*P14))/R11</f>
        <v>7.228571428571428</v>
      </c>
      <c r="AA13" s="3"/>
      <c r="AB13" s="3"/>
      <c r="AC13" s="3"/>
      <c r="AD13" s="283"/>
      <c r="AE13" s="3"/>
      <c r="AF13" s="3"/>
      <c r="AG13" s="3"/>
      <c r="AH13" s="3"/>
      <c r="AI13" s="288"/>
    </row>
    <row r="14" spans="1:18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7.980006574134654</v>
      </c>
      <c r="L14" s="154">
        <f>ROUND(K14,0)</f>
        <v>8</v>
      </c>
      <c r="M14" s="79" t="s">
        <v>112</v>
      </c>
      <c r="N14" s="3"/>
      <c r="O14" s="3"/>
      <c r="P14" s="73">
        <v>2</v>
      </c>
      <c r="Q14" s="3"/>
      <c r="R14" s="40">
        <f>P14</f>
        <v>2</v>
      </c>
    </row>
    <row r="15" spans="1:18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80"/>
      <c r="M15" s="159" t="s">
        <v>132</v>
      </c>
      <c r="N15" s="3"/>
      <c r="O15" s="3"/>
      <c r="P15" s="115">
        <f>2/3</f>
        <v>0.6666666666666666</v>
      </c>
      <c r="Q15" s="125">
        <f>(R10-R11)*P15</f>
        <v>18.666666666666664</v>
      </c>
      <c r="R15" s="40">
        <f>ROUND(Q15,0)</f>
        <v>19</v>
      </c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62" t="s">
        <v>154</v>
      </c>
      <c r="N16" s="12"/>
      <c r="O16" s="12"/>
      <c r="P16" s="12"/>
      <c r="Q16" s="12"/>
      <c r="R16" s="150">
        <v>1</v>
      </c>
    </row>
    <row r="17" spans="1:18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7" ht="1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</row>
    <row r="19" spans="1:18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</row>
    <row r="20" spans="1:18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</row>
    <row r="21" spans="1:18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</row>
    <row r="22" spans="1:18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</row>
    <row r="23" spans="1:18" ht="12.75" customHeight="1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14">
        <f aca="true" t="shared" si="2" ref="H23:H28">$Q$60</f>
        <v>195</v>
      </c>
      <c r="I23" s="28">
        <f aca="true" t="shared" si="3" ref="I23:I28">$Q$61</f>
        <v>95</v>
      </c>
      <c r="J23" s="73">
        <v>0</v>
      </c>
      <c r="K23" s="35">
        <f>$Q$68</f>
        <v>426.3333333333333</v>
      </c>
      <c r="L23" s="29">
        <f>$Q$63</f>
        <v>140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4" ref="P23:P40">M23+N23+$C$15*O23</f>
        <v>0</v>
      </c>
      <c r="Q23" s="33">
        <f aca="true" t="shared" si="5" ref="Q23:Q40">(($D$9-$D$10)*$C$11*(1-$E$11)*(N23-J23))+(($D$9-$D$10)*$J$8*$C$11*(1-$E$11)*O23)</f>
        <v>0</v>
      </c>
      <c r="R23" s="75">
        <f>J23*$I$15</f>
        <v>0</v>
      </c>
    </row>
    <row r="24" spans="1:18" ht="12.75" customHeight="1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14">
        <f t="shared" si="2"/>
        <v>195</v>
      </c>
      <c r="I24" s="28">
        <f t="shared" si="3"/>
        <v>95</v>
      </c>
      <c r="J24" s="34">
        <f>(SUM($H$23:H23)/$L$11)+(SUM($I$23:I23)/$K$16)</f>
        <v>112.5</v>
      </c>
      <c r="K24" s="35">
        <f aca="true" t="shared" si="6" ref="K24:L28">K23</f>
        <v>426.3333333333333</v>
      </c>
      <c r="L24" s="30">
        <f t="shared" si="6"/>
        <v>140</v>
      </c>
      <c r="M24" s="30">
        <f>SUM($L$23:L23)/$L$11</f>
        <v>46.666666666666664</v>
      </c>
      <c r="N24" s="30">
        <f>IF($L$11&gt;(A24-$A$24),0,(((((1-($C$15/($C$14+$C$15)))*SUM($K$23:K23)))-SUM($L$23:L23))/$L$14))</f>
        <v>0</v>
      </c>
      <c r="O24" s="30">
        <f aca="true" t="shared" si="7" ref="O24:O40">(M24+N24)/$C$14</f>
        <v>1.7948717948717947</v>
      </c>
      <c r="P24" s="32">
        <f t="shared" si="4"/>
        <v>56.753846153846155</v>
      </c>
      <c r="Q24" s="36">
        <f t="shared" si="5"/>
        <v>-53.159722222222214</v>
      </c>
      <c r="R24" s="75">
        <f aca="true" t="shared" si="8" ref="R24:R32">J24*$I$15</f>
        <v>60.93749999999999</v>
      </c>
    </row>
    <row r="25" spans="1:18" ht="12.75" customHeight="1">
      <c r="A25" s="1">
        <v>2005</v>
      </c>
      <c r="B25" s="128">
        <f>'Total Roy'!B46</f>
        <v>331.7466</v>
      </c>
      <c r="C25" s="111">
        <f aca="true" t="shared" si="9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14">
        <f t="shared" si="2"/>
        <v>195</v>
      </c>
      <c r="I25" s="28">
        <f t="shared" si="3"/>
        <v>95</v>
      </c>
      <c r="J25" s="34">
        <f>(SUM($H$23:H24)/$L$11)+(SUM(I23:I24)/$K$16)</f>
        <v>225</v>
      </c>
      <c r="K25" s="35">
        <f t="shared" si="6"/>
        <v>426.3333333333333</v>
      </c>
      <c r="L25" s="30">
        <f t="shared" si="6"/>
        <v>140</v>
      </c>
      <c r="M25" s="30">
        <f>SUM($L$23:L24)/$L$11</f>
        <v>93.33333333333333</v>
      </c>
      <c r="N25" s="30">
        <f>IF($L$11&gt;(A25-$A$24),0,(((((1-($C$15/($C$14+$C$15)))*SUM($K$23:K24)))-SUM($L$23:L24))/$L$14))</f>
        <v>0</v>
      </c>
      <c r="O25" s="30">
        <f t="shared" si="7"/>
        <v>3.5897435897435894</v>
      </c>
      <c r="P25" s="32">
        <f t="shared" si="4"/>
        <v>113.50769230769231</v>
      </c>
      <c r="Q25" s="36">
        <f t="shared" si="5"/>
        <v>-106.31944444444443</v>
      </c>
      <c r="R25" s="75">
        <f t="shared" si="8"/>
        <v>121.87499999999999</v>
      </c>
    </row>
    <row r="26" spans="1:18" ht="12.75">
      <c r="A26" s="1">
        <v>2006</v>
      </c>
      <c r="B26" s="128">
        <f>'Total Roy'!B47</f>
        <v>297.83369999999996</v>
      </c>
      <c r="C26" s="111">
        <f t="shared" si="9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14">
        <f t="shared" si="2"/>
        <v>195</v>
      </c>
      <c r="I26" s="28">
        <f t="shared" si="3"/>
        <v>95</v>
      </c>
      <c r="J26" s="34">
        <f>(SUM(H23:H25)/$L$11)+(SUM(I24:I25)/$K$16)</f>
        <v>290</v>
      </c>
      <c r="K26" s="35">
        <f t="shared" si="6"/>
        <v>426.3333333333333</v>
      </c>
      <c r="L26" s="30">
        <f t="shared" si="6"/>
        <v>140</v>
      </c>
      <c r="M26" s="30">
        <f aca="true" t="shared" si="10" ref="M26:M32">SUM(L23:L25)/$L$11</f>
        <v>140</v>
      </c>
      <c r="N26" s="30">
        <f>IF($L$11&gt;(A26-$A$24),0,(((((1-($C$15/($C$14+$C$15)))*SUM(K23:K25)))-SUM(L23:L25))/$L$14))</f>
        <v>0</v>
      </c>
      <c r="O26" s="30">
        <f t="shared" si="7"/>
        <v>5.384615384615385</v>
      </c>
      <c r="P26" s="32">
        <f t="shared" si="4"/>
        <v>170.26153846153846</v>
      </c>
      <c r="Q26" s="36">
        <f t="shared" si="5"/>
        <v>-133.74999999999997</v>
      </c>
      <c r="R26" s="75">
        <f t="shared" si="8"/>
        <v>157.08333333333331</v>
      </c>
    </row>
    <row r="27" spans="1:18" ht="12.75">
      <c r="A27" s="1">
        <v>2007</v>
      </c>
      <c r="B27" s="128">
        <f>'Total Roy'!B48</f>
        <v>261.3062</v>
      </c>
      <c r="C27" s="111">
        <f t="shared" si="9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14">
        <f t="shared" si="2"/>
        <v>195</v>
      </c>
      <c r="I27" s="28">
        <f t="shared" si="3"/>
        <v>95</v>
      </c>
      <c r="J27" s="34">
        <f aca="true" t="shared" si="11" ref="J27:J32">(SUM(H24:H26)/$L$11)+(SUM(I25:I26)/$K$16)</f>
        <v>290</v>
      </c>
      <c r="K27" s="35">
        <f t="shared" si="6"/>
        <v>426.3333333333333</v>
      </c>
      <c r="L27" s="30">
        <f t="shared" si="6"/>
        <v>140</v>
      </c>
      <c r="M27" s="30">
        <f t="shared" si="10"/>
        <v>140</v>
      </c>
      <c r="N27" s="30">
        <f>IF($L$11&gt;(A27-$A$24),0,(((((1-($C$15/($C$14+$C$15)))*SUM($K$23:K23)))-SUM($L$23:L23))/$L$14))</f>
        <v>26.319839763862532</v>
      </c>
      <c r="O27" s="30">
        <f t="shared" si="7"/>
        <v>6.396916913994714</v>
      </c>
      <c r="P27" s="32">
        <f t="shared" si="4"/>
        <v>202.27051282051283</v>
      </c>
      <c r="Q27" s="36">
        <f t="shared" si="5"/>
        <v>-115.10678016726402</v>
      </c>
      <c r="R27" s="75">
        <f t="shared" si="8"/>
        <v>157.08333333333331</v>
      </c>
    </row>
    <row r="28" spans="1:18" ht="12.75">
      <c r="A28" s="1">
        <v>2008</v>
      </c>
      <c r="B28" s="128">
        <f>'Total Roy'!B49</f>
        <v>226.54739999999998</v>
      </c>
      <c r="C28" s="111">
        <f t="shared" si="9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14">
        <f t="shared" si="2"/>
        <v>195</v>
      </c>
      <c r="I28" s="28">
        <f t="shared" si="3"/>
        <v>95</v>
      </c>
      <c r="J28" s="34">
        <f t="shared" si="11"/>
        <v>290</v>
      </c>
      <c r="K28" s="35">
        <f t="shared" si="6"/>
        <v>426.3333333333333</v>
      </c>
      <c r="L28" s="30">
        <f t="shared" si="6"/>
        <v>140</v>
      </c>
      <c r="M28" s="30">
        <f t="shared" si="10"/>
        <v>140</v>
      </c>
      <c r="N28" s="30">
        <f>IF($L$11&gt;(A28-$A$24),0,(((((1-($C$15/($C$14+$C$15)))*SUM($K$23:K24)))-SUM($L$23:L24))/$L$14))</f>
        <v>52.639679527725065</v>
      </c>
      <c r="O28" s="30">
        <f t="shared" si="7"/>
        <v>7.409218443374041</v>
      </c>
      <c r="P28" s="32">
        <f t="shared" si="4"/>
        <v>234.27948717948718</v>
      </c>
      <c r="Q28" s="36">
        <f t="shared" si="5"/>
        <v>-96.46356033452807</v>
      </c>
      <c r="R28" s="75">
        <f t="shared" si="8"/>
        <v>157.08333333333331</v>
      </c>
    </row>
    <row r="29" spans="1:18" ht="12.75">
      <c r="A29" s="1">
        <v>2009</v>
      </c>
      <c r="B29" s="128">
        <f>'Total Roy'!B50</f>
        <v>197.3254</v>
      </c>
      <c r="C29" s="111">
        <f t="shared" si="9"/>
        <v>343.5</v>
      </c>
      <c r="D29" s="42">
        <f aca="true" t="shared" si="12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11"/>
        <v>290</v>
      </c>
      <c r="K29" s="28">
        <v>0</v>
      </c>
      <c r="L29" s="28">
        <v>0</v>
      </c>
      <c r="M29" s="30">
        <f t="shared" si="10"/>
        <v>140</v>
      </c>
      <c r="N29" s="30">
        <f>IF($L$11&gt;(A29-$A$24),0,(((((1-($C$15/($C$14+$C$15)))*SUM($K$23:K25)))-SUM($L$23:L25))/$L$14))</f>
        <v>78.95951929158761</v>
      </c>
      <c r="O29" s="30">
        <f t="shared" si="7"/>
        <v>8.42151997275337</v>
      </c>
      <c r="P29" s="32">
        <f t="shared" si="4"/>
        <v>266.28846153846155</v>
      </c>
      <c r="Q29" s="36">
        <f t="shared" si="5"/>
        <v>-77.82034050179212</v>
      </c>
      <c r="R29" s="75">
        <f t="shared" si="8"/>
        <v>157.08333333333331</v>
      </c>
    </row>
    <row r="30" spans="1:18" ht="12.75">
      <c r="A30" s="1">
        <v>2010</v>
      </c>
      <c r="B30" s="128">
        <f>'Total Roy'!B51</f>
        <v>171.4101</v>
      </c>
      <c r="C30" s="111">
        <f t="shared" si="9"/>
        <v>343.5</v>
      </c>
      <c r="D30" s="42">
        <f t="shared" si="12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11"/>
        <v>177.5</v>
      </c>
      <c r="K30" s="28"/>
      <c r="L30" s="28"/>
      <c r="M30" s="30">
        <f t="shared" si="10"/>
        <v>93.33333333333333</v>
      </c>
      <c r="N30" s="30">
        <f>IF($L$11&gt;(A30-$A$24),0,(((((1-($C$15/($C$14+$C$15)))*SUM($K$23:K26)))-SUM($L$23:L26))/$L$14))</f>
        <v>105.27935905545013</v>
      </c>
      <c r="O30" s="30">
        <f t="shared" si="7"/>
        <v>7.638949707260902</v>
      </c>
      <c r="P30" s="32">
        <f t="shared" si="4"/>
        <v>241.5435897435897</v>
      </c>
      <c r="Q30" s="36">
        <f t="shared" si="5"/>
        <v>-6.017398446833937</v>
      </c>
      <c r="R30" s="75">
        <f t="shared" si="8"/>
        <v>96.14583333333333</v>
      </c>
    </row>
    <row r="31" spans="1:18" ht="12.75">
      <c r="A31" s="1">
        <v>2011</v>
      </c>
      <c r="B31" s="128">
        <f>'Total Roy'!B52</f>
        <v>149.3398</v>
      </c>
      <c r="C31" s="111">
        <f t="shared" si="9"/>
        <v>343.5</v>
      </c>
      <c r="D31" s="42">
        <f t="shared" si="12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11"/>
        <v>65</v>
      </c>
      <c r="K31" s="28"/>
      <c r="L31" s="28"/>
      <c r="M31" s="30">
        <f t="shared" si="10"/>
        <v>46.666666666666664</v>
      </c>
      <c r="N31" s="30">
        <f>IF($L$11&gt;(A31-$A$24),0,(((((1-($C$15/($C$14+$C$15)))*SUM($K$23:K27)))-SUM($L$23:L27))/$L$14))</f>
        <v>131.59919881931265</v>
      </c>
      <c r="O31" s="30">
        <f t="shared" si="7"/>
        <v>6.856379441768435</v>
      </c>
      <c r="P31" s="32">
        <f t="shared" si="4"/>
        <v>216.79871794871792</v>
      </c>
      <c r="Q31" s="36">
        <f t="shared" si="5"/>
        <v>65.78554360812423</v>
      </c>
      <c r="R31" s="75">
        <f t="shared" si="8"/>
        <v>35.20833333333333</v>
      </c>
    </row>
    <row r="32" spans="1:18" ht="12.75">
      <c r="A32" s="1">
        <v>2012</v>
      </c>
      <c r="B32" s="128">
        <f>'Total Roy'!B53</f>
        <v>124.1935</v>
      </c>
      <c r="C32" s="111">
        <f t="shared" si="9"/>
        <v>343.5</v>
      </c>
      <c r="D32" s="42">
        <f t="shared" si="12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11"/>
        <v>0</v>
      </c>
      <c r="K32" s="28"/>
      <c r="L32" s="28"/>
      <c r="M32" s="30">
        <f t="shared" si="10"/>
        <v>0</v>
      </c>
      <c r="N32" s="30">
        <f>IF($L$11&gt;(A32-$A$24),0,(((((1-($C$15/($C$14+$C$15)))*SUM($K$23:K28)))-SUM($L$23:L28))/$L$14))</f>
        <v>157.91903858317522</v>
      </c>
      <c r="O32" s="30">
        <f t="shared" si="7"/>
        <v>6.0738091762759705</v>
      </c>
      <c r="P32" s="32">
        <f t="shared" si="4"/>
        <v>192.05384615384617</v>
      </c>
      <c r="Q32" s="36">
        <f t="shared" si="5"/>
        <v>111.85931899641577</v>
      </c>
      <c r="R32" s="75">
        <f t="shared" si="8"/>
        <v>0</v>
      </c>
    </row>
    <row r="33" spans="1:18" ht="12.75">
      <c r="A33" s="1">
        <v>2013</v>
      </c>
      <c r="B33" s="128">
        <f>'Total Roy'!B54</f>
        <v>102.5846</v>
      </c>
      <c r="C33" s="111">
        <f t="shared" si="9"/>
        <v>343.5</v>
      </c>
      <c r="D33" s="42">
        <f t="shared" si="12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/>
      <c r="K33" s="9"/>
      <c r="L33" s="9"/>
      <c r="M33" s="30"/>
      <c r="N33" s="30">
        <f>IF($L$11&gt;(A33-$A$24),0,(((((1-($C$15/($C$14+$C$15)))*SUM($K$23:K29)))-SUM($L$23:L29))/$L$14))</f>
        <v>157.91903858317522</v>
      </c>
      <c r="O33" s="30">
        <f t="shared" si="7"/>
        <v>6.0738091762759705</v>
      </c>
      <c r="P33" s="32">
        <f t="shared" si="4"/>
        <v>192.05384615384617</v>
      </c>
      <c r="Q33" s="36">
        <f t="shared" si="5"/>
        <v>111.85931899641577</v>
      </c>
      <c r="R33" s="75"/>
    </row>
    <row r="34" spans="1:18" ht="12.75">
      <c r="A34" s="1">
        <v>2014</v>
      </c>
      <c r="B34" s="129">
        <f aca="true" t="shared" si="13" ref="B34:B39">B33*(B33/B32)</f>
        <v>84.7355147987616</v>
      </c>
      <c r="C34" s="111">
        <f t="shared" si="9"/>
        <v>343.5</v>
      </c>
      <c r="D34" s="42">
        <f t="shared" si="12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42"/>
      <c r="K34" s="3"/>
      <c r="L34" s="3"/>
      <c r="M34" s="30"/>
      <c r="N34" s="30">
        <f>IF($L$11&gt;(A34-$A$24),0,(((((1-($C$15/($C$14+$C$15)))*SUM(K23:K30)))-SUM(L23:L30))/$L$14))</f>
        <v>157.91903858317522</v>
      </c>
      <c r="O34" s="30">
        <f t="shared" si="7"/>
        <v>6.0738091762759705</v>
      </c>
      <c r="P34" s="32">
        <f t="shared" si="4"/>
        <v>192.05384615384617</v>
      </c>
      <c r="Q34" s="36">
        <f t="shared" si="5"/>
        <v>111.85931899641577</v>
      </c>
      <c r="R34" s="75"/>
    </row>
    <row r="35" spans="1:18" ht="12.75">
      <c r="A35" s="1">
        <v>2015</v>
      </c>
      <c r="B35" s="129">
        <f t="shared" si="13"/>
        <v>69.99205990188729</v>
      </c>
      <c r="C35" s="111">
        <f t="shared" si="9"/>
        <v>343.5</v>
      </c>
      <c r="D35" s="42">
        <f t="shared" si="12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4" ref="N35:N40">IF($L$11&gt;(A35-$A$24),0,(((((1-($C$15/($C$14+$C$15)))*SUM(K24:K31)))-SUM(L24:L31))/$L$14))</f>
        <v>131.59919881931265</v>
      </c>
      <c r="O35" s="30">
        <f t="shared" si="7"/>
        <v>5.06150764689664</v>
      </c>
      <c r="P35" s="32">
        <f t="shared" si="4"/>
        <v>160.04487179487177</v>
      </c>
      <c r="Q35" s="36">
        <f t="shared" si="5"/>
        <v>93.21609916367979</v>
      </c>
      <c r="R35" s="75"/>
    </row>
    <row r="36" spans="1:18" ht="12.75">
      <c r="A36" s="1">
        <v>2016</v>
      </c>
      <c r="B36" s="129">
        <f t="shared" si="13"/>
        <v>57.81387486632671</v>
      </c>
      <c r="C36" s="111">
        <f t="shared" si="9"/>
        <v>343.5</v>
      </c>
      <c r="D36" s="42">
        <f t="shared" si="12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4"/>
        <v>105.27935905545013</v>
      </c>
      <c r="O36" s="30">
        <f t="shared" si="7"/>
        <v>4.049206117517313</v>
      </c>
      <c r="P36" s="32">
        <f t="shared" si="4"/>
        <v>128.03589743589743</v>
      </c>
      <c r="Q36" s="36">
        <f t="shared" si="5"/>
        <v>74.57287933094383</v>
      </c>
      <c r="R36" s="75"/>
    </row>
    <row r="37" spans="1:17" ht="12.75">
      <c r="A37" s="1">
        <v>2017</v>
      </c>
      <c r="B37" s="129">
        <f t="shared" si="13"/>
        <v>47.754618620235185</v>
      </c>
      <c r="C37" s="111">
        <f t="shared" si="9"/>
        <v>343.5</v>
      </c>
      <c r="D37" s="42">
        <f t="shared" si="12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4"/>
        <v>78.95951929158761</v>
      </c>
      <c r="O37" s="30">
        <f t="shared" si="7"/>
        <v>3.0369045881379853</v>
      </c>
      <c r="P37" s="32">
        <f t="shared" si="4"/>
        <v>96.02692307692308</v>
      </c>
      <c r="Q37" s="36">
        <f t="shared" si="5"/>
        <v>55.92965949820788</v>
      </c>
    </row>
    <row r="38" spans="1:17" ht="12.75">
      <c r="A38" s="1">
        <v>2018</v>
      </c>
      <c r="B38" s="129">
        <f t="shared" si="13"/>
        <v>39.445610674547204</v>
      </c>
      <c r="C38" s="111">
        <f t="shared" si="9"/>
        <v>343.5</v>
      </c>
      <c r="D38" s="42">
        <f t="shared" si="12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4"/>
        <v>52.639679527725065</v>
      </c>
      <c r="O38" s="30">
        <f t="shared" si="7"/>
        <v>2.0246030587586565</v>
      </c>
      <c r="P38" s="32">
        <f t="shared" si="4"/>
        <v>64.01794871794871</v>
      </c>
      <c r="Q38" s="36">
        <f t="shared" si="5"/>
        <v>37.28643966547192</v>
      </c>
    </row>
    <row r="39" spans="1:17" ht="12.75">
      <c r="A39" s="1">
        <v>2019</v>
      </c>
      <c r="B39" s="129">
        <f t="shared" si="13"/>
        <v>32.58231866244332</v>
      </c>
      <c r="C39" s="111">
        <f t="shared" si="9"/>
        <v>343.5</v>
      </c>
      <c r="D39" s="42">
        <f t="shared" si="12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4"/>
        <v>26.319839763862532</v>
      </c>
      <c r="O39" s="30">
        <f t="shared" si="7"/>
        <v>1.0123015293793283</v>
      </c>
      <c r="P39" s="32">
        <f t="shared" si="4"/>
        <v>32.008974358974356</v>
      </c>
      <c r="Q39" s="36">
        <f t="shared" si="5"/>
        <v>18.64321983273596</v>
      </c>
    </row>
    <row r="40" spans="1:18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4"/>
        <v>0</v>
      </c>
      <c r="O40" s="57">
        <f t="shared" si="7"/>
        <v>0</v>
      </c>
      <c r="P40" s="59">
        <f t="shared" si="4"/>
        <v>0</v>
      </c>
      <c r="Q40" s="71">
        <f t="shared" si="5"/>
        <v>0</v>
      </c>
      <c r="R40" s="130"/>
    </row>
    <row r="41" spans="1:18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1170</v>
      </c>
      <c r="I41" s="85">
        <f aca="true" t="shared" si="15" ref="I41:P41">SUM(I23:I40)</f>
        <v>570</v>
      </c>
      <c r="J41" s="85">
        <f t="shared" si="15"/>
        <v>1740</v>
      </c>
      <c r="K41" s="85">
        <f t="shared" si="15"/>
        <v>2558</v>
      </c>
      <c r="L41" s="85">
        <f t="shared" si="15"/>
        <v>840</v>
      </c>
      <c r="M41" s="85">
        <f t="shared" si="15"/>
        <v>840</v>
      </c>
      <c r="N41" s="85">
        <f t="shared" si="15"/>
        <v>1263.3523086654018</v>
      </c>
      <c r="O41" s="85">
        <f t="shared" si="15"/>
        <v>80.89816571790007</v>
      </c>
      <c r="P41" s="85">
        <f t="shared" si="15"/>
        <v>2558.0000000000005</v>
      </c>
      <c r="Q41" s="36">
        <f>SUM(Q23:Q40)</f>
        <v>92.37455197132624</v>
      </c>
      <c r="R41" s="36">
        <f>SUM(R23:R40)</f>
        <v>942.5</v>
      </c>
    </row>
    <row r="42" spans="2:18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2558</v>
      </c>
      <c r="L42" s="3"/>
      <c r="M42" s="411" t="s">
        <v>77</v>
      </c>
      <c r="N42" s="412"/>
      <c r="O42" s="64">
        <v>0.07</v>
      </c>
      <c r="P42" s="65">
        <f>NPV(O42,P24:P39)</f>
        <v>1555.3727278612434</v>
      </c>
      <c r="Q42" s="66">
        <f>NPV($O$42,Q24:Q39)</f>
        <v>-140.92618002749828</v>
      </c>
      <c r="R42" s="66">
        <f>NPV($O$42,R24:R39)</f>
        <v>708.5020607750499</v>
      </c>
    </row>
    <row r="43" spans="1:17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1740</v>
      </c>
      <c r="K43" s="86">
        <f>M43+N43+O43</f>
        <v>2558</v>
      </c>
      <c r="L43" s="120"/>
      <c r="M43" s="86">
        <f>M41</f>
        <v>840</v>
      </c>
      <c r="N43" s="86">
        <f>N41</f>
        <v>1263.3523086654018</v>
      </c>
      <c r="O43" s="136">
        <f>O41*C15</f>
        <v>454.6476913345984</v>
      </c>
      <c r="P43" s="120"/>
      <c r="Q43" s="137"/>
    </row>
    <row r="44" ht="6" customHeight="1"/>
    <row r="45" spans="2:9" ht="15" customHeight="1">
      <c r="B45" s="422" t="s">
        <v>141</v>
      </c>
      <c r="C45" s="390"/>
      <c r="D45" s="390"/>
      <c r="E45" s="390"/>
      <c r="F45" s="391"/>
      <c r="H45" s="3"/>
      <c r="I45" s="3"/>
    </row>
    <row r="46" spans="2:17" ht="12.75" customHeight="1">
      <c r="B46" s="367" t="s">
        <v>120</v>
      </c>
      <c r="C46" s="304" t="s">
        <v>121</v>
      </c>
      <c r="D46" s="304" t="s">
        <v>122</v>
      </c>
      <c r="E46" s="368" t="s">
        <v>123</v>
      </c>
      <c r="F46" s="369">
        <v>-0.72</v>
      </c>
      <c r="G46" s="370"/>
      <c r="H46" s="370"/>
      <c r="I46" s="73" t="s">
        <v>278</v>
      </c>
      <c r="J46" s="208" t="s">
        <v>146</v>
      </c>
      <c r="K46" s="167" t="s">
        <v>151</v>
      </c>
      <c r="L46" s="127"/>
      <c r="M46" s="84"/>
      <c r="N46" s="84"/>
      <c r="O46" s="84"/>
      <c r="Q46" s="168">
        <f>P41/J41</f>
        <v>1.4701149425287359</v>
      </c>
    </row>
    <row r="47" spans="2:18" ht="12.75" customHeight="1" thickBot="1">
      <c r="B47" s="413" t="s">
        <v>109</v>
      </c>
      <c r="C47" s="408"/>
      <c r="D47" s="408"/>
      <c r="E47" s="407" t="s">
        <v>282</v>
      </c>
      <c r="F47" s="407"/>
      <c r="H47" s="304" t="s">
        <v>125</v>
      </c>
      <c r="I47" s="305" t="s">
        <v>280</v>
      </c>
      <c r="J47" s="302" t="s">
        <v>145</v>
      </c>
      <c r="K47" s="84"/>
      <c r="L47" s="84"/>
      <c r="R47" s="298">
        <v>37711</v>
      </c>
    </row>
    <row r="48" spans="2:16" ht="12.75" customHeigh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389" t="s">
        <v>79</v>
      </c>
      <c r="L48" s="375"/>
      <c r="M48" s="375"/>
      <c r="N48" s="375"/>
      <c r="O48" s="375"/>
      <c r="P48" s="376"/>
    </row>
    <row r="49" spans="1:16" ht="12.75" customHeight="1" thickBot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</row>
    <row r="50" spans="1:16" ht="12.75" customHeight="1">
      <c r="A50" s="1">
        <v>2003</v>
      </c>
      <c r="B50" s="14">
        <f aca="true" t="shared" si="16" ref="B50:B67">E23</f>
        <v>0</v>
      </c>
      <c r="C50" s="42">
        <f aca="true" t="shared" si="17" ref="C50:C67">E23+M23+N23</f>
        <v>0</v>
      </c>
      <c r="D50" s="42">
        <f aca="true" t="shared" si="18" ref="D50:D62">C50-E23</f>
        <v>0</v>
      </c>
      <c r="E50" s="22">
        <f>$E$8*D50</f>
        <v>0</v>
      </c>
      <c r="F50" s="1">
        <f>($D$9*(E50/H50))/$F$46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7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 customHeight="1">
      <c r="A51" s="1">
        <v>2004</v>
      </c>
      <c r="B51" s="34">
        <f t="shared" si="16"/>
        <v>47.07463630613536</v>
      </c>
      <c r="C51" s="42">
        <f t="shared" si="17"/>
        <v>93.74130297280203</v>
      </c>
      <c r="D51" s="42">
        <f t="shared" si="18"/>
        <v>46.66666666666667</v>
      </c>
      <c r="E51" s="22">
        <f aca="true" t="shared" si="20" ref="E51:E67">$E$8*D51</f>
        <v>18.433333333333337</v>
      </c>
      <c r="F51" s="300">
        <f aca="true" t="shared" si="21" ref="F51:F67">($D$9*(E51/H51))/$F$46</f>
        <v>-0.0037347705108463688</v>
      </c>
      <c r="H51" s="85">
        <f>22920+3*($H$52-22920)/4</f>
        <v>23992.5</v>
      </c>
      <c r="I51" s="67">
        <f aca="true" t="shared" si="22" ref="I51:I67">H51*-F51</f>
        <v>89.60648148148151</v>
      </c>
      <c r="J51" s="36">
        <f t="shared" si="19"/>
        <v>4.992361111111112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</row>
    <row r="52" spans="1:16" ht="12.75">
      <c r="A52" s="1">
        <v>2005</v>
      </c>
      <c r="B52" s="34">
        <f t="shared" si="16"/>
        <v>94.14927261227072</v>
      </c>
      <c r="C52" s="42">
        <f t="shared" si="17"/>
        <v>187.48260594560406</v>
      </c>
      <c r="D52" s="42">
        <f t="shared" si="18"/>
        <v>93.33333333333334</v>
      </c>
      <c r="E52" s="22">
        <f t="shared" si="20"/>
        <v>36.866666666666674</v>
      </c>
      <c r="F52" s="300">
        <f t="shared" si="21"/>
        <v>-0.007359875275686367</v>
      </c>
      <c r="H52" s="85">
        <f>24.35*1000</f>
        <v>24350</v>
      </c>
      <c r="I52" s="67">
        <f t="shared" si="22"/>
        <v>179.21296296296305</v>
      </c>
      <c r="J52" s="36">
        <f t="shared" si="19"/>
        <v>9.984722222222224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</row>
    <row r="53" spans="1:16" ht="12.75">
      <c r="A53" s="1">
        <v>2006</v>
      </c>
      <c r="B53" s="34">
        <f t="shared" si="16"/>
        <v>141.22390891840607</v>
      </c>
      <c r="C53" s="42">
        <f t="shared" si="17"/>
        <v>281.2239089184061</v>
      </c>
      <c r="D53" s="42">
        <f t="shared" si="18"/>
        <v>140.00000000000003</v>
      </c>
      <c r="E53" s="22">
        <f t="shared" si="20"/>
        <v>55.30000000000001</v>
      </c>
      <c r="F53" s="300">
        <f t="shared" si="21"/>
        <v>-0.010812462571170642</v>
      </c>
      <c r="H53" s="85">
        <f>$H$52+($H$57-$H$52)/5</f>
        <v>24862</v>
      </c>
      <c r="I53" s="67">
        <f t="shared" si="22"/>
        <v>268.8194444444445</v>
      </c>
      <c r="J53" s="36">
        <f t="shared" si="19"/>
        <v>14.977083333333335</v>
      </c>
      <c r="K53" s="8" t="s">
        <v>74</v>
      </c>
      <c r="L53" s="9"/>
      <c r="M53" s="3"/>
      <c r="N53" s="3"/>
      <c r="O53" s="54">
        <f>O51+((P11-O11)*P12)/1000</f>
        <v>0.434</v>
      </c>
      <c r="P53" s="55">
        <f>P51+((R11-Q11)*R12)/1000</f>
        <v>0.4807</v>
      </c>
    </row>
    <row r="54" spans="1:16" ht="12.75">
      <c r="A54" s="1">
        <v>2007</v>
      </c>
      <c r="B54" s="34">
        <f t="shared" si="16"/>
        <v>188.29854522454144</v>
      </c>
      <c r="C54" s="42">
        <f t="shared" si="17"/>
        <v>354.618384988404</v>
      </c>
      <c r="D54" s="42">
        <f t="shared" si="18"/>
        <v>166.31983976386255</v>
      </c>
      <c r="E54" s="22">
        <f t="shared" si="20"/>
        <v>65.6963367067257</v>
      </c>
      <c r="F54" s="300">
        <f t="shared" si="21"/>
        <v>-0.012586001116274968</v>
      </c>
      <c r="H54" s="85">
        <f>$H$52+2*($H$57-$H$52)/5</f>
        <v>25374</v>
      </c>
      <c r="I54" s="67">
        <f t="shared" si="22"/>
        <v>319.35719232436105</v>
      </c>
      <c r="J54" s="36">
        <f t="shared" si="19"/>
        <v>17.792757858071543</v>
      </c>
      <c r="K54" s="2" t="s">
        <v>73</v>
      </c>
      <c r="L54" s="3"/>
      <c r="M54" s="3"/>
      <c r="N54" s="9">
        <f>N52</f>
        <v>6</v>
      </c>
      <c r="O54" s="22">
        <f>O53*N54</f>
        <v>2.604</v>
      </c>
      <c r="P54" s="53">
        <f>P53*N54</f>
        <v>2.8842</v>
      </c>
    </row>
    <row r="55" spans="1:16" ht="12.75">
      <c r="A55" s="1">
        <v>2008</v>
      </c>
      <c r="B55" s="34">
        <f t="shared" si="16"/>
        <v>235.3731815306768</v>
      </c>
      <c r="C55" s="42">
        <f t="shared" si="17"/>
        <v>428.0128610584019</v>
      </c>
      <c r="D55" s="42">
        <f t="shared" si="18"/>
        <v>192.6396795277251</v>
      </c>
      <c r="E55" s="22">
        <f t="shared" si="20"/>
        <v>76.09267341345142</v>
      </c>
      <c r="F55" s="300">
        <f t="shared" si="21"/>
        <v>-0.01428938191316842</v>
      </c>
      <c r="H55" s="85">
        <f>$H$52+3*($H$57-$H$52)/5</f>
        <v>25886</v>
      </c>
      <c r="I55" s="67">
        <f t="shared" si="22"/>
        <v>369.8949402042777</v>
      </c>
      <c r="J55" s="36">
        <f t="shared" si="19"/>
        <v>20.60843238280976</v>
      </c>
      <c r="K55" s="2" t="s">
        <v>263</v>
      </c>
      <c r="L55" s="3"/>
      <c r="M55" s="3"/>
      <c r="N55" s="3"/>
      <c r="O55" s="22">
        <f>O54-O52</f>
        <v>1.092</v>
      </c>
      <c r="P55" s="53">
        <f>P54-P52</f>
        <v>2.3352</v>
      </c>
    </row>
    <row r="56" spans="1:16" ht="12.75">
      <c r="A56" s="1">
        <v>2009</v>
      </c>
      <c r="B56" s="34">
        <f t="shared" si="16"/>
        <v>282.44781783681213</v>
      </c>
      <c r="C56" s="42">
        <f t="shared" si="17"/>
        <v>501.4073371283997</v>
      </c>
      <c r="D56" s="42">
        <f t="shared" si="18"/>
        <v>218.95951929158758</v>
      </c>
      <c r="E56" s="22">
        <f t="shared" si="20"/>
        <v>86.4890101201771</v>
      </c>
      <c r="F56" s="300">
        <f t="shared" si="21"/>
        <v>-0.01592668717646012</v>
      </c>
      <c r="H56" s="85">
        <f>$H$52+4*($H$57-$H$52)/5</f>
        <v>26398</v>
      </c>
      <c r="I56" s="67">
        <f t="shared" si="22"/>
        <v>420.43268808419424</v>
      </c>
      <c r="J56" s="36">
        <f t="shared" si="19"/>
        <v>23.424106907547962</v>
      </c>
      <c r="K56" s="2" t="s">
        <v>76</v>
      </c>
      <c r="L56" s="3"/>
      <c r="M56" s="3"/>
      <c r="N56" s="3"/>
      <c r="O56" s="3"/>
      <c r="P56" s="53">
        <f>(O54+P54)</f>
        <v>5.4882</v>
      </c>
    </row>
    <row r="57" spans="1:16" ht="13.5" thickBot="1">
      <c r="A57" s="1">
        <v>2010</v>
      </c>
      <c r="B57" s="34">
        <f t="shared" si="16"/>
        <v>282.44781783681213</v>
      </c>
      <c r="C57" s="42">
        <f t="shared" si="17"/>
        <v>481.0605102255956</v>
      </c>
      <c r="D57" s="42">
        <f t="shared" si="18"/>
        <v>198.61269238878344</v>
      </c>
      <c r="E57" s="22">
        <f t="shared" si="20"/>
        <v>78.45201349356947</v>
      </c>
      <c r="F57" s="300">
        <f t="shared" si="21"/>
        <v>-0.014171830341234835</v>
      </c>
      <c r="H57" s="85">
        <f>26.91*1000</f>
        <v>26910</v>
      </c>
      <c r="I57" s="67">
        <f t="shared" si="22"/>
        <v>381.3639544826294</v>
      </c>
      <c r="J57" s="36">
        <f t="shared" si="19"/>
        <v>21.247420321175063</v>
      </c>
      <c r="K57" s="11" t="s">
        <v>178</v>
      </c>
      <c r="L57" s="12"/>
      <c r="M57" s="12"/>
      <c r="N57" s="12"/>
      <c r="O57" s="12"/>
      <c r="P57" s="62">
        <f>(O55+P55)</f>
        <v>3.4272</v>
      </c>
    </row>
    <row r="58" spans="1:10" ht="13.5" thickBot="1">
      <c r="A58" s="1">
        <v>2011</v>
      </c>
      <c r="B58" s="34">
        <f t="shared" si="16"/>
        <v>282.44781783681213</v>
      </c>
      <c r="C58" s="42">
        <f t="shared" si="17"/>
        <v>460.71368332279144</v>
      </c>
      <c r="D58" s="42">
        <f t="shared" si="18"/>
        <v>178.2658654859793</v>
      </c>
      <c r="E58" s="22">
        <f t="shared" si="20"/>
        <v>70.41501686696184</v>
      </c>
      <c r="F58" s="300">
        <f t="shared" si="21"/>
        <v>-0.012493894254154267</v>
      </c>
      <c r="H58" s="85">
        <f>$H$57+($H$62-$H$57)/5</f>
        <v>27397</v>
      </c>
      <c r="I58" s="67">
        <f t="shared" si="22"/>
        <v>342.29522088106444</v>
      </c>
      <c r="J58" s="36">
        <f t="shared" si="19"/>
        <v>19.07073373480216</v>
      </c>
    </row>
    <row r="59" spans="1:18" ht="15">
      <c r="A59" s="1">
        <v>2012</v>
      </c>
      <c r="B59" s="34">
        <f t="shared" si="16"/>
        <v>282.44781783681213</v>
      </c>
      <c r="C59" s="42">
        <f t="shared" si="17"/>
        <v>440.36685641998736</v>
      </c>
      <c r="D59" s="42">
        <f t="shared" si="18"/>
        <v>157.91903858317522</v>
      </c>
      <c r="E59" s="22">
        <f t="shared" si="20"/>
        <v>62.37802024035422</v>
      </c>
      <c r="F59" s="300">
        <f t="shared" si="21"/>
        <v>-0.010874569189481412</v>
      </c>
      <c r="H59" s="85">
        <f>$H$57+2*($H$62-$H$57)/5</f>
        <v>27884</v>
      </c>
      <c r="I59" s="67">
        <f t="shared" si="22"/>
        <v>303.2264872794997</v>
      </c>
      <c r="J59" s="36">
        <f t="shared" si="19"/>
        <v>16.894047148429266</v>
      </c>
      <c r="K59" s="417" t="s">
        <v>1</v>
      </c>
      <c r="L59" s="418"/>
      <c r="M59" s="418"/>
      <c r="N59" s="418"/>
      <c r="O59" s="418"/>
      <c r="P59" s="418"/>
      <c r="Q59" s="418"/>
      <c r="R59" s="419"/>
    </row>
    <row r="60" spans="1:18" ht="12.75">
      <c r="A60" s="1">
        <v>2013</v>
      </c>
      <c r="B60" s="34">
        <f t="shared" si="16"/>
        <v>282.44781783681213</v>
      </c>
      <c r="C60" s="42">
        <f t="shared" si="17"/>
        <v>440.36685641998736</v>
      </c>
      <c r="D60" s="42">
        <f t="shared" si="18"/>
        <v>157.91903858317522</v>
      </c>
      <c r="E60" s="22">
        <f t="shared" si="20"/>
        <v>62.37802024035422</v>
      </c>
      <c r="F60" s="300">
        <f t="shared" si="21"/>
        <v>-0.010687902692168048</v>
      </c>
      <c r="H60" s="85">
        <f>$H$57+3*($H$62-$H$57)/5</f>
        <v>28371</v>
      </c>
      <c r="I60" s="67">
        <f t="shared" si="22"/>
        <v>303.2264872794997</v>
      </c>
      <c r="J60" s="36">
        <f t="shared" si="19"/>
        <v>16.894047148429266</v>
      </c>
      <c r="K60" s="2" t="s">
        <v>2</v>
      </c>
      <c r="L60" s="3"/>
      <c r="M60" s="3"/>
      <c r="N60" s="3"/>
      <c r="O60" s="3"/>
      <c r="P60" s="3"/>
      <c r="Q60" s="3">
        <f>(O11*I5)+(Q11*I6)</f>
        <v>195</v>
      </c>
      <c r="R60" s="4" t="s">
        <v>3</v>
      </c>
    </row>
    <row r="61" spans="1:18" ht="12.75">
      <c r="A61" s="1">
        <v>2014</v>
      </c>
      <c r="B61" s="34">
        <f t="shared" si="16"/>
        <v>282.44781783681213</v>
      </c>
      <c r="C61" s="42">
        <f t="shared" si="17"/>
        <v>440.36685641998736</v>
      </c>
      <c r="D61" s="42">
        <f t="shared" si="18"/>
        <v>157.91903858317522</v>
      </c>
      <c r="E61" s="22">
        <f t="shared" si="20"/>
        <v>62.37802024035422</v>
      </c>
      <c r="F61" s="300">
        <f t="shared" si="21"/>
        <v>-0.010507536464048086</v>
      </c>
      <c r="H61" s="85">
        <f>$H$57+4*($H$62-$H$57)/5</f>
        <v>28858</v>
      </c>
      <c r="I61" s="67">
        <f t="shared" si="22"/>
        <v>303.2264872794997</v>
      </c>
      <c r="J61" s="36">
        <f t="shared" si="19"/>
        <v>16.894047148429266</v>
      </c>
      <c r="K61" s="2" t="s">
        <v>116</v>
      </c>
      <c r="L61" s="3"/>
      <c r="M61" s="3"/>
      <c r="N61" s="3"/>
      <c r="O61" s="3"/>
      <c r="P61" s="3"/>
      <c r="Q61" s="5">
        <f>R15*I7</f>
        <v>95</v>
      </c>
      <c r="R61" s="4" t="s">
        <v>3</v>
      </c>
    </row>
    <row r="62" spans="1:18" ht="12.75">
      <c r="A62" s="1">
        <v>2015</v>
      </c>
      <c r="B62" s="34">
        <f t="shared" si="16"/>
        <v>282.44781783681213</v>
      </c>
      <c r="C62" s="42">
        <f t="shared" si="17"/>
        <v>414.0470166561248</v>
      </c>
      <c r="D62" s="42">
        <f t="shared" si="18"/>
        <v>131.59919881931268</v>
      </c>
      <c r="E62" s="22">
        <f t="shared" si="20"/>
        <v>51.98168353362851</v>
      </c>
      <c r="F62" s="300">
        <f t="shared" si="21"/>
        <v>-0.008610964027929224</v>
      </c>
      <c r="H62" s="85">
        <f>29.345*1000</f>
        <v>29345</v>
      </c>
      <c r="I62" s="67">
        <f t="shared" si="22"/>
        <v>252.68873939958306</v>
      </c>
      <c r="J62" s="36">
        <f t="shared" si="19"/>
        <v>14.078372623691054</v>
      </c>
      <c r="K62" s="2" t="s">
        <v>351</v>
      </c>
      <c r="L62" s="3"/>
      <c r="M62" s="3"/>
      <c r="N62" s="3"/>
      <c r="O62" s="3"/>
      <c r="P62" s="3"/>
      <c r="Q62" s="5">
        <f>(O53-O51+P53-P51)*1000</f>
        <v>571.2</v>
      </c>
      <c r="R62" s="4" t="s">
        <v>8</v>
      </c>
    </row>
    <row r="63" spans="1:18" ht="12.75">
      <c r="A63" s="1">
        <v>2016</v>
      </c>
      <c r="B63" s="34">
        <f t="shared" si="16"/>
        <v>282.44781783681213</v>
      </c>
      <c r="C63" s="42">
        <f t="shared" si="17"/>
        <v>387.72717689226226</v>
      </c>
      <c r="D63" s="42">
        <f>C63-B63</f>
        <v>105.27935905545013</v>
      </c>
      <c r="E63" s="22">
        <f t="shared" si="20"/>
        <v>41.5853468269028</v>
      </c>
      <c r="F63" s="300">
        <f t="shared" si="21"/>
        <v>-0.0067672399410707825</v>
      </c>
      <c r="H63" s="85">
        <f>$H$62+($H$67-$H$62)/5</f>
        <v>29872</v>
      </c>
      <c r="I63" s="67">
        <f t="shared" si="22"/>
        <v>202.1509915196664</v>
      </c>
      <c r="J63" s="36">
        <f t="shared" si="19"/>
        <v>11.262698098952841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140</v>
      </c>
      <c r="R63" s="4" t="s">
        <v>3</v>
      </c>
    </row>
    <row r="64" spans="1:18" ht="12.75">
      <c r="A64" s="1">
        <v>2017</v>
      </c>
      <c r="B64" s="34">
        <f t="shared" si="16"/>
        <v>282.44781783681213</v>
      </c>
      <c r="C64" s="42">
        <f t="shared" si="17"/>
        <v>361.4073371283997</v>
      </c>
      <c r="D64" s="42">
        <f>C64-B64</f>
        <v>78.95951929158758</v>
      </c>
      <c r="E64" s="22">
        <f t="shared" si="20"/>
        <v>31.189010120177098</v>
      </c>
      <c r="F64" s="300">
        <f t="shared" si="21"/>
        <v>-0.004987441811893477</v>
      </c>
      <c r="H64" s="85">
        <f>$H$62+2*($H$67-$H$62)/5</f>
        <v>30399</v>
      </c>
      <c r="I64" s="67">
        <f t="shared" si="22"/>
        <v>151.6132436397498</v>
      </c>
      <c r="J64" s="36">
        <f t="shared" si="19"/>
        <v>8.44702357421463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120</v>
      </c>
      <c r="R64" s="4" t="s">
        <v>8</v>
      </c>
    </row>
    <row r="65" spans="1:18" ht="12.75">
      <c r="A65" s="1">
        <v>2018</v>
      </c>
      <c r="B65" s="34">
        <f t="shared" si="16"/>
        <v>282.44781783681213</v>
      </c>
      <c r="C65" s="42">
        <f t="shared" si="17"/>
        <v>335.08749736453717</v>
      </c>
      <c r="D65" s="42">
        <f>C65-B65</f>
        <v>52.639679527725036</v>
      </c>
      <c r="E65" s="22">
        <f t="shared" si="20"/>
        <v>20.79267341345139</v>
      </c>
      <c r="F65" s="300">
        <f t="shared" si="21"/>
        <v>-0.003268301615463789</v>
      </c>
      <c r="H65" s="85">
        <f>$H$62+3*($H$67-$H$62)/5</f>
        <v>30926</v>
      </c>
      <c r="I65" s="67">
        <f t="shared" si="22"/>
        <v>101.07549575983313</v>
      </c>
      <c r="J65" s="36">
        <f t="shared" si="19"/>
        <v>5.631349049476418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97.3</v>
      </c>
      <c r="R65" s="4" t="s">
        <v>8</v>
      </c>
    </row>
    <row r="66" spans="1:18" ht="12.75">
      <c r="A66" s="1">
        <v>2019</v>
      </c>
      <c r="B66" s="34">
        <f t="shared" si="16"/>
        <v>282.44781783681213</v>
      </c>
      <c r="C66" s="42">
        <f t="shared" si="17"/>
        <v>308.7676576006747</v>
      </c>
      <c r="D66" s="42">
        <f>C66-B66</f>
        <v>26.319839763862547</v>
      </c>
      <c r="E66" s="22">
        <f t="shared" si="20"/>
        <v>10.396336706725707</v>
      </c>
      <c r="F66" s="300">
        <f t="shared" si="21"/>
        <v>-0.0016067703519510583</v>
      </c>
      <c r="H66" s="85">
        <f>$H$62+4*($H$67-$H$62)/5</f>
        <v>31453</v>
      </c>
      <c r="I66" s="67">
        <f t="shared" si="22"/>
        <v>50.53774787991664</v>
      </c>
      <c r="J66" s="36">
        <f t="shared" si="19"/>
        <v>2.815674524738212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72.43333333333334</v>
      </c>
      <c r="R66" s="4" t="s">
        <v>8</v>
      </c>
    </row>
    <row r="67" spans="1:18" ht="13.5" thickBot="1">
      <c r="A67" s="1">
        <v>2020</v>
      </c>
      <c r="B67" s="102">
        <f t="shared" si="16"/>
        <v>0</v>
      </c>
      <c r="C67" s="58">
        <f t="shared" si="17"/>
        <v>0</v>
      </c>
      <c r="D67" s="58">
        <f>C67-B67</f>
        <v>0</v>
      </c>
      <c r="E67" s="163">
        <f t="shared" si="20"/>
        <v>0</v>
      </c>
      <c r="F67" s="301">
        <f t="shared" si="21"/>
        <v>0</v>
      </c>
      <c r="H67" s="77">
        <v>31980</v>
      </c>
      <c r="I67" s="60">
        <f t="shared" si="22"/>
        <v>0</v>
      </c>
      <c r="J67" s="71">
        <f t="shared" si="19"/>
        <v>0</v>
      </c>
      <c r="K67" s="6" t="s">
        <v>350</v>
      </c>
      <c r="L67" s="3"/>
      <c r="M67" s="3"/>
      <c r="N67" s="3"/>
      <c r="O67" s="3"/>
      <c r="P67" s="3"/>
      <c r="Q67" s="41">
        <f>(((P11-O11)*P12)-((1-O64)*(P11-O11)*P64))+((1-O65)*(R11-Q11)*R12)</f>
        <v>353.9</v>
      </c>
      <c r="R67" s="4" t="s">
        <v>8</v>
      </c>
    </row>
    <row r="68" spans="1:18" ht="13.5" thickTop="1">
      <c r="A68" t="s">
        <v>104</v>
      </c>
      <c r="B68" s="128">
        <f>SUM(B50:B67)</f>
        <v>3813.0455407969644</v>
      </c>
      <c r="C68" s="85">
        <f>SUM(C50:C67)</f>
        <v>5916.397849462363</v>
      </c>
      <c r="D68" s="85">
        <f>SUM(D50:D67)</f>
        <v>2103.352308665402</v>
      </c>
      <c r="E68" s="85">
        <f>SUM(E50:E67)</f>
        <v>830.8241619228337</v>
      </c>
      <c r="I68" s="36">
        <f>SUM(I50:I67)</f>
        <v>4038.7285649026635</v>
      </c>
      <c r="J68" s="36">
        <f>SUM(J50:J67)</f>
        <v>225.01487718743408</v>
      </c>
      <c r="K68" s="6" t="s">
        <v>353</v>
      </c>
      <c r="L68" s="3"/>
      <c r="M68" s="3"/>
      <c r="N68" s="3"/>
      <c r="O68" s="3"/>
      <c r="P68" s="3"/>
      <c r="Q68" s="7">
        <f>Q66+Q67</f>
        <v>426.3333333333333</v>
      </c>
      <c r="R68" s="4" t="s">
        <v>8</v>
      </c>
    </row>
    <row r="69" spans="2:18" ht="13.5" thickBot="1">
      <c r="B69" s="79"/>
      <c r="C69" s="42"/>
      <c r="D69" s="42"/>
      <c r="H69" s="9" t="s">
        <v>147</v>
      </c>
      <c r="I69" s="36">
        <f>NPV($O$42,I51:I66)</f>
        <v>2455.7186337309545</v>
      </c>
      <c r="J69" s="36">
        <f>NPV($O$42,J51:J67)</f>
        <v>136.81860959358173</v>
      </c>
      <c r="K69" s="11" t="s">
        <v>10</v>
      </c>
      <c r="L69" s="12"/>
      <c r="M69" s="12"/>
      <c r="N69" s="12"/>
      <c r="O69" s="12"/>
      <c r="P69" s="12"/>
      <c r="Q69" s="286">
        <f>Q68-Q63</f>
        <v>286.3333333333333</v>
      </c>
      <c r="R69" s="287" t="s">
        <v>8</v>
      </c>
    </row>
    <row r="70" spans="1:10" ht="12.75">
      <c r="A70" t="s">
        <v>114</v>
      </c>
      <c r="B70" s="95"/>
      <c r="C70" s="136"/>
      <c r="D70" s="86">
        <f>M41+N41</f>
        <v>2103.352308665402</v>
      </c>
      <c r="E70" s="120"/>
      <c r="F70" s="120"/>
      <c r="G70" s="120"/>
      <c r="H70" s="120"/>
      <c r="I70" s="120"/>
      <c r="J70" s="137"/>
    </row>
  </sheetData>
  <mergeCells count="19">
    <mergeCell ref="A1:R1"/>
    <mergeCell ref="A3:R3"/>
    <mergeCell ref="A4:E4"/>
    <mergeCell ref="F4:L4"/>
    <mergeCell ref="M4:R4"/>
    <mergeCell ref="O5:P5"/>
    <mergeCell ref="B18:F18"/>
    <mergeCell ref="H18:Q18"/>
    <mergeCell ref="C20:F20"/>
    <mergeCell ref="H20:I20"/>
    <mergeCell ref="N20:O20"/>
    <mergeCell ref="Q5:R5"/>
    <mergeCell ref="K48:P48"/>
    <mergeCell ref="K59:R59"/>
    <mergeCell ref="D21:E21"/>
    <mergeCell ref="M42:N42"/>
    <mergeCell ref="B45:F45"/>
    <mergeCell ref="B47:D47"/>
    <mergeCell ref="E47:F47"/>
  </mergeCells>
  <printOptions/>
  <pageMargins left="0.75" right="0.75" top="0.5" bottom="0.5" header="0.5" footer="0.5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0"/>
  <sheetViews>
    <sheetView workbookViewId="0" topLeftCell="A1">
      <selection activeCell="A1" sqref="A1:R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4" width="14.28125" style="0" customWidth="1"/>
    <col min="5" max="5" width="11.7109375" style="0" customWidth="1"/>
    <col min="6" max="6" width="10.8515625" style="0" bestFit="1" customWidth="1"/>
    <col min="7" max="7" width="2.7109375" style="0" customWidth="1"/>
    <col min="9" max="9" width="12.57421875" style="0" bestFit="1" customWidth="1"/>
    <col min="10" max="11" width="9.57421875" style="0" bestFit="1" customWidth="1"/>
    <col min="13" max="13" width="11.57421875" style="0" bestFit="1" customWidth="1"/>
    <col min="14" max="15" width="12.7109375" style="0" customWidth="1"/>
    <col min="16" max="16" width="10.57421875" style="0" bestFit="1" customWidth="1"/>
    <col min="17" max="17" width="12.7109375" style="0" bestFit="1" customWidth="1"/>
    <col min="18" max="18" width="11.7109375" style="0" bestFit="1" customWidth="1"/>
    <col min="19" max="19" width="10.57421875" style="0" bestFit="1" customWidth="1"/>
    <col min="24" max="24" width="10.140625" style="0" bestFit="1" customWidth="1"/>
    <col min="25" max="25" width="9.57421875" style="0" bestFit="1" customWidth="1"/>
  </cols>
  <sheetData>
    <row r="1" spans="1:25" ht="20.25">
      <c r="A1" s="384" t="s">
        <v>305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21"/>
      <c r="T1" s="221"/>
      <c r="U1" s="221"/>
      <c r="V1" s="221"/>
      <c r="W1" s="221"/>
      <c r="X1" s="221"/>
      <c r="Y1" s="221"/>
    </row>
    <row r="2" spans="1:25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Y2" s="146"/>
    </row>
    <row r="3" spans="1:18" ht="15" customHeight="1">
      <c r="A3" s="423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5"/>
    </row>
    <row r="4" spans="1:18" ht="15" customHeight="1">
      <c r="A4" s="431" t="s">
        <v>137</v>
      </c>
      <c r="B4" s="393"/>
      <c r="C4" s="393"/>
      <c r="D4" s="393"/>
      <c r="E4" s="394"/>
      <c r="F4" s="392" t="s">
        <v>138</v>
      </c>
      <c r="G4" s="393"/>
      <c r="H4" s="393"/>
      <c r="I4" s="393"/>
      <c r="J4" s="393"/>
      <c r="K4" s="393"/>
      <c r="L4" s="394"/>
      <c r="M4" s="411" t="s">
        <v>142</v>
      </c>
      <c r="N4" s="412"/>
      <c r="O4" s="412"/>
      <c r="P4" s="412"/>
      <c r="Q4" s="412"/>
      <c r="R4" s="426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15</v>
      </c>
      <c r="J5" s="3" t="s">
        <v>3</v>
      </c>
      <c r="K5" s="3"/>
      <c r="L5" s="80"/>
      <c r="M5" s="3" t="s">
        <v>55</v>
      </c>
      <c r="N5" s="3"/>
      <c r="O5" s="393" t="s">
        <v>56</v>
      </c>
      <c r="P5" s="394"/>
      <c r="Q5" s="392" t="s">
        <v>57</v>
      </c>
      <c r="R5" s="437"/>
    </row>
    <row r="6" spans="1:18" ht="12.75" customHeigh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45</v>
      </c>
      <c r="J6" s="3" t="s">
        <v>3</v>
      </c>
      <c r="K6" s="3"/>
      <c r="L6" s="80"/>
      <c r="M6" s="3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2.75" customHeight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0</v>
      </c>
      <c r="J7" s="3" t="s">
        <v>3</v>
      </c>
      <c r="K7" s="3"/>
      <c r="L7" s="80"/>
      <c r="M7" s="113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13" t="s">
        <v>63</v>
      </c>
      <c r="N8" s="9"/>
      <c r="O8" s="42">
        <f>O11/(369/1147)</f>
        <v>37.30081300813008</v>
      </c>
      <c r="P8" s="42"/>
      <c r="Q8" s="34">
        <f>Q11/(48/168)</f>
        <v>10.5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13" t="s">
        <v>64</v>
      </c>
      <c r="N9" s="9"/>
      <c r="O9" s="3"/>
      <c r="P9" s="43">
        <f>P11/(1/3)</f>
        <v>54</v>
      </c>
      <c r="Q9" s="79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13" t="s">
        <v>65</v>
      </c>
      <c r="N10" s="9"/>
      <c r="O10" s="9"/>
      <c r="P10" s="44"/>
      <c r="Q10" s="79"/>
      <c r="R10" s="45">
        <f>R11/(1/5)</f>
        <v>30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5.510869565217392</v>
      </c>
      <c r="L11" s="154">
        <f>ROUND(K11,0)</f>
        <v>6</v>
      </c>
      <c r="M11" s="113" t="s">
        <v>66</v>
      </c>
      <c r="N11" s="9"/>
      <c r="O11" s="9">
        <v>12</v>
      </c>
      <c r="P11" s="43">
        <v>18</v>
      </c>
      <c r="Q11" s="14">
        <v>3</v>
      </c>
      <c r="R11" s="45">
        <v>6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6.723908918406072</v>
      </c>
      <c r="L12" s="80"/>
      <c r="M12" s="113" t="s">
        <v>78</v>
      </c>
      <c r="N12" s="9"/>
      <c r="O12" s="9">
        <v>21</v>
      </c>
      <c r="P12" s="46">
        <v>45.5</v>
      </c>
      <c r="Q12" s="14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5.073380450824556</v>
      </c>
      <c r="L13" s="80"/>
      <c r="M13" s="107" t="s">
        <v>133</v>
      </c>
      <c r="N13" s="3"/>
      <c r="O13" s="9">
        <v>2.5</v>
      </c>
      <c r="P13" s="22">
        <f>((O11*O13)+((P11-O11)*O13*P14))/(P11)</f>
        <v>3.3333333333333335</v>
      </c>
      <c r="Q13" s="9">
        <v>4.6</v>
      </c>
      <c r="R13" s="53">
        <f>((Q11*Q13)+((R11-Q11)*Q13*P14))/R11</f>
        <v>6.8999999999999995</v>
      </c>
      <c r="AA13" s="3"/>
      <c r="AB13" s="3"/>
      <c r="AC13" s="3"/>
      <c r="AD13" s="283"/>
      <c r="AE13" s="3"/>
      <c r="AF13" s="3"/>
      <c r="AG13" s="3"/>
      <c r="AH13" s="3"/>
      <c r="AI13" s="288"/>
    </row>
    <row r="14" spans="1:18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5.871033613596293</v>
      </c>
      <c r="L14" s="154">
        <f>ROUND(K14,0)</f>
        <v>6</v>
      </c>
      <c r="M14" s="3" t="s">
        <v>112</v>
      </c>
      <c r="N14" s="3"/>
      <c r="O14" s="3"/>
      <c r="P14" s="73">
        <v>2</v>
      </c>
      <c r="Q14" s="3"/>
      <c r="R14" s="40">
        <f>P14</f>
        <v>2</v>
      </c>
    </row>
    <row r="15" spans="1:18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80"/>
      <c r="M15" s="74" t="s">
        <v>132</v>
      </c>
      <c r="N15" s="3"/>
      <c r="O15" s="3"/>
      <c r="P15" s="115">
        <f>2/3</f>
        <v>0.6666666666666666</v>
      </c>
      <c r="Q15" s="125">
        <f>(R10-R11)*P15</f>
        <v>16</v>
      </c>
      <c r="R15" s="40">
        <f>ROUND(Q15,0)</f>
        <v>16</v>
      </c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49" t="s">
        <v>154</v>
      </c>
      <c r="N16" s="12"/>
      <c r="O16" s="12"/>
      <c r="P16" s="12"/>
      <c r="Q16" s="12"/>
      <c r="R16" s="150">
        <v>1</v>
      </c>
    </row>
    <row r="17" spans="1:23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84"/>
      <c r="V17" s="84"/>
      <c r="W17" s="84"/>
    </row>
    <row r="18" spans="1:25" ht="15" customHeight="1">
      <c r="A18" s="3"/>
      <c r="B18" s="422" t="s">
        <v>103</v>
      </c>
      <c r="C18" s="390"/>
      <c r="D18" s="390"/>
      <c r="E18" s="390"/>
      <c r="F18" s="391"/>
      <c r="G18" s="238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  <c r="W18" s="127"/>
      <c r="X18" s="127"/>
      <c r="Y18" s="127"/>
    </row>
    <row r="19" spans="1:25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  <c r="W19" s="9"/>
      <c r="X19" s="141"/>
      <c r="Y19" s="9"/>
    </row>
    <row r="20" spans="1:29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  <c r="AA20" s="9"/>
      <c r="AB20" s="407"/>
      <c r="AC20" s="407"/>
    </row>
    <row r="21" spans="1:29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AA21" s="73"/>
      <c r="AB21" s="73"/>
      <c r="AC21" s="73"/>
    </row>
    <row r="22" spans="1:29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AA22" s="73"/>
      <c r="AB22" s="9"/>
      <c r="AC22" s="9"/>
    </row>
    <row r="23" spans="1:29" ht="12.75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14">
        <f aca="true" t="shared" si="2" ref="H23:H28">$Q$60</f>
        <v>315</v>
      </c>
      <c r="I23" s="28">
        <f aca="true" t="shared" si="3" ref="I23:I28">$Q$61</f>
        <v>0</v>
      </c>
      <c r="J23" s="73">
        <v>0</v>
      </c>
      <c r="K23" s="35">
        <f>$Q$68</f>
        <v>396.24999999999994</v>
      </c>
      <c r="L23" s="29">
        <f>$Q$63</f>
        <v>225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4" ref="P23:P40">M23+N23+$C$15*O23</f>
        <v>0</v>
      </c>
      <c r="Q23" s="33">
        <f aca="true" t="shared" si="5" ref="Q23:Q40">(($D$9-$D$10)*$C$11*(1-$E$11)*(N23-J23))+(($D$9-$D$10)*$J$8*$C$11*(1-$E$11)*O23)</f>
        <v>0</v>
      </c>
      <c r="R23" s="75">
        <f>J23*$I$15</f>
        <v>0</v>
      </c>
      <c r="AA23" s="85"/>
      <c r="AB23" s="115"/>
      <c r="AC23" s="115"/>
    </row>
    <row r="24" spans="1:29" ht="12.75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14">
        <f t="shared" si="2"/>
        <v>315</v>
      </c>
      <c r="I24" s="28">
        <f t="shared" si="3"/>
        <v>0</v>
      </c>
      <c r="J24" s="34">
        <f>(SUM($H$23:H23)/$L$11)+(SUM($I$23:I23)/$K$16)</f>
        <v>52.5</v>
      </c>
      <c r="K24" s="35">
        <f aca="true" t="shared" si="6" ref="K24:L28">K23</f>
        <v>396.24999999999994</v>
      </c>
      <c r="L24" s="30">
        <f t="shared" si="6"/>
        <v>225</v>
      </c>
      <c r="M24" s="30">
        <f>SUM($L$23:L23)/$L$11</f>
        <v>37.5</v>
      </c>
      <c r="N24" s="30">
        <f>IF($L$11&gt;(A24-$A$24),0,(((((1-($C$15/($C$14+$C$15)))*SUM($K$23:K23)))-SUM($L$23:L23))/$L$14))</f>
        <v>0</v>
      </c>
      <c r="O24" s="30">
        <f aca="true" t="shared" si="7" ref="O24:O40">(M24+N24)/$C$14</f>
        <v>1.4423076923076923</v>
      </c>
      <c r="P24" s="32">
        <f t="shared" si="4"/>
        <v>45.605769230769226</v>
      </c>
      <c r="Q24" s="36">
        <f t="shared" si="5"/>
        <v>-22.187499999999996</v>
      </c>
      <c r="R24" s="75">
        <f aca="true" t="shared" si="8" ref="R24:R35">J24*$I$15</f>
        <v>28.437499999999996</v>
      </c>
      <c r="AA24" s="85"/>
      <c r="AB24" s="143"/>
      <c r="AC24" s="143"/>
    </row>
    <row r="25" spans="1:29" ht="12.75">
      <c r="A25" s="1">
        <v>2005</v>
      </c>
      <c r="B25" s="128">
        <f>'Total Roy'!B46</f>
        <v>331.7466</v>
      </c>
      <c r="C25" s="111">
        <f aca="true" t="shared" si="9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14">
        <f t="shared" si="2"/>
        <v>315</v>
      </c>
      <c r="I25" s="28">
        <f t="shared" si="3"/>
        <v>0</v>
      </c>
      <c r="J25" s="34">
        <f>(SUM($H$23:H24)/$L$11)+(SUM(I23:I24)/$K$16)</f>
        <v>105</v>
      </c>
      <c r="K25" s="35">
        <f t="shared" si="6"/>
        <v>396.24999999999994</v>
      </c>
      <c r="L25" s="30">
        <f t="shared" si="6"/>
        <v>225</v>
      </c>
      <c r="M25" s="30">
        <f>SUM($L$23:L24)/$L$11</f>
        <v>75</v>
      </c>
      <c r="N25" s="30">
        <f>IF($L$11&gt;(A25-$A$24),0,(((((1-($C$15/($C$14+$C$15)))*SUM($K$23:K24)))-SUM($L$23:L24))/$L$14))</f>
        <v>0</v>
      </c>
      <c r="O25" s="30">
        <f t="shared" si="7"/>
        <v>2.8846153846153846</v>
      </c>
      <c r="P25" s="32">
        <f t="shared" si="4"/>
        <v>91.21153846153845</v>
      </c>
      <c r="Q25" s="36">
        <f t="shared" si="5"/>
        <v>-44.37499999999999</v>
      </c>
      <c r="R25" s="75">
        <f t="shared" si="8"/>
        <v>56.87499999999999</v>
      </c>
      <c r="AA25" s="85"/>
      <c r="AB25" s="143"/>
      <c r="AC25" s="143"/>
    </row>
    <row r="26" spans="1:29" ht="12.75">
      <c r="A26" s="1">
        <v>2006</v>
      </c>
      <c r="B26" s="128">
        <f>'Total Roy'!B47</f>
        <v>297.83369999999996</v>
      </c>
      <c r="C26" s="111">
        <f t="shared" si="9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14">
        <f t="shared" si="2"/>
        <v>315</v>
      </c>
      <c r="I26" s="28">
        <f t="shared" si="3"/>
        <v>0</v>
      </c>
      <c r="J26" s="34">
        <f>(SUM($H$23:H25)/$L$11)+(SUM(I24:I25)/$K$16)</f>
        <v>157.5</v>
      </c>
      <c r="K26" s="35">
        <f t="shared" si="6"/>
        <v>396.24999999999994</v>
      </c>
      <c r="L26" s="30">
        <f t="shared" si="6"/>
        <v>225</v>
      </c>
      <c r="M26" s="30">
        <f>SUM($L$23:L25)/$L$11</f>
        <v>112.5</v>
      </c>
      <c r="N26" s="30">
        <f>IF($L$11&gt;(A26-$A$24),0,(((((1-($C$15/($C$14+$C$15)))*SUM($K$23:K25)))-SUM($L$23:L25))/$L$14))</f>
        <v>0</v>
      </c>
      <c r="O26" s="30">
        <f t="shared" si="7"/>
        <v>4.326923076923077</v>
      </c>
      <c r="P26" s="32">
        <f t="shared" si="4"/>
        <v>136.81730769230768</v>
      </c>
      <c r="Q26" s="36">
        <f t="shared" si="5"/>
        <v>-66.5625</v>
      </c>
      <c r="R26" s="75">
        <f t="shared" si="8"/>
        <v>85.3125</v>
      </c>
      <c r="AA26" s="85"/>
      <c r="AB26" s="143"/>
      <c r="AC26" s="143"/>
    </row>
    <row r="27" spans="1:29" ht="12.75">
      <c r="A27" s="1">
        <v>2007</v>
      </c>
      <c r="B27" s="128">
        <f>'Total Roy'!B48</f>
        <v>261.3062</v>
      </c>
      <c r="C27" s="111">
        <f t="shared" si="9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14">
        <f t="shared" si="2"/>
        <v>315</v>
      </c>
      <c r="I27" s="28">
        <f t="shared" si="3"/>
        <v>0</v>
      </c>
      <c r="J27" s="34">
        <f>(SUM($H$23:H26)/$L$11)+(SUM(I25:I26)/$K$16)</f>
        <v>210</v>
      </c>
      <c r="K27" s="35">
        <f t="shared" si="6"/>
        <v>396.24999999999994</v>
      </c>
      <c r="L27" s="30">
        <f t="shared" si="6"/>
        <v>225</v>
      </c>
      <c r="M27" s="30">
        <f>SUM($L$23:L26)/$L$11</f>
        <v>150</v>
      </c>
      <c r="N27" s="30">
        <f>IF($L$11&gt;(A27-$A$24),0,(((((1-($C$15/($C$14+$C$15)))*SUM($K$23:K26)))-SUM($L$23:L26))/$L$14))</f>
        <v>0</v>
      </c>
      <c r="O27" s="30">
        <f t="shared" si="7"/>
        <v>5.769230769230769</v>
      </c>
      <c r="P27" s="32">
        <f t="shared" si="4"/>
        <v>182.4230769230769</v>
      </c>
      <c r="Q27" s="36">
        <f t="shared" si="5"/>
        <v>-88.74999999999999</v>
      </c>
      <c r="R27" s="75">
        <f t="shared" si="8"/>
        <v>113.74999999999999</v>
      </c>
      <c r="AA27" s="85"/>
      <c r="AB27" s="143"/>
      <c r="AC27" s="143"/>
    </row>
    <row r="28" spans="1:29" ht="12.75">
      <c r="A28" s="1">
        <v>2008</v>
      </c>
      <c r="B28" s="128">
        <f>'Total Roy'!B49</f>
        <v>226.54739999999998</v>
      </c>
      <c r="C28" s="111">
        <f t="shared" si="9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14">
        <f t="shared" si="2"/>
        <v>315</v>
      </c>
      <c r="I28" s="28">
        <f t="shared" si="3"/>
        <v>0</v>
      </c>
      <c r="J28" s="34">
        <f>(SUM($H$23:H27)/$L$11)+(SUM(I26:I27)/$K$16)</f>
        <v>262.5</v>
      </c>
      <c r="K28" s="35">
        <f t="shared" si="6"/>
        <v>396.24999999999994</v>
      </c>
      <c r="L28" s="30">
        <f t="shared" si="6"/>
        <v>225</v>
      </c>
      <c r="M28" s="30">
        <f>SUM($L$23:L27)/$L$11</f>
        <v>187.5</v>
      </c>
      <c r="N28" s="30">
        <f>IF($L$11&gt;(A28-$A$24),0,(((((1-($C$15/($C$14+$C$15)))*SUM($K$23:K27)))-SUM($L$23:L27))/$L$14))</f>
        <v>0</v>
      </c>
      <c r="O28" s="30">
        <f t="shared" si="7"/>
        <v>7.211538461538462</v>
      </c>
      <c r="P28" s="32">
        <f t="shared" si="4"/>
        <v>228.02884615384616</v>
      </c>
      <c r="Q28" s="36">
        <f t="shared" si="5"/>
        <v>-110.9375</v>
      </c>
      <c r="R28" s="75">
        <f t="shared" si="8"/>
        <v>142.1875</v>
      </c>
      <c r="AA28" s="85"/>
      <c r="AB28" s="143"/>
      <c r="AC28" s="143"/>
    </row>
    <row r="29" spans="1:29" ht="12.75">
      <c r="A29" s="1">
        <v>2009</v>
      </c>
      <c r="B29" s="128">
        <f>'Total Roy'!B50</f>
        <v>197.3254</v>
      </c>
      <c r="C29" s="111">
        <f t="shared" si="9"/>
        <v>343.5</v>
      </c>
      <c r="D29" s="42">
        <f aca="true" t="shared" si="10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aca="true" t="shared" si="11" ref="J29:J35">(SUM(H23:H28)/$L$11)+(SUM(I27:I28)/$K$16)</f>
        <v>315</v>
      </c>
      <c r="K29" s="28">
        <v>0</v>
      </c>
      <c r="L29" s="28">
        <v>0</v>
      </c>
      <c r="M29" s="30">
        <f aca="true" t="shared" si="12" ref="M29:M35">SUM(L23:L28)/$L$11</f>
        <v>225</v>
      </c>
      <c r="N29" s="30">
        <f>IF($L$11&gt;(A29-$A$24),0,(((((1-($C$15/($C$14+$C$15)))*SUM($K$23:K28)))-SUM($L$23:L28))/$L$14))</f>
        <v>0</v>
      </c>
      <c r="O29" s="30">
        <f t="shared" si="7"/>
        <v>8.653846153846153</v>
      </c>
      <c r="P29" s="32">
        <f t="shared" si="4"/>
        <v>273.63461538461536</v>
      </c>
      <c r="Q29" s="36">
        <f t="shared" si="5"/>
        <v>-133.125</v>
      </c>
      <c r="R29" s="75">
        <f t="shared" si="8"/>
        <v>170.625</v>
      </c>
      <c r="AA29" s="85"/>
      <c r="AB29" s="143"/>
      <c r="AC29" s="143"/>
    </row>
    <row r="30" spans="1:29" ht="12.75">
      <c r="A30" s="1">
        <v>2010</v>
      </c>
      <c r="B30" s="128">
        <f>'Total Roy'!B51</f>
        <v>171.4101</v>
      </c>
      <c r="C30" s="111">
        <f t="shared" si="9"/>
        <v>343.5</v>
      </c>
      <c r="D30" s="42">
        <f t="shared" si="10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11"/>
        <v>262.5</v>
      </c>
      <c r="K30" s="28"/>
      <c r="L30" s="28"/>
      <c r="M30" s="30">
        <f t="shared" si="12"/>
        <v>187.5</v>
      </c>
      <c r="N30" s="30">
        <f>IF($L$11&gt;(A30-$A$24),0,(((((1-($C$15/($C$14+$C$15)))*SUM($K$23:K23)))-SUM($L$23:L23))/$L$14))</f>
        <v>16.803710731604458</v>
      </c>
      <c r="O30" s="30">
        <f t="shared" si="7"/>
        <v>7.857835028138633</v>
      </c>
      <c r="P30" s="32">
        <f t="shared" si="4"/>
        <v>248.4647435897436</v>
      </c>
      <c r="Q30" s="36">
        <f t="shared" si="5"/>
        <v>-99.0348715651135</v>
      </c>
      <c r="R30" s="75">
        <f t="shared" si="8"/>
        <v>142.1875</v>
      </c>
      <c r="AA30" s="85"/>
      <c r="AB30" s="143"/>
      <c r="AC30" s="143"/>
    </row>
    <row r="31" spans="1:29" ht="12.75">
      <c r="A31" s="1">
        <v>2011</v>
      </c>
      <c r="B31" s="128">
        <f>'Total Roy'!B52</f>
        <v>149.3398</v>
      </c>
      <c r="C31" s="111">
        <f t="shared" si="9"/>
        <v>343.5</v>
      </c>
      <c r="D31" s="42">
        <f t="shared" si="10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11"/>
        <v>210</v>
      </c>
      <c r="K31" s="28"/>
      <c r="L31" s="28"/>
      <c r="M31" s="30">
        <f t="shared" si="12"/>
        <v>150</v>
      </c>
      <c r="N31" s="30">
        <f>IF($L$11&gt;(A31-$A$24),0,(((((1-($C$15/($C$14+$C$15)))*SUM($K$23:K24)))-SUM($L$23:L24))/$L$14))</f>
        <v>33.607421463208915</v>
      </c>
      <c r="O31" s="30">
        <f t="shared" si="7"/>
        <v>7.061823902431112</v>
      </c>
      <c r="P31" s="32">
        <f t="shared" si="4"/>
        <v>223.29487179487177</v>
      </c>
      <c r="Q31" s="36">
        <f t="shared" si="5"/>
        <v>-64.94474313022701</v>
      </c>
      <c r="R31" s="75">
        <f t="shared" si="8"/>
        <v>113.74999999999999</v>
      </c>
      <c r="AA31" s="85"/>
      <c r="AB31" s="143"/>
      <c r="AC31" s="143"/>
    </row>
    <row r="32" spans="1:29" ht="12.75">
      <c r="A32" s="1">
        <v>2012</v>
      </c>
      <c r="B32" s="128">
        <f>'Total Roy'!B53</f>
        <v>124.1935</v>
      </c>
      <c r="C32" s="111">
        <f t="shared" si="9"/>
        <v>343.5</v>
      </c>
      <c r="D32" s="42">
        <f t="shared" si="10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11"/>
        <v>157.5</v>
      </c>
      <c r="K32" s="28"/>
      <c r="L32" s="28"/>
      <c r="M32" s="30">
        <f t="shared" si="12"/>
        <v>112.5</v>
      </c>
      <c r="N32" s="30">
        <f>IF($L$11&gt;(A32-$A$24),0,(((((1-($C$15/($C$14+$C$15)))*SUM($K$23:K25)))-SUM($L$23:L25))/$L$14))</f>
        <v>50.411132194813376</v>
      </c>
      <c r="O32" s="30">
        <f t="shared" si="7"/>
        <v>6.265812776723592</v>
      </c>
      <c r="P32" s="32">
        <f t="shared" si="4"/>
        <v>198.12499999999997</v>
      </c>
      <c r="Q32" s="36">
        <f t="shared" si="5"/>
        <v>-30.854614695340523</v>
      </c>
      <c r="R32" s="75">
        <f t="shared" si="8"/>
        <v>85.3125</v>
      </c>
      <c r="AA32" s="85"/>
      <c r="AB32" s="143"/>
      <c r="AC32" s="143"/>
    </row>
    <row r="33" spans="1:29" ht="12.75">
      <c r="A33" s="1">
        <v>2013</v>
      </c>
      <c r="B33" s="128">
        <f>'Total Roy'!B54</f>
        <v>102.5846</v>
      </c>
      <c r="C33" s="111">
        <f t="shared" si="9"/>
        <v>343.5</v>
      </c>
      <c r="D33" s="42">
        <f t="shared" si="10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11"/>
        <v>105</v>
      </c>
      <c r="K33" s="9"/>
      <c r="L33" s="9"/>
      <c r="M33" s="30">
        <f t="shared" si="12"/>
        <v>75</v>
      </c>
      <c r="N33" s="30">
        <f>IF($L$11&gt;(A33-$A$24),0,(((((1-($C$15/($C$14+$C$15)))*SUM($K$23:K26)))-SUM($L$23:L26))/$L$14))</f>
        <v>67.21484292641783</v>
      </c>
      <c r="O33" s="30">
        <f t="shared" si="7"/>
        <v>5.46980165101607</v>
      </c>
      <c r="P33" s="32">
        <f t="shared" si="4"/>
        <v>172.95512820512812</v>
      </c>
      <c r="Q33" s="36">
        <f t="shared" si="5"/>
        <v>3.2355137395459614</v>
      </c>
      <c r="R33" s="75">
        <f t="shared" si="8"/>
        <v>56.87499999999999</v>
      </c>
      <c r="AA33" s="85"/>
      <c r="AB33" s="143"/>
      <c r="AC33" s="143"/>
    </row>
    <row r="34" spans="1:29" ht="12.75">
      <c r="A34" s="1">
        <v>2014</v>
      </c>
      <c r="B34" s="129">
        <f aca="true" t="shared" si="13" ref="B34:B39">B33*(B33/B32)</f>
        <v>84.7355147987616</v>
      </c>
      <c r="C34" s="111">
        <f t="shared" si="9"/>
        <v>343.5</v>
      </c>
      <c r="D34" s="42">
        <f t="shared" si="10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34">
        <f t="shared" si="11"/>
        <v>52.5</v>
      </c>
      <c r="K34" s="3"/>
      <c r="L34" s="3"/>
      <c r="M34" s="30">
        <f t="shared" si="12"/>
        <v>37.5</v>
      </c>
      <c r="N34" s="30">
        <f>IF($L$11&gt;(A34-$A$24),0,(((((1-($C$15/($C$14+$C$15)))*SUM($K$23:K27)))-SUM($L$23:L27))/$L$14))</f>
        <v>84.01855365802233</v>
      </c>
      <c r="O34" s="30">
        <f t="shared" si="7"/>
        <v>4.673790525308551</v>
      </c>
      <c r="P34" s="32">
        <f t="shared" si="4"/>
        <v>147.78525641025638</v>
      </c>
      <c r="Q34" s="36">
        <f t="shared" si="5"/>
        <v>37.32564217443248</v>
      </c>
      <c r="R34" s="75">
        <f t="shared" si="8"/>
        <v>28.437499999999996</v>
      </c>
      <c r="AA34" s="85"/>
      <c r="AB34" s="143"/>
      <c r="AC34" s="143"/>
    </row>
    <row r="35" spans="1:29" ht="12.75">
      <c r="A35" s="1">
        <v>2015</v>
      </c>
      <c r="B35" s="129">
        <f t="shared" si="13"/>
        <v>69.99205990188729</v>
      </c>
      <c r="C35" s="111">
        <f t="shared" si="9"/>
        <v>343.5</v>
      </c>
      <c r="D35" s="42">
        <f t="shared" si="10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34">
        <f t="shared" si="11"/>
        <v>0</v>
      </c>
      <c r="K35" s="3"/>
      <c r="L35" s="3"/>
      <c r="M35" s="30">
        <f t="shared" si="12"/>
        <v>0</v>
      </c>
      <c r="N35" s="30">
        <f aca="true" t="shared" si="14" ref="N35:N40">IF($L$11&gt;(A35-$A$24),0,(((((1-($C$15/($C$14+$C$15)))*SUM(K23:K28)))-SUM(L23:L28))/$L$14))</f>
        <v>100.82226438962675</v>
      </c>
      <c r="O35" s="30">
        <f t="shared" si="7"/>
        <v>3.877779399601029</v>
      </c>
      <c r="P35" s="32">
        <f t="shared" si="4"/>
        <v>122.61538461538453</v>
      </c>
      <c r="Q35" s="36">
        <f t="shared" si="5"/>
        <v>71.41577060931894</v>
      </c>
      <c r="R35" s="75">
        <f t="shared" si="8"/>
        <v>0</v>
      </c>
      <c r="AA35" s="85"/>
      <c r="AB35" s="143"/>
      <c r="AC35" s="143"/>
    </row>
    <row r="36" spans="1:29" ht="12.75">
      <c r="A36" s="1">
        <v>2016</v>
      </c>
      <c r="B36" s="129">
        <f t="shared" si="13"/>
        <v>57.81387486632671</v>
      </c>
      <c r="C36" s="111">
        <f t="shared" si="9"/>
        <v>343.5</v>
      </c>
      <c r="D36" s="42">
        <f t="shared" si="10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4"/>
        <v>84.01855365802233</v>
      </c>
      <c r="O36" s="30">
        <f t="shared" si="7"/>
        <v>3.2314828330008587</v>
      </c>
      <c r="P36" s="32">
        <f t="shared" si="4"/>
        <v>102.17948717948715</v>
      </c>
      <c r="Q36" s="36">
        <f t="shared" si="5"/>
        <v>59.513142174432474</v>
      </c>
      <c r="R36" s="75"/>
      <c r="AA36" s="85"/>
      <c r="AB36" s="143"/>
      <c r="AC36" s="143"/>
    </row>
    <row r="37" spans="1:29" ht="12.75">
      <c r="A37" s="1">
        <v>2017</v>
      </c>
      <c r="B37" s="129">
        <f t="shared" si="13"/>
        <v>47.754618620235185</v>
      </c>
      <c r="C37" s="111">
        <f t="shared" si="9"/>
        <v>343.5</v>
      </c>
      <c r="D37" s="42">
        <f t="shared" si="10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4"/>
        <v>67.21484292641783</v>
      </c>
      <c r="O37" s="30">
        <f t="shared" si="7"/>
        <v>2.5851862664006857</v>
      </c>
      <c r="P37" s="32">
        <f t="shared" si="4"/>
        <v>81.74358974358968</v>
      </c>
      <c r="Q37" s="36">
        <f t="shared" si="5"/>
        <v>47.61051373954596</v>
      </c>
      <c r="AA37" s="85"/>
      <c r="AB37" s="143"/>
      <c r="AC37" s="143"/>
    </row>
    <row r="38" spans="1:29" ht="12.75">
      <c r="A38" s="1">
        <v>2018</v>
      </c>
      <c r="B38" s="129">
        <f t="shared" si="13"/>
        <v>39.445610674547204</v>
      </c>
      <c r="C38" s="111">
        <f t="shared" si="9"/>
        <v>343.5</v>
      </c>
      <c r="D38" s="42">
        <f t="shared" si="10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4"/>
        <v>50.411132194813376</v>
      </c>
      <c r="O38" s="30">
        <f t="shared" si="7"/>
        <v>1.9388896998005145</v>
      </c>
      <c r="P38" s="32">
        <f t="shared" si="4"/>
        <v>61.307692307692264</v>
      </c>
      <c r="Q38" s="36">
        <f t="shared" si="5"/>
        <v>35.70788530465947</v>
      </c>
      <c r="AA38" s="85"/>
      <c r="AB38" s="143"/>
      <c r="AC38" s="143"/>
    </row>
    <row r="39" spans="1:29" ht="12.75">
      <c r="A39" s="1">
        <v>2019</v>
      </c>
      <c r="B39" s="129">
        <f t="shared" si="13"/>
        <v>32.58231866244332</v>
      </c>
      <c r="C39" s="111">
        <f t="shared" si="9"/>
        <v>343.5</v>
      </c>
      <c r="D39" s="42">
        <f t="shared" si="10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4"/>
        <v>33.607421463208915</v>
      </c>
      <c r="O39" s="30">
        <f t="shared" si="7"/>
        <v>1.2925931332003429</v>
      </c>
      <c r="P39" s="32">
        <f t="shared" si="4"/>
        <v>40.87179487179484</v>
      </c>
      <c r="Q39" s="36">
        <f t="shared" si="5"/>
        <v>23.80525686977298</v>
      </c>
      <c r="AA39" s="85"/>
      <c r="AB39" s="143"/>
      <c r="AC39" s="143"/>
    </row>
    <row r="40" spans="1:41" ht="13.5" thickBot="1">
      <c r="A40" s="1">
        <v>2020</v>
      </c>
      <c r="B40" s="164"/>
      <c r="C40" s="165"/>
      <c r="D40" s="58"/>
      <c r="E40" s="166"/>
      <c r="F40" s="57"/>
      <c r="G40" s="3"/>
      <c r="H40" s="130"/>
      <c r="I40" s="56"/>
      <c r="J40" s="56"/>
      <c r="K40" s="56"/>
      <c r="L40" s="56"/>
      <c r="M40" s="56"/>
      <c r="N40" s="58">
        <f t="shared" si="14"/>
        <v>16.803710731604458</v>
      </c>
      <c r="O40" s="58">
        <f t="shared" si="7"/>
        <v>0.6462965666001714</v>
      </c>
      <c r="P40" s="59">
        <f t="shared" si="4"/>
        <v>20.43589743589742</v>
      </c>
      <c r="Q40" s="71">
        <f t="shared" si="5"/>
        <v>11.90262843488649</v>
      </c>
      <c r="R40" s="130"/>
      <c r="Z40" s="3"/>
      <c r="AA40" s="85"/>
      <c r="AB40" s="143"/>
      <c r="AC40" s="14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29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1890</v>
      </c>
      <c r="I41" s="85">
        <f aca="true" t="shared" si="15" ref="I41:P41">SUM(I23:I40)</f>
        <v>0</v>
      </c>
      <c r="J41" s="85">
        <f t="shared" si="15"/>
        <v>1890</v>
      </c>
      <c r="K41" s="85">
        <f t="shared" si="15"/>
        <v>2377.4999999999995</v>
      </c>
      <c r="L41" s="85">
        <f t="shared" si="15"/>
        <v>1350</v>
      </c>
      <c r="M41" s="85">
        <f t="shared" si="15"/>
        <v>1350</v>
      </c>
      <c r="N41" s="85">
        <f t="shared" si="15"/>
        <v>604.9335863377605</v>
      </c>
      <c r="O41" s="85">
        <f t="shared" si="15"/>
        <v>75.18975332068308</v>
      </c>
      <c r="P41" s="85">
        <f t="shared" si="15"/>
        <v>2377.5</v>
      </c>
      <c r="Q41" s="36">
        <f>SUM(Q23:Q40)</f>
        <v>-370.2553763440863</v>
      </c>
      <c r="R41" s="36">
        <f>SUM(R23:R40)</f>
        <v>1023.75</v>
      </c>
      <c r="W41" s="3"/>
      <c r="AA41" s="3"/>
      <c r="AB41" s="3"/>
      <c r="AC41" s="3"/>
    </row>
    <row r="42" spans="2:29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2377.4999999999995</v>
      </c>
      <c r="L42" s="3"/>
      <c r="M42" s="411" t="s">
        <v>77</v>
      </c>
      <c r="N42" s="412"/>
      <c r="O42" s="64">
        <v>0.07</v>
      </c>
      <c r="P42" s="65">
        <f>NPV(O42,P24:P39)</f>
        <v>1433.2607370281453</v>
      </c>
      <c r="Q42" s="66">
        <f>NPV($O$42,Q24:Q39)</f>
        <v>-350.3423214128542</v>
      </c>
      <c r="R42" s="66">
        <f>NPV($O$42,R24:R39)</f>
        <v>691.3239671710929</v>
      </c>
      <c r="W42" s="3"/>
      <c r="AA42" s="3"/>
      <c r="AB42" s="3"/>
      <c r="AC42" s="3"/>
    </row>
    <row r="43" spans="1:25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1890</v>
      </c>
      <c r="K43" s="86">
        <f>M43+N43+O43</f>
        <v>2377.4999999999995</v>
      </c>
      <c r="L43" s="120"/>
      <c r="M43" s="86">
        <f>M41</f>
        <v>1350</v>
      </c>
      <c r="N43" s="86">
        <f>N41</f>
        <v>604.9335863377605</v>
      </c>
      <c r="O43" s="136">
        <f>O41*C15</f>
        <v>422.5664136622389</v>
      </c>
      <c r="P43" s="120"/>
      <c r="Q43" s="137"/>
      <c r="W43" s="3"/>
      <c r="X43" s="3"/>
      <c r="Y43" s="3"/>
    </row>
    <row r="44" ht="6" customHeight="1"/>
    <row r="45" spans="2:10" ht="15" customHeight="1">
      <c r="B45" s="432" t="s">
        <v>141</v>
      </c>
      <c r="C45" s="433"/>
      <c r="D45" s="433"/>
      <c r="E45" s="433"/>
      <c r="F45" s="434"/>
      <c r="H45" s="3"/>
      <c r="I45" s="3"/>
      <c r="J45" s="54"/>
    </row>
    <row r="46" spans="2:17" ht="12.75" customHeight="1">
      <c r="B46" s="367" t="s">
        <v>120</v>
      </c>
      <c r="C46" s="304" t="s">
        <v>121</v>
      </c>
      <c r="D46" s="304" t="s">
        <v>122</v>
      </c>
      <c r="E46" s="368" t="s">
        <v>123</v>
      </c>
      <c r="F46" s="369">
        <v>-0.72</v>
      </c>
      <c r="I46" s="73" t="s">
        <v>278</v>
      </c>
      <c r="J46" s="208" t="s">
        <v>146</v>
      </c>
      <c r="K46" s="167" t="s">
        <v>151</v>
      </c>
      <c r="L46" s="127"/>
      <c r="M46" s="84"/>
      <c r="N46" s="84"/>
      <c r="O46" s="84"/>
      <c r="Q46" s="168">
        <f>P41/J41</f>
        <v>1.257936507936508</v>
      </c>
    </row>
    <row r="47" spans="2:19" ht="12.75" customHeight="1" thickBot="1">
      <c r="B47" s="435" t="s">
        <v>109</v>
      </c>
      <c r="C47" s="436"/>
      <c r="D47" s="436"/>
      <c r="E47" s="427" t="s">
        <v>282</v>
      </c>
      <c r="F47" s="427"/>
      <c r="H47" s="304" t="s">
        <v>125</v>
      </c>
      <c r="I47" s="305" t="s">
        <v>280</v>
      </c>
      <c r="J47" s="302" t="s">
        <v>145</v>
      </c>
      <c r="K47" s="84"/>
      <c r="L47" s="84"/>
      <c r="R47" s="298">
        <v>37711</v>
      </c>
      <c r="S47" s="299"/>
    </row>
    <row r="48" spans="2:16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28" t="s">
        <v>79</v>
      </c>
      <c r="L48" s="429"/>
      <c r="M48" s="429"/>
      <c r="N48" s="429"/>
      <c r="O48" s="429"/>
      <c r="P48" s="430"/>
    </row>
    <row r="49" spans="1:16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</row>
    <row r="50" spans="1:16" ht="12.75" customHeight="1">
      <c r="A50" s="1">
        <v>2003</v>
      </c>
      <c r="B50" s="14">
        <f aca="true" t="shared" si="16" ref="B50:B67">E23</f>
        <v>0</v>
      </c>
      <c r="C50" s="42">
        <f aca="true" t="shared" si="17" ref="C50:C67">E23+M23+N23</f>
        <v>0</v>
      </c>
      <c r="D50" s="42">
        <f aca="true" t="shared" si="18" ref="D50:D62">C50-E23</f>
        <v>0</v>
      </c>
      <c r="E50" s="22">
        <f>$E$8*D50</f>
        <v>0</v>
      </c>
      <c r="F50" s="1">
        <f>($D$9*(E50/H50))/$F$46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7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 customHeight="1">
      <c r="A51" s="1">
        <v>2004</v>
      </c>
      <c r="B51" s="34">
        <f t="shared" si="16"/>
        <v>47.07463630613536</v>
      </c>
      <c r="C51" s="42">
        <f t="shared" si="17"/>
        <v>84.57463630613536</v>
      </c>
      <c r="D51" s="42">
        <f t="shared" si="18"/>
        <v>37.5</v>
      </c>
      <c r="E51" s="22">
        <f aca="true" t="shared" si="20" ref="E51:E67">$E$8*D51</f>
        <v>14.8125</v>
      </c>
      <c r="F51" s="300">
        <f aca="true" t="shared" si="21" ref="F51:F67">($D$9*(E51/H51))/$F$46</f>
        <v>-0.00300115487478726</v>
      </c>
      <c r="H51" s="85">
        <f>22920+3*($H$52-22920)/4</f>
        <v>23992.5</v>
      </c>
      <c r="I51" s="67">
        <f aca="true" t="shared" si="22" ref="I51:I67">H51*-F51</f>
        <v>72.00520833333333</v>
      </c>
      <c r="J51" s="36">
        <f t="shared" si="19"/>
        <v>4.01171875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</row>
    <row r="52" spans="1:16" ht="12.75" customHeight="1">
      <c r="A52" s="1">
        <v>2005</v>
      </c>
      <c r="B52" s="34">
        <f t="shared" si="16"/>
        <v>94.14927261227072</v>
      </c>
      <c r="C52" s="42">
        <f t="shared" si="17"/>
        <v>169.14927261227072</v>
      </c>
      <c r="D52" s="42">
        <f t="shared" si="18"/>
        <v>75</v>
      </c>
      <c r="E52" s="22">
        <f t="shared" si="20"/>
        <v>29.625</v>
      </c>
      <c r="F52" s="300">
        <f t="shared" si="21"/>
        <v>-0.005914185489390827</v>
      </c>
      <c r="H52" s="85">
        <f>24.35*1000</f>
        <v>24350</v>
      </c>
      <c r="I52" s="67">
        <f t="shared" si="22"/>
        <v>144.01041666666663</v>
      </c>
      <c r="J52" s="36">
        <f t="shared" si="19"/>
        <v>8.0234375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</row>
    <row r="53" spans="1:16" ht="12.75" customHeight="1">
      <c r="A53" s="1">
        <v>2006</v>
      </c>
      <c r="B53" s="34">
        <f t="shared" si="16"/>
        <v>141.22390891840607</v>
      </c>
      <c r="C53" s="42">
        <f t="shared" si="17"/>
        <v>253.72390891840607</v>
      </c>
      <c r="D53" s="42">
        <f t="shared" si="18"/>
        <v>112.5</v>
      </c>
      <c r="E53" s="22">
        <f t="shared" si="20"/>
        <v>44.4375</v>
      </c>
      <c r="F53" s="300">
        <f t="shared" si="21"/>
        <v>-0.008688585994690693</v>
      </c>
      <c r="H53" s="85">
        <f>$H$52+($H$57-$H$52)/5</f>
        <v>24862</v>
      </c>
      <c r="I53" s="67">
        <f t="shared" si="22"/>
        <v>216.015625</v>
      </c>
      <c r="J53" s="36">
        <f t="shared" si="19"/>
        <v>12.03515625</v>
      </c>
      <c r="K53" s="8" t="s">
        <v>74</v>
      </c>
      <c r="L53" s="9"/>
      <c r="M53" s="3"/>
      <c r="N53" s="3"/>
      <c r="O53" s="54">
        <f>O51+((P11-O11)*P12)/1000</f>
        <v>0.525</v>
      </c>
      <c r="P53" s="55">
        <f>P51+((R11-Q11)*R12)/1000</f>
        <v>0.38339999999999996</v>
      </c>
    </row>
    <row r="54" spans="1:16" ht="12.75" customHeight="1">
      <c r="A54" s="1">
        <v>2007</v>
      </c>
      <c r="B54" s="34">
        <f t="shared" si="16"/>
        <v>188.29854522454144</v>
      </c>
      <c r="C54" s="42">
        <f t="shared" si="17"/>
        <v>338.29854522454144</v>
      </c>
      <c r="D54" s="42">
        <f t="shared" si="18"/>
        <v>150</v>
      </c>
      <c r="E54" s="22">
        <f t="shared" si="20"/>
        <v>59.25</v>
      </c>
      <c r="F54" s="300">
        <f t="shared" si="21"/>
        <v>-0.011351022043561651</v>
      </c>
      <c r="H54" s="85">
        <f>$H$52+2*($H$57-$H$52)/5</f>
        <v>25374</v>
      </c>
      <c r="I54" s="67">
        <f t="shared" si="22"/>
        <v>288.0208333333333</v>
      </c>
      <c r="J54" s="36">
        <f t="shared" si="19"/>
        <v>16.046875</v>
      </c>
      <c r="K54" s="2" t="s">
        <v>73</v>
      </c>
      <c r="L54" s="3"/>
      <c r="M54" s="3"/>
      <c r="N54" s="9">
        <f>N52</f>
        <v>6</v>
      </c>
      <c r="O54" s="22">
        <f>O53*N54</f>
        <v>3.1500000000000004</v>
      </c>
      <c r="P54" s="53">
        <f>P53*N54</f>
        <v>2.3004</v>
      </c>
    </row>
    <row r="55" spans="1:16" ht="12.75" customHeight="1">
      <c r="A55" s="1">
        <v>2008</v>
      </c>
      <c r="B55" s="34">
        <f t="shared" si="16"/>
        <v>235.3731815306768</v>
      </c>
      <c r="C55" s="42">
        <f t="shared" si="17"/>
        <v>422.8731815306768</v>
      </c>
      <c r="D55" s="42">
        <f t="shared" si="18"/>
        <v>187.5</v>
      </c>
      <c r="E55" s="22">
        <f t="shared" si="20"/>
        <v>74.0625</v>
      </c>
      <c r="F55" s="300">
        <f t="shared" si="21"/>
        <v>-0.013908137281413376</v>
      </c>
      <c r="H55" s="85">
        <f>$H$52+3*($H$57-$H$52)/5</f>
        <v>25886</v>
      </c>
      <c r="I55" s="67">
        <f t="shared" si="22"/>
        <v>360.02604166666663</v>
      </c>
      <c r="J55" s="36">
        <f t="shared" si="19"/>
        <v>20.05859375</v>
      </c>
      <c r="K55" s="2" t="s">
        <v>75</v>
      </c>
      <c r="L55" s="3"/>
      <c r="M55" s="3"/>
      <c r="N55" s="3"/>
      <c r="O55" s="22">
        <f>O54-O52</f>
        <v>1.6380000000000003</v>
      </c>
      <c r="P55" s="53">
        <f>P54-P52</f>
        <v>1.7513999999999998</v>
      </c>
    </row>
    <row r="56" spans="1:16" ht="12.75" customHeight="1">
      <c r="A56" s="1">
        <v>2009</v>
      </c>
      <c r="B56" s="34">
        <f t="shared" si="16"/>
        <v>282.44781783681213</v>
      </c>
      <c r="C56" s="42">
        <f t="shared" si="17"/>
        <v>507.44781783681213</v>
      </c>
      <c r="D56" s="42">
        <f t="shared" si="18"/>
        <v>225</v>
      </c>
      <c r="E56" s="22">
        <f t="shared" si="20"/>
        <v>88.875</v>
      </c>
      <c r="F56" s="300">
        <f t="shared" si="21"/>
        <v>-0.016366059928782484</v>
      </c>
      <c r="H56" s="85">
        <f>$H$52+4*($H$57-$H$52)/5</f>
        <v>26398</v>
      </c>
      <c r="I56" s="67">
        <f t="shared" si="22"/>
        <v>432.03125</v>
      </c>
      <c r="J56" s="36">
        <f t="shared" si="19"/>
        <v>24.0703125</v>
      </c>
      <c r="K56" s="2" t="s">
        <v>76</v>
      </c>
      <c r="L56" s="3"/>
      <c r="M56" s="3"/>
      <c r="N56" s="3"/>
      <c r="O56" s="3"/>
      <c r="P56" s="53">
        <f>(O54+P54)</f>
        <v>5.4504</v>
      </c>
    </row>
    <row r="57" spans="1:16" ht="12.75" customHeight="1" thickBot="1">
      <c r="A57" s="1">
        <v>2010</v>
      </c>
      <c r="B57" s="34">
        <f t="shared" si="16"/>
        <v>282.44781783681213</v>
      </c>
      <c r="C57" s="42">
        <f t="shared" si="17"/>
        <v>486.7515285684166</v>
      </c>
      <c r="D57" s="42">
        <f t="shared" si="18"/>
        <v>204.30371073160444</v>
      </c>
      <c r="E57" s="22">
        <f t="shared" si="20"/>
        <v>80.69996573898376</v>
      </c>
      <c r="F57" s="300">
        <f t="shared" si="21"/>
        <v>-0.014577907845412857</v>
      </c>
      <c r="H57" s="85">
        <f>26.91*1000</f>
        <v>26910</v>
      </c>
      <c r="I57" s="67">
        <f t="shared" si="22"/>
        <v>392.29150012006</v>
      </c>
      <c r="J57" s="36">
        <f t="shared" si="19"/>
        <v>21.856240720974768</v>
      </c>
      <c r="K57" s="11" t="s">
        <v>178</v>
      </c>
      <c r="L57" s="12"/>
      <c r="M57" s="12"/>
      <c r="N57" s="12"/>
      <c r="O57" s="12"/>
      <c r="P57" s="62">
        <f>(O55+P55)</f>
        <v>3.3894</v>
      </c>
    </row>
    <row r="58" spans="1:10" ht="12.75" customHeight="1" thickBot="1">
      <c r="A58" s="1">
        <v>2011</v>
      </c>
      <c r="B58" s="34">
        <f t="shared" si="16"/>
        <v>282.44781783681213</v>
      </c>
      <c r="C58" s="42">
        <f t="shared" si="17"/>
        <v>466.05523930002107</v>
      </c>
      <c r="D58" s="42">
        <f t="shared" si="18"/>
        <v>183.60742146320894</v>
      </c>
      <c r="E58" s="22">
        <f t="shared" si="20"/>
        <v>72.52493147796753</v>
      </c>
      <c r="F58" s="300">
        <f t="shared" si="21"/>
        <v>-0.012868261132245134</v>
      </c>
      <c r="H58" s="85">
        <f>$H$57+($H$62-$H$57)/5</f>
        <v>27397</v>
      </c>
      <c r="I58" s="67">
        <f t="shared" si="22"/>
        <v>352.55175024011993</v>
      </c>
      <c r="J58" s="36">
        <f t="shared" si="19"/>
        <v>19.64216894194954</v>
      </c>
    </row>
    <row r="59" spans="1:19" ht="12.75" customHeight="1">
      <c r="A59" s="1">
        <v>2012</v>
      </c>
      <c r="B59" s="34">
        <f t="shared" si="16"/>
        <v>282.44781783681213</v>
      </c>
      <c r="C59" s="42">
        <f t="shared" si="17"/>
        <v>445.3589500316255</v>
      </c>
      <c r="D59" s="42">
        <f t="shared" si="18"/>
        <v>162.91113219481338</v>
      </c>
      <c r="E59" s="22">
        <f t="shared" si="20"/>
        <v>64.34989721695129</v>
      </c>
      <c r="F59" s="300">
        <f t="shared" si="21"/>
        <v>-0.011218333107164679</v>
      </c>
      <c r="H59" s="85">
        <f>$H$57+2*($H$62-$H$57)/5</f>
        <v>27884</v>
      </c>
      <c r="I59" s="67">
        <f t="shared" si="22"/>
        <v>312.8120003601799</v>
      </c>
      <c r="J59" s="36">
        <f t="shared" si="19"/>
        <v>17.428097162924306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290"/>
    </row>
    <row r="60" spans="1:18" ht="12.75" customHeight="1">
      <c r="A60" s="1">
        <v>2013</v>
      </c>
      <c r="B60" s="34">
        <f t="shared" si="16"/>
        <v>282.44781783681213</v>
      </c>
      <c r="C60" s="42">
        <f t="shared" si="17"/>
        <v>424.66266076322995</v>
      </c>
      <c r="D60" s="42">
        <f t="shared" si="18"/>
        <v>142.21484292641782</v>
      </c>
      <c r="E60" s="22">
        <f t="shared" si="20"/>
        <v>56.17486295593504</v>
      </c>
      <c r="F60" s="300">
        <f t="shared" si="21"/>
        <v>-0.009625048481908984</v>
      </c>
      <c r="H60" s="85">
        <f>$H$57+3*($H$62-$H$57)/5</f>
        <v>28371</v>
      </c>
      <c r="I60" s="67">
        <f t="shared" si="22"/>
        <v>273.0722504802398</v>
      </c>
      <c r="J60" s="36">
        <f t="shared" si="19"/>
        <v>15.214025383899072</v>
      </c>
      <c r="K60" s="2" t="s">
        <v>2</v>
      </c>
      <c r="L60" s="3"/>
      <c r="M60" s="3"/>
      <c r="N60" s="3"/>
      <c r="O60" s="3"/>
      <c r="P60" s="3"/>
      <c r="Q60" s="3">
        <f>(O11*I5)+(Q11*I6)</f>
        <v>315</v>
      </c>
      <c r="R60" s="4" t="s">
        <v>3</v>
      </c>
    </row>
    <row r="61" spans="1:18" ht="12.75" customHeight="1">
      <c r="A61" s="1">
        <v>2014</v>
      </c>
      <c r="B61" s="34">
        <f t="shared" si="16"/>
        <v>282.44781783681213</v>
      </c>
      <c r="C61" s="42">
        <f t="shared" si="17"/>
        <v>403.96637149483445</v>
      </c>
      <c r="D61" s="42">
        <f t="shared" si="18"/>
        <v>121.51855365802231</v>
      </c>
      <c r="E61" s="22">
        <f t="shared" si="20"/>
        <v>47.99982869491882</v>
      </c>
      <c r="F61" s="300">
        <f t="shared" si="21"/>
        <v>-0.008085539559231403</v>
      </c>
      <c r="H61" s="85">
        <f>$H$57+4*($H$62-$H$57)/5</f>
        <v>28858</v>
      </c>
      <c r="I61" s="67">
        <f t="shared" si="22"/>
        <v>233.33250060029985</v>
      </c>
      <c r="J61" s="36">
        <f t="shared" si="19"/>
        <v>12.999953604873845</v>
      </c>
      <c r="K61" s="2" t="s">
        <v>116</v>
      </c>
      <c r="L61" s="3"/>
      <c r="M61" s="3"/>
      <c r="N61" s="3"/>
      <c r="O61" s="3"/>
      <c r="P61" s="3"/>
      <c r="Q61" s="5">
        <f>R15*I7</f>
        <v>0</v>
      </c>
      <c r="R61" s="4" t="s">
        <v>3</v>
      </c>
    </row>
    <row r="62" spans="1:18" ht="12.75" customHeight="1">
      <c r="A62" s="1">
        <v>2015</v>
      </c>
      <c r="B62" s="34">
        <f t="shared" si="16"/>
        <v>282.44781783681213</v>
      </c>
      <c r="C62" s="42">
        <f t="shared" si="17"/>
        <v>383.2700822264389</v>
      </c>
      <c r="D62" s="42">
        <f t="shared" si="18"/>
        <v>100.82226438962675</v>
      </c>
      <c r="E62" s="22">
        <f t="shared" si="20"/>
        <v>39.82479443390257</v>
      </c>
      <c r="F62" s="300">
        <f t="shared" si="21"/>
        <v>-0.006597129007338889</v>
      </c>
      <c r="H62" s="85">
        <f>29.345*1000</f>
        <v>29345</v>
      </c>
      <c r="I62" s="67">
        <f t="shared" si="22"/>
        <v>193.5927507203597</v>
      </c>
      <c r="J62" s="36">
        <f t="shared" si="19"/>
        <v>10.78588182584861</v>
      </c>
      <c r="K62" s="2" t="s">
        <v>351</v>
      </c>
      <c r="L62" s="3"/>
      <c r="M62" s="3"/>
      <c r="N62" s="3"/>
      <c r="O62" s="3"/>
      <c r="P62" s="3"/>
      <c r="Q62" s="5">
        <f>(O53-O51+P53-P51)*1000</f>
        <v>564.9</v>
      </c>
      <c r="R62" s="4" t="s">
        <v>8</v>
      </c>
    </row>
    <row r="63" spans="1:18" ht="12.75" customHeight="1">
      <c r="A63" s="1">
        <v>2016</v>
      </c>
      <c r="B63" s="34">
        <f t="shared" si="16"/>
        <v>282.44781783681213</v>
      </c>
      <c r="C63" s="42">
        <f t="shared" si="17"/>
        <v>366.46637149483445</v>
      </c>
      <c r="D63" s="42">
        <f>C63-B63</f>
        <v>84.01855365802231</v>
      </c>
      <c r="E63" s="22">
        <f t="shared" si="20"/>
        <v>33.18732869491882</v>
      </c>
      <c r="F63" s="300">
        <f t="shared" si="21"/>
        <v>-0.005400619050179649</v>
      </c>
      <c r="H63" s="85">
        <f>$H$62+($H$67-$H$62)/5</f>
        <v>29872</v>
      </c>
      <c r="I63" s="67">
        <f t="shared" si="22"/>
        <v>161.32729226696648</v>
      </c>
      <c r="J63" s="36">
        <f t="shared" si="19"/>
        <v>8.988234854873847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225</v>
      </c>
      <c r="R63" s="4" t="s">
        <v>3</v>
      </c>
    </row>
    <row r="64" spans="1:18" ht="12.75" customHeight="1">
      <c r="A64" s="1">
        <v>2017</v>
      </c>
      <c r="B64" s="34">
        <f t="shared" si="16"/>
        <v>282.44781783681213</v>
      </c>
      <c r="C64" s="42">
        <f t="shared" si="17"/>
        <v>349.66266076322995</v>
      </c>
      <c r="D64" s="42">
        <f>C64-B64</f>
        <v>67.21484292641782</v>
      </c>
      <c r="E64" s="22">
        <f t="shared" si="20"/>
        <v>26.549862955935037</v>
      </c>
      <c r="F64" s="300">
        <f t="shared" si="21"/>
        <v>-0.004245594717377976</v>
      </c>
      <c r="H64" s="85">
        <f>$H$62+2*($H$67-$H$62)/5</f>
        <v>30399</v>
      </c>
      <c r="I64" s="67">
        <f t="shared" si="22"/>
        <v>129.0618338135731</v>
      </c>
      <c r="J64" s="36">
        <f t="shared" si="19"/>
        <v>7.190587883899072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180</v>
      </c>
      <c r="R64" s="4" t="s">
        <v>8</v>
      </c>
    </row>
    <row r="65" spans="1:18" ht="12.75" customHeight="1">
      <c r="A65" s="1">
        <v>2018</v>
      </c>
      <c r="B65" s="34">
        <f t="shared" si="16"/>
        <v>282.44781783681213</v>
      </c>
      <c r="C65" s="42">
        <f t="shared" si="17"/>
        <v>332.8589500316255</v>
      </c>
      <c r="D65" s="42">
        <f>C65-B65</f>
        <v>50.411132194813376</v>
      </c>
      <c r="E65" s="22">
        <f t="shared" si="20"/>
        <v>19.912397216951284</v>
      </c>
      <c r="F65" s="300">
        <f t="shared" si="21"/>
        <v>-0.0031299351794664637</v>
      </c>
      <c r="H65" s="85">
        <f>$H$62+3*($H$67-$H$62)/5</f>
        <v>30926</v>
      </c>
      <c r="I65" s="67">
        <f t="shared" si="22"/>
        <v>96.79637536017985</v>
      </c>
      <c r="J65" s="36">
        <f t="shared" si="19"/>
        <v>5.392940912924305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72.975</v>
      </c>
      <c r="R65" s="4" t="s">
        <v>8</v>
      </c>
    </row>
    <row r="66" spans="1:18" ht="12.75" customHeight="1">
      <c r="A66" s="1">
        <v>2019</v>
      </c>
      <c r="B66" s="34">
        <f t="shared" si="16"/>
        <v>282.44781783681213</v>
      </c>
      <c r="C66" s="42">
        <f t="shared" si="17"/>
        <v>316.05523930002107</v>
      </c>
      <c r="D66" s="42">
        <f>C66-B66</f>
        <v>33.60742146320894</v>
      </c>
      <c r="E66" s="22">
        <f t="shared" si="20"/>
        <v>13.274931477967531</v>
      </c>
      <c r="F66" s="300">
        <f t="shared" si="21"/>
        <v>-0.0020516617463131213</v>
      </c>
      <c r="H66" s="85">
        <f>$H$62+4*($H$67-$H$62)/5</f>
        <v>31453</v>
      </c>
      <c r="I66" s="67">
        <f t="shared" si="22"/>
        <v>64.5309169067866</v>
      </c>
      <c r="J66" s="36">
        <f t="shared" si="19"/>
        <v>3.5952939419495396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84.32499999999999</v>
      </c>
      <c r="R66" s="4" t="s">
        <v>8</v>
      </c>
    </row>
    <row r="67" spans="1:18" ht="12.75" customHeight="1" thickBot="1">
      <c r="A67" s="1">
        <v>2020</v>
      </c>
      <c r="B67" s="102">
        <f t="shared" si="16"/>
        <v>0</v>
      </c>
      <c r="C67" s="58">
        <f t="shared" si="17"/>
        <v>16.803710731604458</v>
      </c>
      <c r="D67" s="58">
        <f>C67-B67</f>
        <v>16.803710731604458</v>
      </c>
      <c r="E67" s="163">
        <f t="shared" si="20"/>
        <v>6.637465738983761</v>
      </c>
      <c r="F67" s="301">
        <f t="shared" si="21"/>
        <v>-0.0010089261555157373</v>
      </c>
      <c r="H67" s="77">
        <v>31980</v>
      </c>
      <c r="I67" s="60">
        <f t="shared" si="22"/>
        <v>32.26545845339328</v>
      </c>
      <c r="J67" s="71">
        <f t="shared" si="19"/>
        <v>1.7976469709747684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311.92499999999995</v>
      </c>
      <c r="R67" s="4" t="s">
        <v>8</v>
      </c>
    </row>
    <row r="68" spans="1:18" ht="12.75" customHeight="1" thickTop="1">
      <c r="A68" t="s">
        <v>104</v>
      </c>
      <c r="B68" s="128">
        <f>SUM(B50:B67)</f>
        <v>3813.0455407969644</v>
      </c>
      <c r="C68" s="85">
        <f>SUM(C50:C67)</f>
        <v>5767.979127134724</v>
      </c>
      <c r="D68" s="85">
        <f>SUM(D50:D67)</f>
        <v>1954.9335863377605</v>
      </c>
      <c r="E68" s="3"/>
      <c r="I68" s="36">
        <f>SUM(I50:I67)</f>
        <v>3753.744004322158</v>
      </c>
      <c r="J68" s="36">
        <f>SUM(J50:J67)</f>
        <v>209.13716595509163</v>
      </c>
      <c r="K68" s="6" t="s">
        <v>353</v>
      </c>
      <c r="L68" s="3"/>
      <c r="M68" s="3"/>
      <c r="N68" s="3"/>
      <c r="O68" s="3"/>
      <c r="P68" s="3"/>
      <c r="Q68" s="7">
        <f>Q66+Q67</f>
        <v>396.24999999999994</v>
      </c>
      <c r="R68" s="4" t="s">
        <v>8</v>
      </c>
    </row>
    <row r="69" spans="2:18" ht="12.75" customHeight="1" thickBot="1">
      <c r="B69" s="79"/>
      <c r="C69" s="42"/>
      <c r="D69" s="42"/>
      <c r="H69" s="9" t="s">
        <v>147</v>
      </c>
      <c r="I69" s="36">
        <f>NPV($O$42,I51:I66)</f>
        <v>2262.920672239646</v>
      </c>
      <c r="J69" s="36">
        <f>NPV($O$42,J51:J67)</f>
        <v>126.64609787602915</v>
      </c>
      <c r="K69" s="11" t="s">
        <v>10</v>
      </c>
      <c r="L69" s="12"/>
      <c r="M69" s="12"/>
      <c r="N69" s="12"/>
      <c r="O69" s="12"/>
      <c r="P69" s="12"/>
      <c r="Q69" s="286">
        <f>Q68-Q63</f>
        <v>171.24999999999994</v>
      </c>
      <c r="R69" s="287" t="s">
        <v>8</v>
      </c>
    </row>
    <row r="70" spans="1:6" ht="12.75" customHeight="1">
      <c r="A70" t="s">
        <v>114</v>
      </c>
      <c r="B70" s="95"/>
      <c r="C70" s="136"/>
      <c r="D70" s="86">
        <f>M41+N41</f>
        <v>1954.9335863377605</v>
      </c>
      <c r="E70" s="120"/>
      <c r="F70" s="120"/>
    </row>
  </sheetData>
  <mergeCells count="20">
    <mergeCell ref="B18:F18"/>
    <mergeCell ref="H18:Q18"/>
    <mergeCell ref="A3:R3"/>
    <mergeCell ref="O5:P5"/>
    <mergeCell ref="Q5:R5"/>
    <mergeCell ref="M4:R4"/>
    <mergeCell ref="AB20:AC20"/>
    <mergeCell ref="C20:F20"/>
    <mergeCell ref="H20:I20"/>
    <mergeCell ref="N20:O20"/>
    <mergeCell ref="K59:R59"/>
    <mergeCell ref="E47:F47"/>
    <mergeCell ref="A1:R1"/>
    <mergeCell ref="K48:P48"/>
    <mergeCell ref="A4:E4"/>
    <mergeCell ref="B45:F45"/>
    <mergeCell ref="B47:D47"/>
    <mergeCell ref="D21:E21"/>
    <mergeCell ref="M42:N42"/>
    <mergeCell ref="F4:L4"/>
  </mergeCells>
  <printOptions/>
  <pageMargins left="0.76" right="0.75" top="0.5" bottom="0.5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:R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4" width="14.28125" style="0" customWidth="1"/>
    <col min="5" max="5" width="11.7109375" style="0" customWidth="1"/>
    <col min="6" max="6" width="10.8515625" style="0" bestFit="1" customWidth="1"/>
    <col min="7" max="7" width="2.7109375" style="0" customWidth="1"/>
    <col min="9" max="9" width="12.57421875" style="0" bestFit="1" customWidth="1"/>
    <col min="10" max="11" width="9.57421875" style="0" bestFit="1" customWidth="1"/>
    <col min="13" max="13" width="11.57421875" style="0" bestFit="1" customWidth="1"/>
    <col min="14" max="14" width="11.7109375" style="0" customWidth="1"/>
    <col min="15" max="15" width="13.421875" style="0" customWidth="1"/>
    <col min="16" max="16" width="10.57421875" style="0" bestFit="1" customWidth="1"/>
    <col min="17" max="17" width="12.7109375" style="0" bestFit="1" customWidth="1"/>
    <col min="18" max="18" width="11.7109375" style="0" bestFit="1" customWidth="1"/>
    <col min="19" max="19" width="10.57421875" style="0" bestFit="1" customWidth="1"/>
    <col min="24" max="24" width="10.140625" style="0" bestFit="1" customWidth="1"/>
    <col min="25" max="25" width="9.57421875" style="0" bestFit="1" customWidth="1"/>
  </cols>
  <sheetData>
    <row r="1" spans="1:25" ht="20.25">
      <c r="A1" s="384" t="s">
        <v>150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21"/>
      <c r="T1" s="221"/>
      <c r="U1" s="221"/>
      <c r="V1" s="221"/>
      <c r="W1" s="221"/>
      <c r="X1" s="221"/>
      <c r="Y1" s="221"/>
    </row>
    <row r="2" spans="1:25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Y2" s="146"/>
    </row>
    <row r="3" spans="1:18" ht="15" customHeight="1">
      <c r="A3" s="423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5"/>
    </row>
    <row r="4" spans="1:25" ht="15" customHeight="1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411" t="s">
        <v>142</v>
      </c>
      <c r="N4" s="412"/>
      <c r="O4" s="412"/>
      <c r="P4" s="412"/>
      <c r="Q4" s="412"/>
      <c r="R4" s="426"/>
      <c r="Y4" s="117"/>
    </row>
    <row r="5" spans="1:18" ht="12.75" customHeight="1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10</v>
      </c>
      <c r="J5" s="3" t="s">
        <v>3</v>
      </c>
      <c r="K5" t="s">
        <v>152</v>
      </c>
      <c r="L5" s="108">
        <f>I5/3</f>
        <v>3.3333333333333335</v>
      </c>
      <c r="M5" s="79" t="s">
        <v>55</v>
      </c>
      <c r="N5" s="3"/>
      <c r="O5" s="407" t="s">
        <v>56</v>
      </c>
      <c r="P5" s="377"/>
      <c r="Q5" s="9"/>
      <c r="R5" s="40"/>
    </row>
    <row r="6" spans="1:18" ht="12.75" customHeight="1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20</v>
      </c>
      <c r="J6" s="3" t="s">
        <v>3</v>
      </c>
      <c r="K6" t="s">
        <v>152</v>
      </c>
      <c r="L6" s="169">
        <f>I6/5+I7*(4/5)</f>
        <v>8</v>
      </c>
      <c r="M6" s="79" t="s">
        <v>58</v>
      </c>
      <c r="N6" s="3"/>
      <c r="O6" s="9" t="s">
        <v>59</v>
      </c>
      <c r="P6" s="28" t="s">
        <v>60</v>
      </c>
      <c r="Q6" s="9" t="s">
        <v>59</v>
      </c>
      <c r="R6" s="40" t="s">
        <v>60</v>
      </c>
    </row>
    <row r="7" spans="1:25" ht="12.75" customHeight="1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5</v>
      </c>
      <c r="J7" s="3" t="s">
        <v>3</v>
      </c>
      <c r="L7" s="108">
        <f>L5+L6</f>
        <v>11.333333333333334</v>
      </c>
      <c r="M7" s="155" t="s">
        <v>61</v>
      </c>
      <c r="N7" s="3"/>
      <c r="O7" s="9" t="s">
        <v>62</v>
      </c>
      <c r="P7" s="28" t="s">
        <v>62</v>
      </c>
      <c r="Q7" s="9" t="s">
        <v>62</v>
      </c>
      <c r="R7" s="40" t="s">
        <v>62</v>
      </c>
      <c r="Y7" s="204"/>
    </row>
    <row r="8" spans="1:18" ht="12.75" customHeight="1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55" t="s">
        <v>63</v>
      </c>
      <c r="N8" s="9"/>
      <c r="O8" s="42">
        <f>O11/(369/1147)</f>
        <v>37.30081300813008</v>
      </c>
      <c r="P8" s="30"/>
      <c r="Q8" s="42">
        <f>Q11/(48/168)</f>
        <v>10.5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42" t="s">
        <v>140</v>
      </c>
      <c r="M9" s="155" t="s">
        <v>64</v>
      </c>
      <c r="N9" s="9"/>
      <c r="O9" s="3"/>
      <c r="P9" s="156">
        <f>P11/(1/3)</f>
        <v>48</v>
      </c>
      <c r="Q9" s="3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55" t="s">
        <v>65</v>
      </c>
      <c r="N10" s="9"/>
      <c r="O10" s="9"/>
      <c r="P10" s="172"/>
      <c r="Q10" s="3"/>
      <c r="R10" s="45">
        <f>R11/(1/5)</f>
        <v>32.5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3.0130434782608697</v>
      </c>
      <c r="L11" s="154">
        <f>ROUND(K11,0)</f>
        <v>3</v>
      </c>
      <c r="M11" s="155" t="s">
        <v>66</v>
      </c>
      <c r="N11" s="9"/>
      <c r="O11" s="9">
        <v>12</v>
      </c>
      <c r="P11" s="156">
        <v>16</v>
      </c>
      <c r="Q11" s="9">
        <v>3</v>
      </c>
      <c r="R11" s="45">
        <v>6.5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8.772169512966478</v>
      </c>
      <c r="L12" s="80"/>
      <c r="M12" s="155" t="s">
        <v>78</v>
      </c>
      <c r="N12" s="9"/>
      <c r="O12" s="9">
        <v>21</v>
      </c>
      <c r="P12" s="157">
        <v>45.5</v>
      </c>
      <c r="Q12" s="9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8.479154635206116</v>
      </c>
      <c r="L13" s="80"/>
      <c r="M13" s="151" t="s">
        <v>133</v>
      </c>
      <c r="N13" s="3"/>
      <c r="O13" s="9">
        <v>2.5</v>
      </c>
      <c r="P13" s="158">
        <f>((O11*O13)+((P11-O11)*O13*P14))/(P11)</f>
        <v>3.125</v>
      </c>
      <c r="Q13" s="9">
        <v>4.6</v>
      </c>
      <c r="R13" s="53">
        <f>((Q11*Q13)+((R11-Q11)*Q13*P14))/R11</f>
        <v>7.076923076923076</v>
      </c>
      <c r="AA13" s="107"/>
      <c r="AB13" s="107"/>
      <c r="AC13" s="107"/>
      <c r="AD13" s="289"/>
      <c r="AE13" s="107"/>
      <c r="AF13" s="107"/>
      <c r="AG13" s="107"/>
      <c r="AH13" s="107"/>
      <c r="AI13" s="288"/>
    </row>
    <row r="14" spans="1:18" ht="12.75" customHeight="1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8.581209381646431</v>
      </c>
      <c r="L14" s="154">
        <f>ROUND(K14,0)</f>
        <v>9</v>
      </c>
      <c r="M14" s="79" t="s">
        <v>112</v>
      </c>
      <c r="N14" s="3"/>
      <c r="O14" s="3"/>
      <c r="P14" s="73">
        <v>2</v>
      </c>
      <c r="Q14" s="3"/>
      <c r="R14" s="40">
        <f>P14</f>
        <v>2</v>
      </c>
    </row>
    <row r="15" spans="1:18" ht="12.75" customHeight="1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80"/>
      <c r="M15" s="159" t="s">
        <v>132</v>
      </c>
      <c r="N15" s="3"/>
      <c r="O15" s="3"/>
      <c r="P15" s="115">
        <f>2/3</f>
        <v>0.6666666666666666</v>
      </c>
      <c r="Q15" s="125">
        <f>(R10-R11)*P15</f>
        <v>17.333333333333332</v>
      </c>
      <c r="R15" s="40">
        <f>ROUND(Q15,0)</f>
        <v>17</v>
      </c>
    </row>
    <row r="16" spans="1:35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62" t="s">
        <v>154</v>
      </c>
      <c r="N16" s="12"/>
      <c r="O16" s="12"/>
      <c r="P16" s="12"/>
      <c r="Q16" s="12"/>
      <c r="R16" s="150">
        <v>1</v>
      </c>
      <c r="AA16" s="3"/>
      <c r="AB16" s="3"/>
      <c r="AC16" s="3"/>
      <c r="AD16" s="283"/>
      <c r="AE16" s="3"/>
      <c r="AF16" s="3"/>
      <c r="AG16" s="3"/>
      <c r="AH16" s="3"/>
      <c r="AI16" s="284"/>
    </row>
    <row r="17" spans="1:23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84"/>
      <c r="V17" s="84"/>
      <c r="W17" s="84"/>
    </row>
    <row r="18" spans="1:25" ht="1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  <c r="W18" s="127"/>
      <c r="X18" s="127"/>
      <c r="Y18" s="127"/>
    </row>
    <row r="19" spans="1:25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  <c r="W19" s="9"/>
      <c r="X19" s="141"/>
      <c r="Y19" s="9"/>
    </row>
    <row r="20" spans="1:29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  <c r="W20" s="3"/>
      <c r="X20" s="3"/>
      <c r="Y20" s="3"/>
      <c r="AA20" s="9"/>
      <c r="AB20" s="407"/>
      <c r="AC20" s="407"/>
    </row>
    <row r="21" spans="1:29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AA21" s="73"/>
      <c r="AB21" s="73"/>
      <c r="AC21" s="73"/>
    </row>
    <row r="22" spans="1:29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AA22" s="73"/>
      <c r="AB22" s="9"/>
      <c r="AC22" s="9"/>
    </row>
    <row r="23" spans="1:29" ht="12.75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14">
        <f>(I5*O11)+(I6*Q11)</f>
        <v>180</v>
      </c>
      <c r="I23" s="28">
        <f>R15*I7</f>
        <v>85</v>
      </c>
      <c r="J23" s="73">
        <v>0</v>
      </c>
      <c r="K23" s="35">
        <f>$Q$68</f>
        <v>385.7916666666667</v>
      </c>
      <c r="L23" s="29">
        <f>$Q$63</f>
        <v>110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2" ref="P23:P40">M23+N23+$C$15*O23</f>
        <v>0</v>
      </c>
      <c r="Q23" s="33">
        <f aca="true" t="shared" si="3" ref="Q23:Q40">(($D$9-$D$10)*$C$11*(1-$E$11)*(N23-J23))+(($D$9-$D$10)*$J$8*$C$11*(1-$E$11)*O23)</f>
        <v>0</v>
      </c>
      <c r="R23" s="75">
        <f>J23*$I$15</f>
        <v>0</v>
      </c>
      <c r="AA23" s="85"/>
      <c r="AB23" s="115"/>
      <c r="AC23" s="115"/>
    </row>
    <row r="24" spans="1:29" ht="12.75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14">
        <f aca="true" t="shared" si="4" ref="H24:I28">H23</f>
        <v>180</v>
      </c>
      <c r="I24" s="28">
        <f t="shared" si="4"/>
        <v>85</v>
      </c>
      <c r="J24" s="34">
        <f>(SUM($H$23:H23)/$L$11)+(SUM($I$23:I23)/$K$16)</f>
        <v>102.5</v>
      </c>
      <c r="K24" s="35">
        <f aca="true" t="shared" si="5" ref="K24:L28">K23</f>
        <v>385.7916666666667</v>
      </c>
      <c r="L24" s="30">
        <f t="shared" si="5"/>
        <v>110</v>
      </c>
      <c r="M24" s="30">
        <f>SUM($L$23:L23)/$L$11</f>
        <v>36.666666666666664</v>
      </c>
      <c r="N24" s="30">
        <f>IF($L$11&gt;(A24-$A$24),0,(((((1-($C$15/($C$14+$C$15)))*SUM($K$23:K23)))-SUM($L$23:L23))/$L$14))</f>
        <v>0</v>
      </c>
      <c r="O24" s="30">
        <f aca="true" t="shared" si="6" ref="O24:O40">(M24+N24)/$C$14</f>
        <v>1.4102564102564101</v>
      </c>
      <c r="P24" s="32">
        <f t="shared" si="2"/>
        <v>44.59230769230769</v>
      </c>
      <c r="Q24" s="36">
        <f t="shared" si="3"/>
        <v>-49.40972222222222</v>
      </c>
      <c r="R24" s="75">
        <f aca="true" t="shared" si="7" ref="R24:R32">J24*$I$15</f>
        <v>55.52083333333333</v>
      </c>
      <c r="AA24" s="85"/>
      <c r="AB24" s="143"/>
      <c r="AC24" s="143"/>
    </row>
    <row r="25" spans="1:29" ht="12.75">
      <c r="A25" s="1">
        <v>2005</v>
      </c>
      <c r="B25" s="128">
        <f>'Total Roy'!B46</f>
        <v>331.7466</v>
      </c>
      <c r="C25" s="111">
        <f aca="true" t="shared" si="8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14">
        <f t="shared" si="4"/>
        <v>180</v>
      </c>
      <c r="I25" s="28">
        <f t="shared" si="4"/>
        <v>85</v>
      </c>
      <c r="J25" s="34">
        <f>(SUM($H$23:H24)/$L$11)+(SUM(I23:I24)/$K$16)</f>
        <v>205</v>
      </c>
      <c r="K25" s="35">
        <f t="shared" si="5"/>
        <v>385.7916666666667</v>
      </c>
      <c r="L25" s="30">
        <f t="shared" si="5"/>
        <v>110</v>
      </c>
      <c r="M25" s="30">
        <f>SUM($L$23:L24)/$L$11</f>
        <v>73.33333333333333</v>
      </c>
      <c r="N25" s="30">
        <f>IF($L$11&gt;(A25-$A$24),0,(((((1-($C$15/($C$14+$C$15)))*SUM($K$23:K24)))-SUM($L$23:L24))/$L$14))</f>
        <v>0</v>
      </c>
      <c r="O25" s="30">
        <f t="shared" si="6"/>
        <v>2.8205128205128203</v>
      </c>
      <c r="P25" s="32">
        <f t="shared" si="2"/>
        <v>89.18461538461538</v>
      </c>
      <c r="Q25" s="36">
        <f t="shared" si="3"/>
        <v>-98.81944444444444</v>
      </c>
      <c r="R25" s="75">
        <f t="shared" si="7"/>
        <v>111.04166666666666</v>
      </c>
      <c r="AA25" s="85"/>
      <c r="AB25" s="143"/>
      <c r="AC25" s="143"/>
    </row>
    <row r="26" spans="1:29" ht="12.75">
      <c r="A26" s="1">
        <v>2006</v>
      </c>
      <c r="B26" s="128">
        <f>'Total Roy'!B47</f>
        <v>297.83369999999996</v>
      </c>
      <c r="C26" s="111">
        <f t="shared" si="8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14">
        <f t="shared" si="4"/>
        <v>180</v>
      </c>
      <c r="I26" s="28">
        <f t="shared" si="4"/>
        <v>85</v>
      </c>
      <c r="J26" s="34">
        <f>(SUM(H23:H25)/$L$11)+(SUM(I24:I25)/$K$16)</f>
        <v>265</v>
      </c>
      <c r="K26" s="35">
        <f t="shared" si="5"/>
        <v>385.7916666666667</v>
      </c>
      <c r="L26" s="30">
        <f t="shared" si="5"/>
        <v>110</v>
      </c>
      <c r="M26" s="30">
        <f aca="true" t="shared" si="9" ref="M26:M32">SUM(L23:L25)/$L$11</f>
        <v>110</v>
      </c>
      <c r="N26" s="30">
        <f>IF($L$11&gt;(A26-$A$24),0,(((((1-($C$15/($C$14+$C$15)))*SUM(K23:K25)))-SUM(L23:L25))/$L$14))</f>
        <v>0</v>
      </c>
      <c r="O26" s="30">
        <f t="shared" si="6"/>
        <v>4.230769230769231</v>
      </c>
      <c r="P26" s="32">
        <f t="shared" si="2"/>
        <v>133.77692307692308</v>
      </c>
      <c r="Q26" s="36">
        <f t="shared" si="3"/>
        <v>-125.20833333333333</v>
      </c>
      <c r="R26" s="75">
        <f t="shared" si="7"/>
        <v>143.54166666666666</v>
      </c>
      <c r="AA26" s="85"/>
      <c r="AB26" s="143"/>
      <c r="AC26" s="143"/>
    </row>
    <row r="27" spans="1:29" ht="12.75">
      <c r="A27" s="1">
        <v>2007</v>
      </c>
      <c r="B27" s="128">
        <f>'Total Roy'!B48</f>
        <v>261.3062</v>
      </c>
      <c r="C27" s="111">
        <f t="shared" si="8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14">
        <f t="shared" si="4"/>
        <v>180</v>
      </c>
      <c r="I27" s="28">
        <f t="shared" si="4"/>
        <v>85</v>
      </c>
      <c r="J27" s="34">
        <f aca="true" t="shared" si="10" ref="J27:J32">(SUM(H24:H26)/$L$11)+(SUM(I25:I26)/$K$16)</f>
        <v>265</v>
      </c>
      <c r="K27" s="35">
        <f t="shared" si="5"/>
        <v>385.7916666666667</v>
      </c>
      <c r="L27" s="30">
        <f t="shared" si="5"/>
        <v>110</v>
      </c>
      <c r="M27" s="30">
        <f t="shared" si="9"/>
        <v>110</v>
      </c>
      <c r="N27" s="30">
        <f>IF($L$11&gt;(A27-$A$24),0,(((((1-($C$15/($C$14+$C$15)))*SUM($K$23:K23)))-SUM($L$23:L23))/$L$14))</f>
        <v>23.024749923864412</v>
      </c>
      <c r="O27" s="30">
        <f t="shared" si="6"/>
        <v>5.116336535533247</v>
      </c>
      <c r="P27" s="32">
        <f t="shared" si="2"/>
        <v>161.77856125356126</v>
      </c>
      <c r="Q27" s="36">
        <f t="shared" si="3"/>
        <v>-108.89913547059604</v>
      </c>
      <c r="R27" s="75">
        <f t="shared" si="7"/>
        <v>143.54166666666666</v>
      </c>
      <c r="AA27" s="85"/>
      <c r="AB27" s="143"/>
      <c r="AC27" s="143"/>
    </row>
    <row r="28" spans="1:29" ht="12.75">
      <c r="A28" s="1">
        <v>2008</v>
      </c>
      <c r="B28" s="128">
        <f>'Total Roy'!B49</f>
        <v>226.54739999999998</v>
      </c>
      <c r="C28" s="111">
        <f t="shared" si="8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14">
        <f t="shared" si="4"/>
        <v>180</v>
      </c>
      <c r="I28" s="28">
        <f t="shared" si="4"/>
        <v>85</v>
      </c>
      <c r="J28" s="34">
        <f t="shared" si="10"/>
        <v>265</v>
      </c>
      <c r="K28" s="35">
        <f t="shared" si="5"/>
        <v>385.7916666666667</v>
      </c>
      <c r="L28" s="30">
        <f t="shared" si="5"/>
        <v>110</v>
      </c>
      <c r="M28" s="30">
        <f t="shared" si="9"/>
        <v>110</v>
      </c>
      <c r="N28" s="30">
        <f>IF($L$11&gt;(A28-$A$24),0,(((((1-($C$15/($C$14+$C$15)))*SUM($K$23:K24)))-SUM($L$23:L24))/$L$14))</f>
        <v>46.049499847728825</v>
      </c>
      <c r="O28" s="30">
        <f t="shared" si="6"/>
        <v>6.001903840297263</v>
      </c>
      <c r="P28" s="32">
        <f t="shared" si="2"/>
        <v>189.78019943019945</v>
      </c>
      <c r="Q28" s="36">
        <f t="shared" si="3"/>
        <v>-92.58993760785873</v>
      </c>
      <c r="R28" s="75">
        <f t="shared" si="7"/>
        <v>143.54166666666666</v>
      </c>
      <c r="AA28" s="85"/>
      <c r="AB28" s="143"/>
      <c r="AC28" s="143"/>
    </row>
    <row r="29" spans="1:29" ht="12.75">
      <c r="A29" s="1">
        <v>2009</v>
      </c>
      <c r="B29" s="128">
        <f>'Total Roy'!B50</f>
        <v>197.3254</v>
      </c>
      <c r="C29" s="111">
        <f t="shared" si="8"/>
        <v>343.5</v>
      </c>
      <c r="D29" s="42">
        <f aca="true" t="shared" si="11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10"/>
        <v>265</v>
      </c>
      <c r="K29" s="28">
        <v>0</v>
      </c>
      <c r="L29" s="28">
        <v>0</v>
      </c>
      <c r="M29" s="30">
        <f t="shared" si="9"/>
        <v>110</v>
      </c>
      <c r="N29" s="30">
        <f>IF($L$11&gt;(A29-$A$24),0,(((((1-($C$15/($C$14+$C$15)))*SUM($K$23:K25)))-SUM($L$23:L25))/$L$14))</f>
        <v>69.07424977159322</v>
      </c>
      <c r="O29" s="30">
        <f t="shared" si="6"/>
        <v>6.887471145061277</v>
      </c>
      <c r="P29" s="32">
        <f t="shared" si="2"/>
        <v>217.7818376068376</v>
      </c>
      <c r="Q29" s="36">
        <f t="shared" si="3"/>
        <v>-76.28073974512147</v>
      </c>
      <c r="R29" s="75">
        <f t="shared" si="7"/>
        <v>143.54166666666666</v>
      </c>
      <c r="AA29" s="85"/>
      <c r="AB29" s="143"/>
      <c r="AC29" s="143"/>
    </row>
    <row r="30" spans="1:29" ht="12.75">
      <c r="A30" s="1">
        <v>2010</v>
      </c>
      <c r="B30" s="128">
        <f>'Total Roy'!B51</f>
        <v>171.4101</v>
      </c>
      <c r="C30" s="111">
        <f t="shared" si="8"/>
        <v>343.5</v>
      </c>
      <c r="D30" s="42">
        <f t="shared" si="11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10"/>
        <v>162.5</v>
      </c>
      <c r="K30" s="28"/>
      <c r="L30" s="28"/>
      <c r="M30" s="30">
        <f t="shared" si="9"/>
        <v>73.33333333333333</v>
      </c>
      <c r="N30" s="30">
        <f>IF($L$11&gt;(A30-$A$24),0,(((((1-($C$15/($C$14+$C$15)))*SUM($K$23:K26)))-SUM($L$23:L26))/$L$14))</f>
        <v>92.09899969545765</v>
      </c>
      <c r="O30" s="30">
        <f t="shared" si="6"/>
        <v>6.362782039568884</v>
      </c>
      <c r="P30" s="32">
        <f t="shared" si="2"/>
        <v>201.19116809116812</v>
      </c>
      <c r="Q30" s="36">
        <f t="shared" si="3"/>
        <v>-10.561819660161941</v>
      </c>
      <c r="R30" s="75">
        <f t="shared" si="7"/>
        <v>88.02083333333333</v>
      </c>
      <c r="AA30" s="85"/>
      <c r="AB30" s="143"/>
      <c r="AC30" s="143"/>
    </row>
    <row r="31" spans="1:29" ht="12.75">
      <c r="A31" s="1">
        <v>2011</v>
      </c>
      <c r="B31" s="128">
        <f>'Total Roy'!B52</f>
        <v>149.3398</v>
      </c>
      <c r="C31" s="111">
        <f t="shared" si="8"/>
        <v>343.5</v>
      </c>
      <c r="D31" s="42">
        <f t="shared" si="11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10"/>
        <v>60</v>
      </c>
      <c r="K31" s="28"/>
      <c r="L31" s="28"/>
      <c r="M31" s="30">
        <f t="shared" si="9"/>
        <v>36.666666666666664</v>
      </c>
      <c r="N31" s="30">
        <f>IF($L$11&gt;(A31-$A$24),0,(((((1-($C$15/($C$14+$C$15)))*SUM($K$23:K27)))-SUM($L$23:L27))/$L$14))</f>
        <v>115.12374961932204</v>
      </c>
      <c r="O31" s="30">
        <f t="shared" si="6"/>
        <v>5.838092934076489</v>
      </c>
      <c r="P31" s="32">
        <f t="shared" si="2"/>
        <v>184.60049857549856</v>
      </c>
      <c r="Q31" s="36">
        <f t="shared" si="3"/>
        <v>55.15710042479755</v>
      </c>
      <c r="R31" s="75">
        <f t="shared" si="7"/>
        <v>32.5</v>
      </c>
      <c r="AA31" s="85"/>
      <c r="AB31" s="143"/>
      <c r="AC31" s="143"/>
    </row>
    <row r="32" spans="1:29" ht="12.75">
      <c r="A32" s="1">
        <v>2012</v>
      </c>
      <c r="B32" s="128">
        <f>'Total Roy'!B53</f>
        <v>124.1935</v>
      </c>
      <c r="C32" s="111">
        <f t="shared" si="8"/>
        <v>343.5</v>
      </c>
      <c r="D32" s="42">
        <f t="shared" si="11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10"/>
        <v>0</v>
      </c>
      <c r="K32" s="28"/>
      <c r="L32" s="28"/>
      <c r="M32" s="30">
        <f t="shared" si="9"/>
        <v>0</v>
      </c>
      <c r="N32" s="30">
        <f>IF($L$11&gt;(A32-$A$24),0,(((((1-($C$15/($C$14+$C$15)))*SUM($K$23:K28)))-SUM($L$23:L28))/$L$14))</f>
        <v>138.14849954318643</v>
      </c>
      <c r="O32" s="30">
        <f t="shared" si="6"/>
        <v>5.313403828584094</v>
      </c>
      <c r="P32" s="32">
        <f t="shared" si="2"/>
        <v>168.00982905982903</v>
      </c>
      <c r="Q32" s="36">
        <f t="shared" si="3"/>
        <v>97.85518717642371</v>
      </c>
      <c r="R32" s="75">
        <f t="shared" si="7"/>
        <v>0</v>
      </c>
      <c r="AA32" s="85"/>
      <c r="AB32" s="143"/>
      <c r="AC32" s="143"/>
    </row>
    <row r="33" spans="1:29" ht="12.75">
      <c r="A33" s="1">
        <v>2013</v>
      </c>
      <c r="B33" s="128">
        <f>'Total Roy'!B54</f>
        <v>102.5846</v>
      </c>
      <c r="C33" s="111">
        <f t="shared" si="8"/>
        <v>343.5</v>
      </c>
      <c r="D33" s="42">
        <f t="shared" si="11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/>
      <c r="K33" s="9"/>
      <c r="L33" s="9"/>
      <c r="M33" s="30"/>
      <c r="N33" s="30">
        <f>IF($L$11&gt;(A33-$A$24),0,(((((1-($C$15/($C$14+$C$15)))*SUM($K$23:K29)))-SUM($L$23:L29))/$L$14))</f>
        <v>138.14849954318643</v>
      </c>
      <c r="O33" s="30">
        <f t="shared" si="6"/>
        <v>5.313403828584094</v>
      </c>
      <c r="P33" s="32">
        <f t="shared" si="2"/>
        <v>168.00982905982903</v>
      </c>
      <c r="Q33" s="36">
        <f t="shared" si="3"/>
        <v>97.85518717642371</v>
      </c>
      <c r="R33" s="75"/>
      <c r="AA33" s="85"/>
      <c r="AB33" s="143"/>
      <c r="AC33" s="143"/>
    </row>
    <row r="34" spans="1:29" ht="12.75">
      <c r="A34" s="1">
        <v>2014</v>
      </c>
      <c r="B34" s="129">
        <f aca="true" t="shared" si="12" ref="B34:B39">B33*(B33/B32)</f>
        <v>84.7355147987616</v>
      </c>
      <c r="C34" s="111">
        <f t="shared" si="8"/>
        <v>343.5</v>
      </c>
      <c r="D34" s="42">
        <f t="shared" si="11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42"/>
      <c r="K34" s="3"/>
      <c r="L34" s="3"/>
      <c r="M34" s="30"/>
      <c r="N34" s="30">
        <f>IF($L$11&gt;(A34-$A$24),0,(((((1-($C$15/($C$14+$C$15)))*SUM($K$23:K30)))-SUM($L$23:L30))/$L$14))</f>
        <v>138.14849954318643</v>
      </c>
      <c r="O34" s="30">
        <f t="shared" si="6"/>
        <v>5.313403828584094</v>
      </c>
      <c r="P34" s="32">
        <f t="shared" si="2"/>
        <v>168.00982905982903</v>
      </c>
      <c r="Q34" s="36">
        <f t="shared" si="3"/>
        <v>97.85518717642371</v>
      </c>
      <c r="R34" s="75"/>
      <c r="AA34" s="85"/>
      <c r="AB34" s="143"/>
      <c r="AC34" s="143"/>
    </row>
    <row r="35" spans="1:29" ht="12.75">
      <c r="A35" s="1">
        <v>2015</v>
      </c>
      <c r="B35" s="129">
        <f t="shared" si="12"/>
        <v>69.99205990188729</v>
      </c>
      <c r="C35" s="111">
        <f t="shared" si="8"/>
        <v>343.5</v>
      </c>
      <c r="D35" s="42">
        <f t="shared" si="11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3" ref="N35:N40">IF($L$11&gt;(A35-$A$24),0,(((((1-($C$15/($C$14+$C$15)))*SUM(K23:K31)))-SUM(L23:L31))/$L$14))</f>
        <v>138.14849954318643</v>
      </c>
      <c r="O35" s="30">
        <f t="shared" si="6"/>
        <v>5.313403828584094</v>
      </c>
      <c r="P35" s="32">
        <f t="shared" si="2"/>
        <v>168.00982905982903</v>
      </c>
      <c r="Q35" s="36">
        <f t="shared" si="3"/>
        <v>97.85518717642371</v>
      </c>
      <c r="R35" s="75"/>
      <c r="AA35" s="85"/>
      <c r="AB35" s="143"/>
      <c r="AC35" s="143"/>
    </row>
    <row r="36" spans="1:29" ht="12.75">
      <c r="A36" s="1">
        <v>2016</v>
      </c>
      <c r="B36" s="129">
        <f t="shared" si="12"/>
        <v>57.81387486632671</v>
      </c>
      <c r="C36" s="111">
        <f t="shared" si="8"/>
        <v>343.5</v>
      </c>
      <c r="D36" s="42">
        <f t="shared" si="11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3"/>
        <v>115.12374961932204</v>
      </c>
      <c r="O36" s="30">
        <f t="shared" si="6"/>
        <v>4.427836523820078</v>
      </c>
      <c r="P36" s="32">
        <f t="shared" si="2"/>
        <v>140.00819088319088</v>
      </c>
      <c r="Q36" s="36">
        <f t="shared" si="3"/>
        <v>81.54598931368645</v>
      </c>
      <c r="R36" s="75"/>
      <c r="AA36" s="85"/>
      <c r="AB36" s="143"/>
      <c r="AC36" s="143"/>
    </row>
    <row r="37" spans="1:29" ht="12.75">
      <c r="A37" s="1">
        <v>2017</v>
      </c>
      <c r="B37" s="129">
        <f t="shared" si="12"/>
        <v>47.754618620235185</v>
      </c>
      <c r="C37" s="111">
        <f t="shared" si="8"/>
        <v>343.5</v>
      </c>
      <c r="D37" s="42">
        <f t="shared" si="11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3"/>
        <v>92.09899969545765</v>
      </c>
      <c r="O37" s="30">
        <f t="shared" si="6"/>
        <v>3.5422692190560636</v>
      </c>
      <c r="P37" s="32">
        <f t="shared" si="2"/>
        <v>112.00655270655272</v>
      </c>
      <c r="Q37" s="36">
        <f t="shared" si="3"/>
        <v>65.23679145094917</v>
      </c>
      <c r="AA37" s="85"/>
      <c r="AB37" s="143"/>
      <c r="AC37" s="143"/>
    </row>
    <row r="38" spans="1:29" ht="12.75">
      <c r="A38" s="1">
        <v>2018</v>
      </c>
      <c r="B38" s="129">
        <f t="shared" si="12"/>
        <v>39.445610674547204</v>
      </c>
      <c r="C38" s="111">
        <f t="shared" si="8"/>
        <v>343.5</v>
      </c>
      <c r="D38" s="42">
        <f t="shared" si="11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3"/>
        <v>69.07424977159322</v>
      </c>
      <c r="O38" s="30">
        <f t="shared" si="6"/>
        <v>2.656701914292047</v>
      </c>
      <c r="P38" s="32">
        <f t="shared" si="2"/>
        <v>84.00491452991452</v>
      </c>
      <c r="Q38" s="36">
        <f t="shared" si="3"/>
        <v>48.927593588211856</v>
      </c>
      <c r="AA38" s="85"/>
      <c r="AB38" s="143"/>
      <c r="AC38" s="143"/>
    </row>
    <row r="39" spans="1:29" ht="12.75">
      <c r="A39" s="1">
        <v>2019</v>
      </c>
      <c r="B39" s="129">
        <f t="shared" si="12"/>
        <v>32.58231866244332</v>
      </c>
      <c r="C39" s="111">
        <f t="shared" si="8"/>
        <v>343.5</v>
      </c>
      <c r="D39" s="42">
        <f t="shared" si="11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3"/>
        <v>46.049499847728825</v>
      </c>
      <c r="O39" s="30">
        <f t="shared" si="6"/>
        <v>1.7711346095280318</v>
      </c>
      <c r="P39" s="32">
        <f t="shared" si="2"/>
        <v>56.00327635327636</v>
      </c>
      <c r="Q39" s="36">
        <f t="shared" si="3"/>
        <v>32.618395725474585</v>
      </c>
      <c r="AA39" s="85"/>
      <c r="AB39" s="143"/>
      <c r="AC39" s="143"/>
    </row>
    <row r="40" spans="1:29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3"/>
        <v>23.024749923864412</v>
      </c>
      <c r="O40" s="57">
        <f t="shared" si="6"/>
        <v>0.8855673047640159</v>
      </c>
      <c r="P40" s="59">
        <f t="shared" si="2"/>
        <v>28.00163817663818</v>
      </c>
      <c r="Q40" s="71">
        <f t="shared" si="3"/>
        <v>16.309197862737292</v>
      </c>
      <c r="R40" s="130"/>
      <c r="AA40" s="85"/>
      <c r="AB40" s="143"/>
      <c r="AC40" s="143"/>
    </row>
    <row r="41" spans="1:23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1080</v>
      </c>
      <c r="I41" s="85">
        <f aca="true" t="shared" si="14" ref="I41:P41">SUM(I23:I40)</f>
        <v>510</v>
      </c>
      <c r="J41" s="85">
        <f t="shared" si="14"/>
        <v>1590</v>
      </c>
      <c r="K41" s="85">
        <f t="shared" si="14"/>
        <v>2314.75</v>
      </c>
      <c r="L41" s="85">
        <f t="shared" si="14"/>
        <v>660</v>
      </c>
      <c r="M41" s="85">
        <f t="shared" si="14"/>
        <v>660</v>
      </c>
      <c r="N41" s="85">
        <f t="shared" si="14"/>
        <v>1243.336495888678</v>
      </c>
      <c r="O41" s="85">
        <f t="shared" si="14"/>
        <v>73.20524984187222</v>
      </c>
      <c r="P41" s="85">
        <f t="shared" si="14"/>
        <v>2314.749999999999</v>
      </c>
      <c r="Q41" s="36">
        <f>SUM(Q23:Q40)</f>
        <v>129.4466845878136</v>
      </c>
      <c r="R41" s="36">
        <f>SUM(R23:R40)</f>
        <v>861.2499999999999</v>
      </c>
      <c r="W41" s="3"/>
    </row>
    <row r="42" spans="2:23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2314.75</v>
      </c>
      <c r="L42" s="3"/>
      <c r="M42" s="411" t="s">
        <v>77</v>
      </c>
      <c r="N42" s="412"/>
      <c r="O42" s="64">
        <v>0.07</v>
      </c>
      <c r="P42" s="65">
        <f>NPV(O42,P24:P39)</f>
        <v>1347.519584961355</v>
      </c>
      <c r="Q42" s="66">
        <f>NPV($O$42,Q24:Q39)</f>
        <v>-128.26407472458823</v>
      </c>
      <c r="R42" s="66">
        <f>NPV($O$42,R24:R39)</f>
        <v>647.2780744044002</v>
      </c>
      <c r="W42" s="3"/>
    </row>
    <row r="43" spans="1:25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1590</v>
      </c>
      <c r="K43" s="86">
        <f>M43+N43+O43</f>
        <v>2314.75</v>
      </c>
      <c r="L43" s="120"/>
      <c r="M43" s="86">
        <f>M41</f>
        <v>660</v>
      </c>
      <c r="N43" s="86">
        <f>N41</f>
        <v>1243.336495888678</v>
      </c>
      <c r="O43" s="136">
        <f>O41*C15</f>
        <v>411.41350411132186</v>
      </c>
      <c r="P43" s="120"/>
      <c r="Q43" s="137"/>
      <c r="W43" s="3"/>
      <c r="X43" s="3"/>
      <c r="Y43" s="3"/>
    </row>
    <row r="44" ht="6" customHeight="1"/>
    <row r="45" spans="2:9" ht="15" customHeight="1">
      <c r="B45" s="422" t="s">
        <v>141</v>
      </c>
      <c r="C45" s="390"/>
      <c r="D45" s="390"/>
      <c r="E45" s="390"/>
      <c r="F45" s="391"/>
      <c r="H45" s="3"/>
      <c r="I45" s="3"/>
    </row>
    <row r="46" spans="2:17" ht="12.75" customHeight="1">
      <c r="B46" s="367" t="s">
        <v>120</v>
      </c>
      <c r="C46" s="304" t="s">
        <v>121</v>
      </c>
      <c r="D46" s="304" t="s">
        <v>122</v>
      </c>
      <c r="E46" s="368" t="s">
        <v>123</v>
      </c>
      <c r="F46" s="369">
        <v>-0.72</v>
      </c>
      <c r="G46" s="370"/>
      <c r="H46" s="370"/>
      <c r="I46" s="305" t="s">
        <v>278</v>
      </c>
      <c r="J46" s="208" t="s">
        <v>146</v>
      </c>
      <c r="K46" s="167" t="s">
        <v>151</v>
      </c>
      <c r="L46" s="127"/>
      <c r="M46" s="84"/>
      <c r="N46" s="84"/>
      <c r="O46" s="84"/>
      <c r="Q46" s="168">
        <f>P41/J41</f>
        <v>1.4558176100628926</v>
      </c>
    </row>
    <row r="47" spans="2:18" ht="12.75" customHeight="1" thickBot="1">
      <c r="B47" s="435" t="s">
        <v>109</v>
      </c>
      <c r="C47" s="436"/>
      <c r="D47" s="436"/>
      <c r="E47" s="427" t="s">
        <v>282</v>
      </c>
      <c r="F47" s="427"/>
      <c r="G47" s="370"/>
      <c r="H47" s="304" t="s">
        <v>125</v>
      </c>
      <c r="I47" s="305" t="s">
        <v>280</v>
      </c>
      <c r="J47" s="302" t="s">
        <v>145</v>
      </c>
      <c r="K47" s="3"/>
      <c r="L47" s="3"/>
      <c r="N47" s="84"/>
      <c r="O47" s="84"/>
      <c r="R47" s="295">
        <v>37711</v>
      </c>
    </row>
    <row r="48" spans="2:16" ht="12.75" customHeigh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38" t="s">
        <v>79</v>
      </c>
      <c r="L48" s="439"/>
      <c r="M48" s="439"/>
      <c r="N48" s="439"/>
      <c r="O48" s="439"/>
      <c r="P48" s="440"/>
    </row>
    <row r="49" spans="1:20" ht="12.75" customHeight="1" thickBot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303" t="s">
        <v>44</v>
      </c>
      <c r="K49" s="2"/>
      <c r="L49" s="3"/>
      <c r="M49" s="3"/>
      <c r="N49" s="3"/>
      <c r="O49" s="48" t="s">
        <v>67</v>
      </c>
      <c r="P49" s="49" t="s">
        <v>68</v>
      </c>
      <c r="T49" s="296"/>
    </row>
    <row r="50" spans="1:16" ht="12.75" customHeight="1">
      <c r="A50" s="1">
        <v>2003</v>
      </c>
      <c r="B50" s="14">
        <f aca="true" t="shared" si="15" ref="B50:B67">E23</f>
        <v>0</v>
      </c>
      <c r="C50" s="42">
        <f aca="true" t="shared" si="16" ref="C50:C67">E23+M23+N23</f>
        <v>0</v>
      </c>
      <c r="D50" s="42">
        <f aca="true" t="shared" si="17" ref="D50:D62">C50-E23</f>
        <v>0</v>
      </c>
      <c r="E50" s="1">
        <v>0</v>
      </c>
      <c r="F50" s="1">
        <f>($D$9*(E50/H50))/$F$46</f>
        <v>0</v>
      </c>
      <c r="H50" s="85">
        <f>22920+2*($H$52-22920)/4</f>
        <v>23635</v>
      </c>
      <c r="I50" s="67">
        <f>H50*-F50</f>
        <v>0</v>
      </c>
      <c r="J50" s="36">
        <f aca="true" t="shared" si="18" ref="J50:J67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 customHeight="1">
      <c r="A51" s="1">
        <v>2004</v>
      </c>
      <c r="B51" s="34">
        <f t="shared" si="15"/>
        <v>47.07463630613536</v>
      </c>
      <c r="C51" s="42">
        <f t="shared" si="16"/>
        <v>83.74130297280203</v>
      </c>
      <c r="D51" s="42">
        <f t="shared" si="17"/>
        <v>36.66666666666667</v>
      </c>
      <c r="E51" s="22">
        <f aca="true" t="shared" si="19" ref="E51:E67">$E$8*D51</f>
        <v>14.483333333333336</v>
      </c>
      <c r="F51" s="300">
        <f aca="true" t="shared" si="20" ref="F51:F67">($D$9*(E51/H51))/$F$46</f>
        <v>-0.002934462544236432</v>
      </c>
      <c r="H51" s="85">
        <f>22920+3*($H$52-22920)/4</f>
        <v>23992.5</v>
      </c>
      <c r="I51" s="67">
        <f aca="true" t="shared" si="21" ref="I51:I67">H51*-F51</f>
        <v>70.4050925925926</v>
      </c>
      <c r="J51" s="36">
        <f t="shared" si="18"/>
        <v>3.922569444444445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</row>
    <row r="52" spans="1:16" ht="12.75" customHeight="1">
      <c r="A52" s="1">
        <v>2005</v>
      </c>
      <c r="B52" s="34">
        <f t="shared" si="15"/>
        <v>94.14927261227072</v>
      </c>
      <c r="C52" s="42">
        <f t="shared" si="16"/>
        <v>167.48260594560406</v>
      </c>
      <c r="D52" s="42">
        <f t="shared" si="17"/>
        <v>73.33333333333334</v>
      </c>
      <c r="E52" s="22">
        <f t="shared" si="19"/>
        <v>28.966666666666672</v>
      </c>
      <c r="F52" s="300">
        <f t="shared" si="20"/>
        <v>-0.005782759145182145</v>
      </c>
      <c r="H52" s="85">
        <f>24.35*1000</f>
        <v>24350</v>
      </c>
      <c r="I52" s="67">
        <f t="shared" si="21"/>
        <v>140.81018518518525</v>
      </c>
      <c r="J52" s="36">
        <f t="shared" si="18"/>
        <v>7.84513888888889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</row>
    <row r="53" spans="1:16" ht="12.75" customHeight="1">
      <c r="A53" s="1">
        <v>2006</v>
      </c>
      <c r="B53" s="34">
        <f t="shared" si="15"/>
        <v>141.22390891840607</v>
      </c>
      <c r="C53" s="42">
        <f t="shared" si="16"/>
        <v>251.22390891840607</v>
      </c>
      <c r="D53" s="42">
        <f t="shared" si="17"/>
        <v>110</v>
      </c>
      <c r="E53" s="22">
        <f t="shared" si="19"/>
        <v>43.45</v>
      </c>
      <c r="F53" s="300">
        <f t="shared" si="20"/>
        <v>-0.00849550630591979</v>
      </c>
      <c r="H53" s="85">
        <f>$H$52+($H$57-$H$52)/5</f>
        <v>24862</v>
      </c>
      <c r="I53" s="67">
        <f t="shared" si="21"/>
        <v>211.2152777777778</v>
      </c>
      <c r="J53" s="36">
        <f t="shared" si="18"/>
        <v>11.767708333333333</v>
      </c>
      <c r="K53" s="8" t="s">
        <v>74</v>
      </c>
      <c r="L53" s="9"/>
      <c r="M53" s="3"/>
      <c r="N53" s="3"/>
      <c r="O53" s="54">
        <f>O51+((P11-O11)*P12)/1000</f>
        <v>0.434</v>
      </c>
      <c r="P53" s="55">
        <f>P51+((R11-Q11)*R12)/1000</f>
        <v>0.43205000000000005</v>
      </c>
    </row>
    <row r="54" spans="1:16" ht="12.75" customHeight="1">
      <c r="A54" s="1">
        <v>2007</v>
      </c>
      <c r="B54" s="34">
        <f t="shared" si="15"/>
        <v>188.29854522454144</v>
      </c>
      <c r="C54" s="42">
        <f t="shared" si="16"/>
        <v>321.32329514840586</v>
      </c>
      <c r="D54" s="42">
        <f t="shared" si="17"/>
        <v>133.02474992386442</v>
      </c>
      <c r="E54" s="22">
        <f t="shared" si="19"/>
        <v>52.54477621992645</v>
      </c>
      <c r="F54" s="300">
        <f t="shared" si="20"/>
        <v>-0.010066445791500407</v>
      </c>
      <c r="H54" s="85">
        <f>$H$52+2*($H$57-$H$52)/5</f>
        <v>25374</v>
      </c>
      <c r="I54" s="67">
        <f t="shared" si="21"/>
        <v>255.42599551353132</v>
      </c>
      <c r="J54" s="36">
        <f t="shared" si="18"/>
        <v>14.230876892896745</v>
      </c>
      <c r="K54" s="2" t="s">
        <v>73</v>
      </c>
      <c r="L54" s="3"/>
      <c r="M54" s="3"/>
      <c r="N54" s="9">
        <f>N52</f>
        <v>6</v>
      </c>
      <c r="O54" s="22">
        <f>O53*N54</f>
        <v>2.604</v>
      </c>
      <c r="P54" s="53">
        <f>P53*N54</f>
        <v>2.5923000000000003</v>
      </c>
    </row>
    <row r="55" spans="1:16" ht="12.75" customHeight="1">
      <c r="A55" s="1">
        <v>2008</v>
      </c>
      <c r="B55" s="34">
        <f t="shared" si="15"/>
        <v>235.3731815306768</v>
      </c>
      <c r="C55" s="42">
        <f t="shared" si="16"/>
        <v>391.4226813784056</v>
      </c>
      <c r="D55" s="42">
        <f t="shared" si="17"/>
        <v>156.04949984772884</v>
      </c>
      <c r="E55" s="22">
        <f t="shared" si="19"/>
        <v>61.63955243985289</v>
      </c>
      <c r="F55" s="300">
        <f t="shared" si="20"/>
        <v>-0.011575241955083245</v>
      </c>
      <c r="H55" s="85">
        <f>$H$52+3*($H$57-$H$52)/5</f>
        <v>25886</v>
      </c>
      <c r="I55" s="67">
        <f t="shared" si="21"/>
        <v>299.63671324928487</v>
      </c>
      <c r="J55" s="36">
        <f t="shared" si="18"/>
        <v>16.694045452460156</v>
      </c>
      <c r="K55" s="2" t="s">
        <v>263</v>
      </c>
      <c r="L55" s="3"/>
      <c r="M55" s="3"/>
      <c r="N55" s="3"/>
      <c r="O55" s="22">
        <f>O54-O52</f>
        <v>1.092</v>
      </c>
      <c r="P55" s="53">
        <f>P54-P52</f>
        <v>2.0433000000000003</v>
      </c>
    </row>
    <row r="56" spans="1:16" ht="12.75" customHeight="1">
      <c r="A56" s="1">
        <v>2009</v>
      </c>
      <c r="B56" s="34">
        <f t="shared" si="15"/>
        <v>282.44781783681213</v>
      </c>
      <c r="C56" s="42">
        <f t="shared" si="16"/>
        <v>461.52206760840534</v>
      </c>
      <c r="D56" s="42">
        <f t="shared" si="17"/>
        <v>179.0742497715932</v>
      </c>
      <c r="E56" s="22">
        <f t="shared" si="19"/>
        <v>70.73432865977932</v>
      </c>
      <c r="F56" s="300">
        <f t="shared" si="20"/>
        <v>-0.013025510682060702</v>
      </c>
      <c r="H56" s="85">
        <f>$H$52+4*($H$57-$H$52)/5</f>
        <v>26398</v>
      </c>
      <c r="I56" s="67">
        <f t="shared" si="21"/>
        <v>343.8474309850384</v>
      </c>
      <c r="J56" s="36">
        <f t="shared" si="18"/>
        <v>19.157214012023566</v>
      </c>
      <c r="K56" s="2" t="s">
        <v>76</v>
      </c>
      <c r="L56" s="3"/>
      <c r="M56" s="3"/>
      <c r="N56" s="3"/>
      <c r="O56" s="3"/>
      <c r="P56" s="53">
        <f>(O54+P54)</f>
        <v>5.196300000000001</v>
      </c>
    </row>
    <row r="57" spans="1:16" ht="12.75" customHeight="1" thickBot="1">
      <c r="A57" s="1">
        <v>2010</v>
      </c>
      <c r="B57" s="34">
        <f t="shared" si="15"/>
        <v>282.44781783681213</v>
      </c>
      <c r="C57" s="42">
        <f t="shared" si="16"/>
        <v>447.8801508656031</v>
      </c>
      <c r="D57" s="42">
        <f t="shared" si="17"/>
        <v>165.432333028791</v>
      </c>
      <c r="E57" s="22">
        <f t="shared" si="19"/>
        <v>65.34577154637245</v>
      </c>
      <c r="F57" s="300">
        <f t="shared" si="20"/>
        <v>-0.011804275590048287</v>
      </c>
      <c r="H57" s="85">
        <f>26.91*1000</f>
        <v>26910</v>
      </c>
      <c r="I57" s="67">
        <f t="shared" si="21"/>
        <v>317.6530561281994</v>
      </c>
      <c r="J57" s="36">
        <f t="shared" si="18"/>
        <v>17.697813127142535</v>
      </c>
      <c r="K57" s="11" t="s">
        <v>178</v>
      </c>
      <c r="L57" s="12"/>
      <c r="M57" s="12"/>
      <c r="N57" s="12"/>
      <c r="O57" s="12"/>
      <c r="P57" s="62">
        <f>(O55+P55)</f>
        <v>3.1353000000000004</v>
      </c>
    </row>
    <row r="58" spans="1:10" ht="12.75" customHeight="1" thickBot="1">
      <c r="A58" s="1">
        <v>2011</v>
      </c>
      <c r="B58" s="34">
        <f t="shared" si="15"/>
        <v>282.44781783681213</v>
      </c>
      <c r="C58" s="42">
        <f t="shared" si="16"/>
        <v>434.23823412280086</v>
      </c>
      <c r="D58" s="42">
        <f t="shared" si="17"/>
        <v>151.79041628598873</v>
      </c>
      <c r="E58" s="22">
        <f t="shared" si="19"/>
        <v>59.95721443296555</v>
      </c>
      <c r="F58" s="300">
        <f t="shared" si="20"/>
        <v>-0.010638342930662494</v>
      </c>
      <c r="H58" s="85">
        <f>$H$57+($H$62-$H$57)/5</f>
        <v>27397</v>
      </c>
      <c r="I58" s="67">
        <f t="shared" si="21"/>
        <v>291.4586812713603</v>
      </c>
      <c r="J58" s="36">
        <f t="shared" si="18"/>
        <v>16.238412242261504</v>
      </c>
    </row>
    <row r="59" spans="1:19" ht="12.75" customHeight="1">
      <c r="A59" s="1">
        <v>2012</v>
      </c>
      <c r="B59" s="34">
        <f t="shared" si="15"/>
        <v>282.44781783681213</v>
      </c>
      <c r="C59" s="42">
        <f t="shared" si="16"/>
        <v>420.5963173799986</v>
      </c>
      <c r="D59" s="42">
        <f t="shared" si="17"/>
        <v>138.14849954318646</v>
      </c>
      <c r="E59" s="22">
        <f t="shared" si="19"/>
        <v>54.56865731955865</v>
      </c>
      <c r="F59" s="300">
        <f t="shared" si="20"/>
        <v>-0.009513136795815566</v>
      </c>
      <c r="H59" s="85">
        <f>$H$57+2*($H$62-$H$57)/5</f>
        <v>27884</v>
      </c>
      <c r="I59" s="67">
        <f t="shared" si="21"/>
        <v>265.26430641452123</v>
      </c>
      <c r="J59" s="36">
        <f t="shared" si="18"/>
        <v>14.779011357380467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290"/>
    </row>
    <row r="60" spans="1:18" ht="12.75" customHeight="1">
      <c r="A60" s="1">
        <v>2013</v>
      </c>
      <c r="B60" s="34">
        <f t="shared" si="15"/>
        <v>282.44781783681213</v>
      </c>
      <c r="C60" s="42">
        <f t="shared" si="16"/>
        <v>420.5963173799986</v>
      </c>
      <c r="D60" s="42">
        <f t="shared" si="17"/>
        <v>138.14849954318646</v>
      </c>
      <c r="E60" s="22">
        <f t="shared" si="19"/>
        <v>54.56865731955865</v>
      </c>
      <c r="F60" s="300">
        <f t="shared" si="20"/>
        <v>-0.009349839851063454</v>
      </c>
      <c r="H60" s="85">
        <f>$H$57+3*($H$62-$H$57)/5</f>
        <v>28371</v>
      </c>
      <c r="I60" s="67">
        <f t="shared" si="21"/>
        <v>265.2643064145213</v>
      </c>
      <c r="J60" s="36">
        <f t="shared" si="18"/>
        <v>14.779011357380467</v>
      </c>
      <c r="K60" s="2" t="s">
        <v>2</v>
      </c>
      <c r="L60" s="3"/>
      <c r="M60" s="3"/>
      <c r="N60" s="3"/>
      <c r="O60" s="3"/>
      <c r="P60" s="3"/>
      <c r="Q60" s="3">
        <f>(O11*I5)+(Q11*I6)</f>
        <v>180</v>
      </c>
      <c r="R60" s="4" t="s">
        <v>3</v>
      </c>
    </row>
    <row r="61" spans="1:18" ht="12.75" customHeight="1">
      <c r="A61" s="1">
        <v>2014</v>
      </c>
      <c r="B61" s="34">
        <f t="shared" si="15"/>
        <v>282.44781783681213</v>
      </c>
      <c r="C61" s="42">
        <f t="shared" si="16"/>
        <v>420.5963173799986</v>
      </c>
      <c r="D61" s="42">
        <f t="shared" si="17"/>
        <v>138.14849954318646</v>
      </c>
      <c r="E61" s="22">
        <f t="shared" si="19"/>
        <v>54.56865731955865</v>
      </c>
      <c r="F61" s="300">
        <f t="shared" si="20"/>
        <v>-0.009192054418688795</v>
      </c>
      <c r="H61" s="85">
        <f>$H$57+4*($H$62-$H$57)/5</f>
        <v>28858</v>
      </c>
      <c r="I61" s="67">
        <f t="shared" si="21"/>
        <v>265.26430641452123</v>
      </c>
      <c r="J61" s="36">
        <f t="shared" si="18"/>
        <v>14.779011357380467</v>
      </c>
      <c r="K61" s="2" t="s">
        <v>116</v>
      </c>
      <c r="L61" s="3"/>
      <c r="M61" s="3"/>
      <c r="N61" s="3"/>
      <c r="O61" s="3"/>
      <c r="P61" s="3"/>
      <c r="Q61" s="5">
        <f>R15*I7</f>
        <v>85</v>
      </c>
      <c r="R61" s="4" t="s">
        <v>3</v>
      </c>
    </row>
    <row r="62" spans="1:18" ht="12.75" customHeight="1">
      <c r="A62" s="1">
        <v>2015</v>
      </c>
      <c r="B62" s="34">
        <f t="shared" si="15"/>
        <v>282.44781783681213</v>
      </c>
      <c r="C62" s="42">
        <f t="shared" si="16"/>
        <v>420.5963173799986</v>
      </c>
      <c r="D62" s="42">
        <f t="shared" si="17"/>
        <v>138.14849954318646</v>
      </c>
      <c r="E62" s="22">
        <f t="shared" si="19"/>
        <v>54.56865731955865</v>
      </c>
      <c r="F62" s="300">
        <f t="shared" si="20"/>
        <v>-0.009039506096933762</v>
      </c>
      <c r="H62" s="85">
        <f>29.345*1000</f>
        <v>29345</v>
      </c>
      <c r="I62" s="67">
        <f t="shared" si="21"/>
        <v>265.26430641452123</v>
      </c>
      <c r="J62" s="36">
        <f t="shared" si="18"/>
        <v>14.779011357380467</v>
      </c>
      <c r="K62" s="2" t="s">
        <v>351</v>
      </c>
      <c r="L62" s="3"/>
      <c r="M62" s="3"/>
      <c r="N62" s="3"/>
      <c r="O62" s="3"/>
      <c r="P62" s="3"/>
      <c r="Q62" s="5">
        <f>(O53-O51+P53-P51)*1000</f>
        <v>522.55</v>
      </c>
      <c r="R62" s="4" t="s">
        <v>8</v>
      </c>
    </row>
    <row r="63" spans="1:18" ht="12.75" customHeight="1">
      <c r="A63" s="1">
        <v>2016</v>
      </c>
      <c r="B63" s="34">
        <f t="shared" si="15"/>
        <v>282.44781783681213</v>
      </c>
      <c r="C63" s="42">
        <f t="shared" si="16"/>
        <v>397.5715674561342</v>
      </c>
      <c r="D63" s="42">
        <f>C63-B63</f>
        <v>115.12374961932204</v>
      </c>
      <c r="E63" s="22">
        <f t="shared" si="19"/>
        <v>45.47388109963221</v>
      </c>
      <c r="F63" s="300">
        <f t="shared" si="20"/>
        <v>-0.007400026401940536</v>
      </c>
      <c r="H63" s="85">
        <f>$H$62+($H$67-$H$62)/5</f>
        <v>29872</v>
      </c>
      <c r="I63" s="67">
        <f t="shared" si="21"/>
        <v>221.05358867876768</v>
      </c>
      <c r="J63" s="36">
        <f t="shared" si="18"/>
        <v>12.315842797817055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110</v>
      </c>
      <c r="R63" s="4" t="s">
        <v>3</v>
      </c>
    </row>
    <row r="64" spans="1:18" ht="12.75" customHeight="1">
      <c r="A64" s="1">
        <v>2017</v>
      </c>
      <c r="B64" s="34">
        <f t="shared" si="15"/>
        <v>282.44781783681213</v>
      </c>
      <c r="C64" s="42">
        <f t="shared" si="16"/>
        <v>374.54681753226976</v>
      </c>
      <c r="D64" s="42">
        <f>C64-B64</f>
        <v>92.09899969545762</v>
      </c>
      <c r="E64" s="22">
        <f t="shared" si="19"/>
        <v>36.379104879705764</v>
      </c>
      <c r="F64" s="300">
        <f t="shared" si="20"/>
        <v>-0.005817391063620979</v>
      </c>
      <c r="H64" s="85">
        <f>$H$62+2*($H$67-$H$62)/5</f>
        <v>30399</v>
      </c>
      <c r="I64" s="67">
        <f t="shared" si="21"/>
        <v>176.84287094301413</v>
      </c>
      <c r="J64" s="36">
        <f t="shared" si="18"/>
        <v>9.852674238253643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120</v>
      </c>
      <c r="R64" s="4" t="s">
        <v>8</v>
      </c>
    </row>
    <row r="65" spans="1:18" ht="12.75" customHeight="1">
      <c r="A65" s="1">
        <v>2018</v>
      </c>
      <c r="B65" s="34">
        <f t="shared" si="15"/>
        <v>282.44781783681213</v>
      </c>
      <c r="C65" s="42">
        <f t="shared" si="16"/>
        <v>351.52206760840534</v>
      </c>
      <c r="D65" s="42">
        <f>C65-B65</f>
        <v>69.0742497715932</v>
      </c>
      <c r="E65" s="22">
        <f t="shared" si="19"/>
        <v>27.284328659779316</v>
      </c>
      <c r="F65" s="300">
        <f t="shared" si="20"/>
        <v>-0.0042886940828836765</v>
      </c>
      <c r="H65" s="85">
        <f>$H$62+3*($H$67-$H$62)/5</f>
        <v>30926</v>
      </c>
      <c r="I65" s="67">
        <f t="shared" si="21"/>
        <v>132.6321532072606</v>
      </c>
      <c r="J65" s="36">
        <f t="shared" si="18"/>
        <v>7.389505678690231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85.1375</v>
      </c>
      <c r="R65" s="4" t="s">
        <v>8</v>
      </c>
    </row>
    <row r="66" spans="1:18" ht="12.75" customHeight="1">
      <c r="A66" s="1">
        <v>2019</v>
      </c>
      <c r="B66" s="34">
        <f t="shared" si="15"/>
        <v>282.44781783681213</v>
      </c>
      <c r="C66" s="42">
        <f t="shared" si="16"/>
        <v>328.497317684541</v>
      </c>
      <c r="D66" s="42">
        <f>C66-B66</f>
        <v>46.04949984772884</v>
      </c>
      <c r="E66" s="22">
        <f t="shared" si="19"/>
        <v>18.189552439852893</v>
      </c>
      <c r="F66" s="300">
        <f t="shared" si="20"/>
        <v>-0.002811224222538617</v>
      </c>
      <c r="H66" s="85">
        <f>$H$62+4*($H$67-$H$62)/5</f>
        <v>31453</v>
      </c>
      <c r="I66" s="67">
        <f t="shared" si="21"/>
        <v>88.42143547150712</v>
      </c>
      <c r="J66" s="36">
        <f t="shared" si="18"/>
        <v>4.926337119126825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68.37916666666666</v>
      </c>
      <c r="R66" s="4" t="s">
        <v>8</v>
      </c>
    </row>
    <row r="67" spans="1:18" ht="12.75" customHeight="1" thickBot="1">
      <c r="A67" s="1">
        <v>2020</v>
      </c>
      <c r="B67" s="102">
        <f t="shared" si="15"/>
        <v>0</v>
      </c>
      <c r="C67" s="58">
        <f t="shared" si="16"/>
        <v>23.024749923864412</v>
      </c>
      <c r="D67" s="58">
        <f>C67-B67</f>
        <v>23.024749923864412</v>
      </c>
      <c r="E67" s="163">
        <f t="shared" si="19"/>
        <v>9.094776219926443</v>
      </c>
      <c r="F67" s="301">
        <f t="shared" si="20"/>
        <v>-0.0013824489598421995</v>
      </c>
      <c r="H67" s="77">
        <v>31980</v>
      </c>
      <c r="I67" s="60">
        <f t="shared" si="21"/>
        <v>44.21071773575354</v>
      </c>
      <c r="J67" s="71">
        <f t="shared" si="18"/>
        <v>2.4631685595634116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317.4125</v>
      </c>
      <c r="R67" s="4" t="s">
        <v>8</v>
      </c>
    </row>
    <row r="68" spans="1:18" ht="12.75" customHeight="1" thickTop="1">
      <c r="A68" t="s">
        <v>104</v>
      </c>
      <c r="B68" s="128">
        <f>SUM(B50:B67)</f>
        <v>3813.0455407969644</v>
      </c>
      <c r="C68" s="85">
        <f>SUM(C50:C67)</f>
        <v>5716.382036685641</v>
      </c>
      <c r="D68" s="85">
        <f>SUM(D50:D67)</f>
        <v>1903.3364958886784</v>
      </c>
      <c r="E68" s="85">
        <f>SUM(E49:E67)</f>
        <v>751.8179158760279</v>
      </c>
      <c r="I68" s="36">
        <f>SUM(I50:I67)</f>
        <v>3654.670424397358</v>
      </c>
      <c r="J68" s="36">
        <f>SUM(J50:J67)</f>
        <v>203.6173522164242</v>
      </c>
      <c r="K68" s="6" t="s">
        <v>353</v>
      </c>
      <c r="L68" s="3"/>
      <c r="M68" s="3"/>
      <c r="N68" s="3"/>
      <c r="O68" s="3"/>
      <c r="P68" s="3"/>
      <c r="Q68" s="7">
        <f>Q66+Q67</f>
        <v>385.7916666666667</v>
      </c>
      <c r="R68" s="4" t="s">
        <v>8</v>
      </c>
    </row>
    <row r="69" spans="2:18" ht="12.75" customHeight="1" thickBot="1">
      <c r="B69" s="79"/>
      <c r="C69" s="42"/>
      <c r="D69" s="42"/>
      <c r="H69" s="9" t="s">
        <v>147</v>
      </c>
      <c r="I69" s="36">
        <f>NPV($O$42,I51:I66)</f>
        <v>2127.5472398550455</v>
      </c>
      <c r="J69" s="36">
        <f>NPV($O$42,J51:J67)</f>
        <v>119.31455087727808</v>
      </c>
      <c r="K69" s="11" t="s">
        <v>10</v>
      </c>
      <c r="L69" s="12"/>
      <c r="M69" s="12"/>
      <c r="N69" s="12"/>
      <c r="O69" s="12"/>
      <c r="P69" s="12"/>
      <c r="Q69" s="286">
        <f>Q68-Q63</f>
        <v>275.7916666666667</v>
      </c>
      <c r="R69" s="287" t="s">
        <v>8</v>
      </c>
    </row>
    <row r="70" spans="1:6" ht="12.75" customHeight="1">
      <c r="A70" t="s">
        <v>114</v>
      </c>
      <c r="B70" s="95"/>
      <c r="C70" s="136"/>
      <c r="D70" s="86">
        <f>M41+N41</f>
        <v>1903.336495888678</v>
      </c>
      <c r="E70" s="120"/>
      <c r="F70" s="120"/>
    </row>
  </sheetData>
  <mergeCells count="19">
    <mergeCell ref="AB20:AC20"/>
    <mergeCell ref="B47:D47"/>
    <mergeCell ref="H20:I20"/>
    <mergeCell ref="B45:F45"/>
    <mergeCell ref="D21:E21"/>
    <mergeCell ref="B18:F18"/>
    <mergeCell ref="H18:Q18"/>
    <mergeCell ref="C20:F20"/>
    <mergeCell ref="N20:O20"/>
    <mergeCell ref="A1:R1"/>
    <mergeCell ref="K48:P48"/>
    <mergeCell ref="K59:R59"/>
    <mergeCell ref="E47:F47"/>
    <mergeCell ref="A3:R3"/>
    <mergeCell ref="A4:E4"/>
    <mergeCell ref="M42:N42"/>
    <mergeCell ref="F4:L4"/>
    <mergeCell ref="M4:R4"/>
    <mergeCell ref="O5:P5"/>
  </mergeCells>
  <printOptions/>
  <pageMargins left="1.03" right="0.16" top="0.5" bottom="0.5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:R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4" width="14.28125" style="0" customWidth="1"/>
    <col min="5" max="5" width="11.7109375" style="0" customWidth="1"/>
    <col min="6" max="6" width="10.8515625" style="0" bestFit="1" customWidth="1"/>
    <col min="7" max="7" width="2.7109375" style="0" customWidth="1"/>
    <col min="9" max="9" width="12.57421875" style="0" bestFit="1" customWidth="1"/>
    <col min="10" max="10" width="9.57421875" style="0" bestFit="1" customWidth="1"/>
    <col min="11" max="11" width="9.00390625" style="0" customWidth="1"/>
    <col min="13" max="13" width="11.57421875" style="0" bestFit="1" customWidth="1"/>
    <col min="14" max="15" width="12.7109375" style="0" customWidth="1"/>
    <col min="16" max="16" width="10.57421875" style="0" bestFit="1" customWidth="1"/>
    <col min="17" max="17" width="12.7109375" style="0" bestFit="1" customWidth="1"/>
    <col min="18" max="18" width="11.7109375" style="0" bestFit="1" customWidth="1"/>
    <col min="19" max="19" width="10.57421875" style="0" bestFit="1" customWidth="1"/>
    <col min="24" max="24" width="10.140625" style="0" bestFit="1" customWidth="1"/>
    <col min="25" max="25" width="9.57421875" style="0" bestFit="1" customWidth="1"/>
  </cols>
  <sheetData>
    <row r="1" spans="1:25" ht="20.25">
      <c r="A1" s="384" t="s">
        <v>306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21"/>
      <c r="T1" s="221"/>
      <c r="U1" s="221"/>
      <c r="V1" s="221"/>
      <c r="W1" s="221"/>
      <c r="X1" s="221"/>
      <c r="Y1" s="221"/>
    </row>
    <row r="2" spans="1:25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Y2" s="146"/>
    </row>
    <row r="3" spans="1:18" ht="15" customHeight="1" thickBot="1">
      <c r="A3" s="380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</row>
    <row r="4" spans="1:18" ht="15" customHeight="1" thickTop="1">
      <c r="A4" s="441" t="s">
        <v>137</v>
      </c>
      <c r="B4" s="442"/>
      <c r="C4" s="442"/>
      <c r="D4" s="442"/>
      <c r="E4" s="443"/>
      <c r="F4" s="411" t="s">
        <v>138</v>
      </c>
      <c r="G4" s="412"/>
      <c r="H4" s="412"/>
      <c r="I4" s="412"/>
      <c r="J4" s="412"/>
      <c r="K4" s="412"/>
      <c r="L4" s="383"/>
      <c r="M4" s="411" t="s">
        <v>142</v>
      </c>
      <c r="N4" s="412"/>
      <c r="O4" s="412"/>
      <c r="P4" s="412"/>
      <c r="Q4" s="412"/>
      <c r="R4" s="426"/>
    </row>
    <row r="5" spans="1:18" ht="12.75" customHeight="1">
      <c r="A5" s="2" t="s">
        <v>136</v>
      </c>
      <c r="B5" s="3"/>
      <c r="C5" s="3"/>
      <c r="D5" s="3"/>
      <c r="E5" s="3"/>
      <c r="F5" s="79" t="s">
        <v>11</v>
      </c>
      <c r="G5" s="3"/>
      <c r="H5" s="3"/>
      <c r="I5" s="10">
        <v>20</v>
      </c>
      <c r="J5" s="3" t="s">
        <v>3</v>
      </c>
      <c r="K5" t="s">
        <v>152</v>
      </c>
      <c r="L5" s="158">
        <f>I5/3</f>
        <v>6.666666666666667</v>
      </c>
      <c r="M5" s="79" t="s">
        <v>55</v>
      </c>
      <c r="N5" s="3"/>
      <c r="O5" s="407" t="s">
        <v>56</v>
      </c>
      <c r="P5" s="407"/>
      <c r="Q5" s="420" t="s">
        <v>57</v>
      </c>
      <c r="R5" s="421"/>
    </row>
    <row r="6" spans="1:18" ht="12.75" customHeight="1" thickBot="1">
      <c r="A6" s="2" t="s">
        <v>131</v>
      </c>
      <c r="B6" s="3"/>
      <c r="C6" s="3"/>
      <c r="D6" s="9">
        <v>-0.72</v>
      </c>
      <c r="E6" s="3"/>
      <c r="F6" s="79" t="s">
        <v>12</v>
      </c>
      <c r="G6" s="3"/>
      <c r="H6" s="3"/>
      <c r="I6" s="10">
        <v>20</v>
      </c>
      <c r="J6" s="3" t="s">
        <v>3</v>
      </c>
      <c r="K6" t="s">
        <v>152</v>
      </c>
      <c r="L6" s="169">
        <f>I6/5+I7*(4/5)</f>
        <v>8</v>
      </c>
      <c r="M6" s="79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2.75" customHeight="1" thickTop="1">
      <c r="A7" s="2" t="s">
        <v>129</v>
      </c>
      <c r="B7" s="3"/>
      <c r="C7" s="3"/>
      <c r="D7" s="116">
        <v>1.093769198837692</v>
      </c>
      <c r="E7" s="3"/>
      <c r="F7" s="79" t="s">
        <v>52</v>
      </c>
      <c r="G7" s="3"/>
      <c r="H7" s="3"/>
      <c r="I7" s="10">
        <v>5</v>
      </c>
      <c r="J7" s="3" t="s">
        <v>3</v>
      </c>
      <c r="L7" s="171">
        <f>L5+L6</f>
        <v>14.666666666666668</v>
      </c>
      <c r="M7" s="155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 customHeight="1">
      <c r="A8" s="6" t="s">
        <v>149</v>
      </c>
      <c r="B8" s="3"/>
      <c r="C8" s="3"/>
      <c r="D8" s="3"/>
      <c r="E8" s="99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55" t="s">
        <v>63</v>
      </c>
      <c r="N8" s="9"/>
      <c r="O8" s="42">
        <f>O11/(369/1147)</f>
        <v>37.30081300813008</v>
      </c>
      <c r="P8" s="42"/>
      <c r="Q8" s="34">
        <f>Q11/(48/168)</f>
        <v>10.5</v>
      </c>
      <c r="R8" s="39"/>
    </row>
    <row r="9" spans="1:18" ht="12.75" customHeight="1">
      <c r="A9" s="2" t="s">
        <v>4</v>
      </c>
      <c r="B9" s="3"/>
      <c r="C9" s="3"/>
      <c r="D9" s="121">
        <v>3.5</v>
      </c>
      <c r="E9" s="3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55" t="s">
        <v>64</v>
      </c>
      <c r="N9" s="9"/>
      <c r="O9" s="3"/>
      <c r="P9" s="43">
        <f>P11/(1/3)</f>
        <v>60</v>
      </c>
      <c r="Q9" s="79"/>
      <c r="R9" s="4"/>
    </row>
    <row r="10" spans="1:18" ht="12.75" customHeight="1">
      <c r="A10" s="2" t="s">
        <v>6</v>
      </c>
      <c r="B10" s="3"/>
      <c r="C10" s="3"/>
      <c r="D10" s="122">
        <v>0.25</v>
      </c>
      <c r="E10" s="3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55" t="s">
        <v>65</v>
      </c>
      <c r="N10" s="9"/>
      <c r="O10" s="9"/>
      <c r="P10" s="44"/>
      <c r="Q10" s="79"/>
      <c r="R10" s="45">
        <f>R11/(1/5)</f>
        <v>20</v>
      </c>
    </row>
    <row r="11" spans="1:18" ht="12.75" customHeight="1">
      <c r="A11" s="2" t="s">
        <v>7</v>
      </c>
      <c r="B11" s="3"/>
      <c r="C11" s="123">
        <f>1/6</f>
        <v>0.16666666666666666</v>
      </c>
      <c r="D11" s="113" t="s">
        <v>9</v>
      </c>
      <c r="E11" s="124">
        <v>0</v>
      </c>
      <c r="F11" s="79" t="s">
        <v>39</v>
      </c>
      <c r="G11" s="3"/>
      <c r="H11" s="3"/>
      <c r="I11" s="3"/>
      <c r="J11" s="3"/>
      <c r="K11" s="22">
        <f>((I5/P13)+(I6/R13))/2</f>
        <v>4.596273291925466</v>
      </c>
      <c r="L11" s="154">
        <f>ROUND(K11,0)</f>
        <v>5</v>
      </c>
      <c r="M11" s="155" t="s">
        <v>66</v>
      </c>
      <c r="N11" s="9"/>
      <c r="O11" s="9">
        <v>12</v>
      </c>
      <c r="P11" s="43">
        <v>20</v>
      </c>
      <c r="Q11" s="14">
        <v>3</v>
      </c>
      <c r="R11" s="45">
        <v>4</v>
      </c>
    </row>
    <row r="12" spans="1:18" ht="12.75" customHeight="1">
      <c r="A12" s="2" t="s">
        <v>124</v>
      </c>
      <c r="B12" s="3"/>
      <c r="C12" s="115">
        <v>0.07</v>
      </c>
      <c r="D12" s="113" t="s">
        <v>134</v>
      </c>
      <c r="E12" s="9">
        <v>6</v>
      </c>
      <c r="F12" s="79" t="s">
        <v>49</v>
      </c>
      <c r="G12" s="3"/>
      <c r="H12" s="3"/>
      <c r="I12" s="3"/>
      <c r="J12" s="3"/>
      <c r="K12" s="22">
        <f>((P12*C16)-I5)/P13</f>
        <v>4.975151350862926</v>
      </c>
      <c r="L12" s="80"/>
      <c r="M12" s="155" t="s">
        <v>78</v>
      </c>
      <c r="N12" s="9"/>
      <c r="O12" s="9">
        <v>21</v>
      </c>
      <c r="P12" s="46">
        <v>45.5</v>
      </c>
      <c r="Q12" s="14">
        <v>30.5</v>
      </c>
      <c r="R12" s="47">
        <v>97.3</v>
      </c>
    </row>
    <row r="13" spans="1:35" ht="12.75" customHeight="1">
      <c r="A13" s="6" t="s">
        <v>135</v>
      </c>
      <c r="B13" s="3"/>
      <c r="C13" s="116">
        <f>(1/(1+C12)^E12)</f>
        <v>0.6663422238165125</v>
      </c>
      <c r="D13" s="3"/>
      <c r="E13" s="3"/>
      <c r="F13" s="79" t="s">
        <v>50</v>
      </c>
      <c r="G13" s="3"/>
      <c r="H13" s="3"/>
      <c r="I13" s="3"/>
      <c r="J13" s="3"/>
      <c r="K13" s="22">
        <f>((R12*C16)-I6)/R13</f>
        <v>10.435882627945988</v>
      </c>
      <c r="L13" s="80"/>
      <c r="M13" s="151" t="s">
        <v>133</v>
      </c>
      <c r="N13" s="3"/>
      <c r="O13" s="9">
        <v>2.5</v>
      </c>
      <c r="P13" s="22">
        <f>((O11*O13)+((P11-O11)*O13*P14))/(P11)</f>
        <v>3.5</v>
      </c>
      <c r="Q13" s="9">
        <v>4.6</v>
      </c>
      <c r="R13" s="53">
        <f>((Q11*Q13)+((R11-Q11)*Q13*P14))/R11</f>
        <v>5.75</v>
      </c>
      <c r="AA13" s="107"/>
      <c r="AB13" s="107"/>
      <c r="AC13" s="107"/>
      <c r="AD13" s="289"/>
      <c r="AE13" s="107"/>
      <c r="AF13" s="107"/>
      <c r="AG13" s="107"/>
      <c r="AH13" s="107"/>
      <c r="AI13" s="288"/>
    </row>
    <row r="14" spans="1:18" ht="12.75" customHeight="1">
      <c r="A14" s="2" t="s">
        <v>45</v>
      </c>
      <c r="B14" s="3"/>
      <c r="C14" s="3">
        <v>26</v>
      </c>
      <c r="D14" s="3" t="s">
        <v>46</v>
      </c>
      <c r="E14" s="3"/>
      <c r="F14" s="79" t="s">
        <v>51</v>
      </c>
      <c r="G14" s="3"/>
      <c r="H14" s="3"/>
      <c r="I14" s="3"/>
      <c r="J14" s="3"/>
      <c r="K14" s="22">
        <f>((((P11-O11)*P12)*K12)+(((R11-Q11)*R12)*K13))/Q62</f>
        <v>6.126959617197594</v>
      </c>
      <c r="L14" s="154">
        <f>ROUND(K14,0)</f>
        <v>6</v>
      </c>
      <c r="M14" s="79" t="s">
        <v>112</v>
      </c>
      <c r="N14" s="3"/>
      <c r="O14" s="3"/>
      <c r="P14" s="73">
        <v>2</v>
      </c>
      <c r="Q14" s="3"/>
      <c r="R14" s="40">
        <f>P14</f>
        <v>2</v>
      </c>
    </row>
    <row r="15" spans="1:18" ht="12.75" customHeight="1">
      <c r="A15" s="2" t="s">
        <v>47</v>
      </c>
      <c r="B15" s="3"/>
      <c r="C15" s="3">
        <v>5.62</v>
      </c>
      <c r="D15" s="3" t="s">
        <v>46</v>
      </c>
      <c r="E15" s="3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3"/>
      <c r="M15" s="159" t="s">
        <v>132</v>
      </c>
      <c r="N15" s="3"/>
      <c r="O15" s="3"/>
      <c r="P15" s="115">
        <f>2/3</f>
        <v>0.6666666666666666</v>
      </c>
      <c r="Q15" s="125">
        <f>(R10-R11)*P15</f>
        <v>10.666666666666666</v>
      </c>
      <c r="R15" s="40">
        <f>ROUND(Q15,0)</f>
        <v>11</v>
      </c>
    </row>
    <row r="16" spans="1:18" ht="12.75" customHeight="1" thickBot="1">
      <c r="A16" s="147" t="s">
        <v>144</v>
      </c>
      <c r="B16" s="12"/>
      <c r="C16" s="148">
        <f>(1-(C15/(C14+C15)))</f>
        <v>0.8222643896268185</v>
      </c>
      <c r="D16" s="12"/>
      <c r="E16" s="12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62" t="s">
        <v>154</v>
      </c>
      <c r="N16" s="12"/>
      <c r="O16" s="12"/>
      <c r="P16" s="12"/>
      <c r="Q16" s="12"/>
      <c r="R16" s="150">
        <v>1</v>
      </c>
    </row>
    <row r="17" spans="1:23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84"/>
      <c r="V17" s="84"/>
      <c r="W17" s="84"/>
    </row>
    <row r="18" spans="1:25" ht="13.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  <c r="W18" s="127"/>
      <c r="X18" s="127"/>
      <c r="Y18" s="127"/>
    </row>
    <row r="19" spans="1:25" ht="12.75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  <c r="W19" s="9"/>
      <c r="X19" s="141"/>
      <c r="Y19" s="9"/>
    </row>
    <row r="20" spans="1:29" ht="12.75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24</v>
      </c>
      <c r="L20" s="15" t="s">
        <v>25</v>
      </c>
      <c r="M20" s="14" t="s">
        <v>26</v>
      </c>
      <c r="N20" s="392" t="s">
        <v>27</v>
      </c>
      <c r="O20" s="394"/>
      <c r="P20" s="17" t="s">
        <v>28</v>
      </c>
      <c r="Q20" s="15" t="s">
        <v>29</v>
      </c>
      <c r="R20" s="294" t="s">
        <v>279</v>
      </c>
      <c r="AA20" s="9"/>
      <c r="AB20" s="407"/>
      <c r="AC20" s="407"/>
    </row>
    <row r="21" spans="1:29" ht="12.75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  <c r="AA21" s="73"/>
      <c r="AB21" s="73"/>
      <c r="AC21" s="73"/>
    </row>
    <row r="22" spans="1:29" ht="13.5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  <c r="AA22" s="73"/>
      <c r="AB22" s="9"/>
      <c r="AC22" s="9"/>
    </row>
    <row r="23" spans="1:29" ht="12.75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14">
        <f aca="true" t="shared" si="2" ref="H23:H28">$Q$60</f>
        <v>300</v>
      </c>
      <c r="I23" s="28">
        <f aca="true" t="shared" si="3" ref="I23:I28">$Q$61</f>
        <v>55</v>
      </c>
      <c r="J23" s="73">
        <v>0</v>
      </c>
      <c r="K23" s="35">
        <f>$Q$68</f>
        <v>285.0833333333333</v>
      </c>
      <c r="L23" s="29">
        <f>$Q$63</f>
        <v>180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4" ref="P23:P40">M23+N23+$C$15*O23</f>
        <v>0</v>
      </c>
      <c r="Q23" s="33">
        <f aca="true" t="shared" si="5" ref="Q23:Q40">(($D$9-$D$10)*$C$11*(1-$E$11)*(N23-J23))+(($D$9-$D$10)*$J$8*$C$11*(1-$E$11)*O23)</f>
        <v>0</v>
      </c>
      <c r="R23" s="75">
        <f>J23*$I$15</f>
        <v>0</v>
      </c>
      <c r="AA23" s="85"/>
      <c r="AB23" s="115"/>
      <c r="AC23" s="115"/>
    </row>
    <row r="24" spans="1:29" ht="12.75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14">
        <f t="shared" si="2"/>
        <v>300</v>
      </c>
      <c r="I24" s="28">
        <f t="shared" si="3"/>
        <v>55</v>
      </c>
      <c r="J24" s="34">
        <f>(SUM($H$23:H23)/$L$11)+(SUM($I$23:I23)/$K$16)</f>
        <v>87.5</v>
      </c>
      <c r="K24" s="35">
        <f aca="true" t="shared" si="6" ref="K24:L28">K23</f>
        <v>285.0833333333333</v>
      </c>
      <c r="L24" s="30">
        <f t="shared" si="6"/>
        <v>180</v>
      </c>
      <c r="M24" s="30">
        <f>SUM($L$23:L23)/$L$11</f>
        <v>36</v>
      </c>
      <c r="N24" s="30">
        <f>IF($L$11&gt;(A24-$A$24),0,(((((1-($C$15/($C$14+$C$15)))*SUM($K$23:K23)))-SUM($L$23:L23))/$L$14))</f>
        <v>0</v>
      </c>
      <c r="O24" s="30">
        <f aca="true" t="shared" si="7" ref="O24:O40">(M24+N24)/$C$14</f>
        <v>1.3846153846153846</v>
      </c>
      <c r="P24" s="32">
        <f t="shared" si="4"/>
        <v>43.78153846153846</v>
      </c>
      <c r="Q24" s="36">
        <f t="shared" si="5"/>
        <v>-41.39583333333333</v>
      </c>
      <c r="R24" s="75">
        <f aca="true" t="shared" si="8" ref="R24:R34">J24*$I$15</f>
        <v>47.39583333333333</v>
      </c>
      <c r="AA24" s="85"/>
      <c r="AB24" s="143"/>
      <c r="AC24" s="143"/>
    </row>
    <row r="25" spans="1:29" ht="12.75">
      <c r="A25" s="1">
        <v>2005</v>
      </c>
      <c r="B25" s="128">
        <f>'Total Roy'!B46</f>
        <v>331.7466</v>
      </c>
      <c r="C25" s="111">
        <f aca="true" t="shared" si="9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14">
        <f t="shared" si="2"/>
        <v>300</v>
      </c>
      <c r="I25" s="28">
        <f t="shared" si="3"/>
        <v>55</v>
      </c>
      <c r="J25" s="34">
        <f>(SUM($H$23:H24)/$L$11)+(SUM(I23:I24)/$K$16)</f>
        <v>175</v>
      </c>
      <c r="K25" s="35">
        <f t="shared" si="6"/>
        <v>285.0833333333333</v>
      </c>
      <c r="L25" s="30">
        <f t="shared" si="6"/>
        <v>180</v>
      </c>
      <c r="M25" s="30">
        <f>SUM($L$23:L24)/$L$11</f>
        <v>72</v>
      </c>
      <c r="N25" s="30">
        <f>IF($L$11&gt;(A25-$A$24),0,(((((1-($C$15/($C$14+$C$15)))*SUM($K$23:K24)))-SUM($L$23:L24))/$L$14))</f>
        <v>0</v>
      </c>
      <c r="O25" s="30">
        <f t="shared" si="7"/>
        <v>2.769230769230769</v>
      </c>
      <c r="P25" s="32">
        <f t="shared" si="4"/>
        <v>87.56307692307692</v>
      </c>
      <c r="Q25" s="36">
        <f t="shared" si="5"/>
        <v>-82.79166666666666</v>
      </c>
      <c r="R25" s="75">
        <f t="shared" si="8"/>
        <v>94.79166666666666</v>
      </c>
      <c r="AA25" s="85"/>
      <c r="AB25" s="143"/>
      <c r="AC25" s="143"/>
    </row>
    <row r="26" spans="1:29" ht="12.75">
      <c r="A26" s="1">
        <v>2006</v>
      </c>
      <c r="B26" s="128">
        <f>'Total Roy'!B47</f>
        <v>297.83369999999996</v>
      </c>
      <c r="C26" s="111">
        <f t="shared" si="9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14">
        <f t="shared" si="2"/>
        <v>300</v>
      </c>
      <c r="I26" s="28">
        <f t="shared" si="3"/>
        <v>55</v>
      </c>
      <c r="J26" s="34">
        <f>(SUM($H$23:H25)/$L$11)+(SUM(I24:I25)/$K$16)</f>
        <v>235</v>
      </c>
      <c r="K26" s="35">
        <f t="shared" si="6"/>
        <v>285.0833333333333</v>
      </c>
      <c r="L26" s="30">
        <f t="shared" si="6"/>
        <v>180</v>
      </c>
      <c r="M26" s="30">
        <f>SUM($L$23:L25)/$L$11</f>
        <v>108</v>
      </c>
      <c r="N26" s="30">
        <f>IF($L$11&gt;(A26-$A$24),0,(((((1-($C$15/($C$14+$C$15)))*SUM($K$23:K25)))-SUM($L$23:L25))/$L$14))</f>
        <v>0</v>
      </c>
      <c r="O26" s="30">
        <f t="shared" si="7"/>
        <v>4.153846153846154</v>
      </c>
      <c r="P26" s="32">
        <f t="shared" si="4"/>
        <v>131.3446153846154</v>
      </c>
      <c r="Q26" s="36">
        <f t="shared" si="5"/>
        <v>-109.29166666666666</v>
      </c>
      <c r="R26" s="75">
        <f t="shared" si="8"/>
        <v>127.29166666666666</v>
      </c>
      <c r="AA26" s="85"/>
      <c r="AB26" s="143"/>
      <c r="AC26" s="143"/>
    </row>
    <row r="27" spans="1:29" ht="12.75">
      <c r="A27" s="1">
        <v>2007</v>
      </c>
      <c r="B27" s="128">
        <f>'Total Roy'!B48</f>
        <v>261.3062</v>
      </c>
      <c r="C27" s="111">
        <f t="shared" si="9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14">
        <f t="shared" si="2"/>
        <v>300</v>
      </c>
      <c r="I27" s="28">
        <f t="shared" si="3"/>
        <v>55</v>
      </c>
      <c r="J27" s="34">
        <f>(SUM($H$23:H26)/$L$11)+(SUM(I25:I26)/$K$16)</f>
        <v>295</v>
      </c>
      <c r="K27" s="35">
        <f t="shared" si="6"/>
        <v>285.0833333333333</v>
      </c>
      <c r="L27" s="30">
        <f t="shared" si="6"/>
        <v>180</v>
      </c>
      <c r="M27" s="30">
        <f>SUM($L$23:L26)/$L$11</f>
        <v>144</v>
      </c>
      <c r="N27" s="30">
        <f>IF($L$11&gt;(A27-$A$24),0,(((((1-($C$15/($C$14+$C$15)))*SUM($K$23:K26)))-SUM($L$23:L26))/$L$14))</f>
        <v>0</v>
      </c>
      <c r="O27" s="30">
        <f t="shared" si="7"/>
        <v>5.538461538461538</v>
      </c>
      <c r="P27" s="32">
        <f t="shared" si="4"/>
        <v>175.12615384615384</v>
      </c>
      <c r="Q27" s="36">
        <f t="shared" si="5"/>
        <v>-135.79166666666666</v>
      </c>
      <c r="R27" s="75">
        <f t="shared" si="8"/>
        <v>159.79166666666666</v>
      </c>
      <c r="AA27" s="85"/>
      <c r="AB27" s="143"/>
      <c r="AC27" s="143"/>
    </row>
    <row r="28" spans="1:29" ht="12.75">
      <c r="A28" s="1">
        <v>2008</v>
      </c>
      <c r="B28" s="128">
        <f>'Total Roy'!B49</f>
        <v>226.54739999999998</v>
      </c>
      <c r="C28" s="111">
        <f t="shared" si="9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14">
        <f t="shared" si="2"/>
        <v>300</v>
      </c>
      <c r="I28" s="28">
        <f t="shared" si="3"/>
        <v>55</v>
      </c>
      <c r="J28" s="34">
        <f aca="true" t="shared" si="10" ref="J28:J34">(SUM(H23:H27)/$L$11)+(SUM(I26:I27)/$K$16)</f>
        <v>355</v>
      </c>
      <c r="K28" s="35">
        <f t="shared" si="6"/>
        <v>285.0833333333333</v>
      </c>
      <c r="L28" s="30">
        <f t="shared" si="6"/>
        <v>180</v>
      </c>
      <c r="M28" s="30">
        <f aca="true" t="shared" si="11" ref="M28:M34">SUM(L23:L27)/$L$11</f>
        <v>180</v>
      </c>
      <c r="N28" s="30">
        <f>IF($L$11&gt;(A28-$A$24),0,(((((1-($C$15/($C$14+$C$15)))*SUM(K23:K27)))-SUM(L23:L27))/$L$14))</f>
        <v>0</v>
      </c>
      <c r="O28" s="30">
        <f t="shared" si="7"/>
        <v>6.923076923076923</v>
      </c>
      <c r="P28" s="32">
        <f t="shared" si="4"/>
        <v>218.90769230769232</v>
      </c>
      <c r="Q28" s="36">
        <f t="shared" si="5"/>
        <v>-162.29166666666666</v>
      </c>
      <c r="R28" s="75">
        <f t="shared" si="8"/>
        <v>192.29166666666666</v>
      </c>
      <c r="AA28" s="85"/>
      <c r="AB28" s="143"/>
      <c r="AC28" s="143"/>
    </row>
    <row r="29" spans="1:29" ht="12.75">
      <c r="A29" s="1">
        <v>2009</v>
      </c>
      <c r="B29" s="128">
        <f>'Total Roy'!B50</f>
        <v>197.3254</v>
      </c>
      <c r="C29" s="111">
        <f t="shared" si="9"/>
        <v>343.5</v>
      </c>
      <c r="D29" s="42">
        <f aca="true" t="shared" si="12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10"/>
        <v>355</v>
      </c>
      <c r="K29" s="28">
        <v>0</v>
      </c>
      <c r="L29" s="28">
        <v>0</v>
      </c>
      <c r="M29" s="30">
        <f t="shared" si="11"/>
        <v>180</v>
      </c>
      <c r="N29" s="30">
        <f>IF($L$11&gt;(A29-$A$24),0,(((((1-($C$15/($C$14+$C$15)))*SUM($K$23:K23)))-SUM($L$23:L23))/$L$14))</f>
        <v>9.06897884601869</v>
      </c>
      <c r="O29" s="30">
        <f t="shared" si="7"/>
        <v>7.27188380176995</v>
      </c>
      <c r="P29" s="32">
        <f t="shared" si="4"/>
        <v>229.93696581196582</v>
      </c>
      <c r="Q29" s="36">
        <f t="shared" si="5"/>
        <v>-155.86780665073675</v>
      </c>
      <c r="R29" s="75">
        <f t="shared" si="8"/>
        <v>192.29166666666666</v>
      </c>
      <c r="AA29" s="85"/>
      <c r="AB29" s="143"/>
      <c r="AC29" s="143"/>
    </row>
    <row r="30" spans="1:29" ht="12.75">
      <c r="A30" s="1">
        <v>2010</v>
      </c>
      <c r="B30" s="128">
        <f>'Total Roy'!B51</f>
        <v>171.4101</v>
      </c>
      <c r="C30" s="111">
        <f t="shared" si="9"/>
        <v>343.5</v>
      </c>
      <c r="D30" s="42">
        <f t="shared" si="12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10"/>
        <v>267.5</v>
      </c>
      <c r="K30" s="28"/>
      <c r="L30" s="28"/>
      <c r="M30" s="30">
        <f t="shared" si="11"/>
        <v>144</v>
      </c>
      <c r="N30" s="30">
        <f>IF($L$11&gt;(A30-$A$24),0,(((((1-($C$15/($C$14+$C$15)))*SUM($K$23:K24)))-SUM($L$23:L24))/$L$14))</f>
        <v>18.13795769203738</v>
      </c>
      <c r="O30" s="30">
        <f t="shared" si="7"/>
        <v>6.236075295847592</v>
      </c>
      <c r="P30" s="32">
        <f t="shared" si="4"/>
        <v>197.18470085470085</v>
      </c>
      <c r="Q30" s="36">
        <f t="shared" si="5"/>
        <v>-108.04811330147352</v>
      </c>
      <c r="R30" s="75">
        <f t="shared" si="8"/>
        <v>144.89583333333331</v>
      </c>
      <c r="AA30" s="85"/>
      <c r="AB30" s="143"/>
      <c r="AC30" s="143"/>
    </row>
    <row r="31" spans="1:29" ht="12.75">
      <c r="A31" s="1">
        <v>2011</v>
      </c>
      <c r="B31" s="128">
        <f>'Total Roy'!B52</f>
        <v>149.3398</v>
      </c>
      <c r="C31" s="111">
        <f t="shared" si="9"/>
        <v>343.5</v>
      </c>
      <c r="D31" s="42">
        <f t="shared" si="12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10"/>
        <v>180</v>
      </c>
      <c r="K31" s="28"/>
      <c r="L31" s="28"/>
      <c r="M31" s="30">
        <f t="shared" si="11"/>
        <v>108</v>
      </c>
      <c r="N31" s="30">
        <f>IF($L$11&gt;(A31-$A$24),0,(((((1-($C$15/($C$14+$C$15)))*SUM($K$23:K25)))-SUM($L$23:L25))/$L$14))</f>
        <v>27.206936538056084</v>
      </c>
      <c r="O31" s="30">
        <f t="shared" si="7"/>
        <v>5.200266789925234</v>
      </c>
      <c r="P31" s="32">
        <f t="shared" si="4"/>
        <v>164.4324358974359</v>
      </c>
      <c r="Q31" s="36">
        <f t="shared" si="5"/>
        <v>-60.228419952210274</v>
      </c>
      <c r="R31" s="75">
        <f t="shared" si="8"/>
        <v>97.5</v>
      </c>
      <c r="AA31" s="85"/>
      <c r="AB31" s="143"/>
      <c r="AC31" s="143"/>
    </row>
    <row r="32" spans="1:29" ht="12.75">
      <c r="A32" s="1">
        <v>2012</v>
      </c>
      <c r="B32" s="128">
        <f>'Total Roy'!B53</f>
        <v>124.1935</v>
      </c>
      <c r="C32" s="111">
        <f t="shared" si="9"/>
        <v>343.5</v>
      </c>
      <c r="D32" s="42">
        <f t="shared" si="12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10"/>
        <v>120</v>
      </c>
      <c r="K32" s="28"/>
      <c r="L32" s="28"/>
      <c r="M32" s="30">
        <f t="shared" si="11"/>
        <v>72</v>
      </c>
      <c r="N32" s="30">
        <f>IF($L$11&gt;(A32-$A$24),0,(((((1-($C$15/($C$14+$C$15)))*SUM($K$23:K26)))-SUM($L$23:L26))/$L$14))</f>
        <v>36.27591538407476</v>
      </c>
      <c r="O32" s="30">
        <f t="shared" si="7"/>
        <v>4.164458284002875</v>
      </c>
      <c r="P32" s="32">
        <f t="shared" si="4"/>
        <v>131.6801709401709</v>
      </c>
      <c r="Q32" s="36">
        <f t="shared" si="5"/>
        <v>-27.30455993628038</v>
      </c>
      <c r="R32" s="75">
        <f t="shared" si="8"/>
        <v>65</v>
      </c>
      <c r="AA32" s="85"/>
      <c r="AB32" s="143"/>
      <c r="AC32" s="143"/>
    </row>
    <row r="33" spans="1:29" ht="12.75">
      <c r="A33" s="1">
        <v>2013</v>
      </c>
      <c r="B33" s="128">
        <f>'Total Roy'!B54</f>
        <v>102.5846</v>
      </c>
      <c r="C33" s="111">
        <f t="shared" si="9"/>
        <v>343.5</v>
      </c>
      <c r="D33" s="42">
        <f t="shared" si="12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10"/>
        <v>60</v>
      </c>
      <c r="K33" s="9"/>
      <c r="L33" s="9"/>
      <c r="M33" s="30">
        <f t="shared" si="11"/>
        <v>36</v>
      </c>
      <c r="N33" s="30">
        <f>IF($L$11&gt;(A33-$A$24),0,(((((1-($C$15/($C$14+$C$15)))*SUM($K$23:K27)))-SUM($L$23:L27))/$L$14))</f>
        <v>45.34489423009344</v>
      </c>
      <c r="O33" s="30">
        <f t="shared" si="7"/>
        <v>3.128649778080517</v>
      </c>
      <c r="P33" s="32">
        <f t="shared" si="4"/>
        <v>98.92790598290595</v>
      </c>
      <c r="Q33" s="36">
        <f t="shared" si="5"/>
        <v>5.61930007964952</v>
      </c>
      <c r="R33" s="75">
        <f t="shared" si="8"/>
        <v>32.5</v>
      </c>
      <c r="AA33" s="85"/>
      <c r="AB33" s="143"/>
      <c r="AC33" s="143"/>
    </row>
    <row r="34" spans="1:29" ht="12.75">
      <c r="A34" s="1">
        <v>2014</v>
      </c>
      <c r="B34" s="129">
        <f aca="true" t="shared" si="13" ref="B34:B39">B33*(B33/B32)</f>
        <v>84.7355147987616</v>
      </c>
      <c r="C34" s="111">
        <f t="shared" si="9"/>
        <v>343.5</v>
      </c>
      <c r="D34" s="42">
        <f t="shared" si="12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34">
        <f t="shared" si="10"/>
        <v>0</v>
      </c>
      <c r="K34" s="3"/>
      <c r="L34" s="3"/>
      <c r="M34" s="30">
        <f t="shared" si="11"/>
        <v>0</v>
      </c>
      <c r="N34" s="30">
        <f aca="true" t="shared" si="14" ref="N34:N40">IF($L$11&gt;(A34-$A$24),0,(((((1-($C$15/($C$14+$C$15)))*SUM(K23:K28)))-SUM(L23:L28))/$L$14))</f>
        <v>54.41387307611213</v>
      </c>
      <c r="O34" s="30">
        <f t="shared" si="7"/>
        <v>2.092841272158159</v>
      </c>
      <c r="P34" s="32">
        <f t="shared" si="4"/>
        <v>66.17564102564099</v>
      </c>
      <c r="Q34" s="36">
        <f t="shared" si="5"/>
        <v>38.543160095579424</v>
      </c>
      <c r="R34" s="75">
        <f t="shared" si="8"/>
        <v>0</v>
      </c>
      <c r="AA34" s="85"/>
      <c r="AB34" s="143"/>
      <c r="AC34" s="143"/>
    </row>
    <row r="35" spans="1:29" ht="12.75">
      <c r="A35" s="1">
        <v>2015</v>
      </c>
      <c r="B35" s="129">
        <f t="shared" si="13"/>
        <v>69.99205990188729</v>
      </c>
      <c r="C35" s="111">
        <f t="shared" si="9"/>
        <v>343.5</v>
      </c>
      <c r="D35" s="42">
        <f t="shared" si="12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34"/>
      <c r="K35" s="3"/>
      <c r="L35" s="3"/>
      <c r="M35" s="30"/>
      <c r="N35" s="30">
        <f t="shared" si="14"/>
        <v>45.34489423009344</v>
      </c>
      <c r="O35" s="30">
        <f t="shared" si="7"/>
        <v>1.7440343934651321</v>
      </c>
      <c r="P35" s="32">
        <f t="shared" si="4"/>
        <v>55.14636752136748</v>
      </c>
      <c r="Q35" s="36">
        <f t="shared" si="5"/>
        <v>32.11930007964951</v>
      </c>
      <c r="R35" s="75"/>
      <c r="AA35" s="85"/>
      <c r="AB35" s="143"/>
      <c r="AC35" s="143"/>
    </row>
    <row r="36" spans="1:29" ht="12.75">
      <c r="A36" s="1">
        <v>2016</v>
      </c>
      <c r="B36" s="129">
        <f t="shared" si="13"/>
        <v>57.81387486632671</v>
      </c>
      <c r="C36" s="111">
        <f t="shared" si="9"/>
        <v>343.5</v>
      </c>
      <c r="D36" s="42">
        <f t="shared" si="12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34"/>
      <c r="K36" s="3"/>
      <c r="L36" s="3"/>
      <c r="M36" s="3"/>
      <c r="N36" s="30">
        <f t="shared" si="14"/>
        <v>36.27591538407476</v>
      </c>
      <c r="O36" s="30">
        <f t="shared" si="7"/>
        <v>1.395227514772106</v>
      </c>
      <c r="P36" s="32">
        <f t="shared" si="4"/>
        <v>44.11709401709399</v>
      </c>
      <c r="Q36" s="36">
        <f t="shared" si="5"/>
        <v>25.695440063719616</v>
      </c>
      <c r="R36" s="75"/>
      <c r="AA36" s="85"/>
      <c r="AB36" s="143"/>
      <c r="AC36" s="143"/>
    </row>
    <row r="37" spans="1:29" ht="12.75">
      <c r="A37" s="1">
        <v>2017</v>
      </c>
      <c r="B37" s="129">
        <f t="shared" si="13"/>
        <v>47.754618620235185</v>
      </c>
      <c r="C37" s="111">
        <f t="shared" si="9"/>
        <v>343.5</v>
      </c>
      <c r="D37" s="42">
        <f t="shared" si="12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4"/>
        <v>27.206936538056084</v>
      </c>
      <c r="O37" s="30">
        <f t="shared" si="7"/>
        <v>1.0464206360790802</v>
      </c>
      <c r="P37" s="32">
        <f t="shared" si="4"/>
        <v>33.087820512820514</v>
      </c>
      <c r="Q37" s="36">
        <f t="shared" si="5"/>
        <v>19.271580047789726</v>
      </c>
      <c r="AA37" s="85"/>
      <c r="AB37" s="143"/>
      <c r="AC37" s="143"/>
    </row>
    <row r="38" spans="1:29" ht="12.75">
      <c r="A38" s="1">
        <v>2018</v>
      </c>
      <c r="B38" s="129">
        <f t="shared" si="13"/>
        <v>39.445610674547204</v>
      </c>
      <c r="C38" s="111">
        <f t="shared" si="9"/>
        <v>343.5</v>
      </c>
      <c r="D38" s="42">
        <f t="shared" si="12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4"/>
        <v>18.13795769203738</v>
      </c>
      <c r="O38" s="30">
        <f t="shared" si="7"/>
        <v>0.697613757386053</v>
      </c>
      <c r="P38" s="32">
        <f t="shared" si="4"/>
        <v>22.058547008546995</v>
      </c>
      <c r="Q38" s="36">
        <f t="shared" si="5"/>
        <v>12.847720031859808</v>
      </c>
      <c r="AA38" s="85"/>
      <c r="AB38" s="143"/>
      <c r="AC38" s="143"/>
    </row>
    <row r="39" spans="1:29" ht="12.75">
      <c r="A39" s="1">
        <v>2019</v>
      </c>
      <c r="B39" s="129">
        <f t="shared" si="13"/>
        <v>32.58231866244332</v>
      </c>
      <c r="C39" s="111">
        <f t="shared" si="9"/>
        <v>343.5</v>
      </c>
      <c r="D39" s="42">
        <f t="shared" si="12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4"/>
        <v>9.06897884601869</v>
      </c>
      <c r="O39" s="30">
        <f t="shared" si="7"/>
        <v>0.3488068786930265</v>
      </c>
      <c r="P39" s="32">
        <f t="shared" si="4"/>
        <v>11.029273504273498</v>
      </c>
      <c r="Q39" s="36">
        <f t="shared" si="5"/>
        <v>6.423860015929904</v>
      </c>
      <c r="AA39" s="85"/>
      <c r="AB39" s="143"/>
      <c r="AC39" s="143"/>
    </row>
    <row r="40" spans="1:29" ht="13.5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4"/>
        <v>0</v>
      </c>
      <c r="O40" s="57">
        <f t="shared" si="7"/>
        <v>0</v>
      </c>
      <c r="P40" s="59">
        <f t="shared" si="4"/>
        <v>0</v>
      </c>
      <c r="Q40" s="71">
        <f t="shared" si="5"/>
        <v>0</v>
      </c>
      <c r="R40" s="130"/>
      <c r="AA40" s="85"/>
      <c r="AB40" s="143"/>
      <c r="AC40" s="143"/>
    </row>
    <row r="41" spans="1:29" ht="13.5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1800</v>
      </c>
      <c r="I41" s="85">
        <f aca="true" t="shared" si="15" ref="I41:P41">SUM(I23:I40)</f>
        <v>330</v>
      </c>
      <c r="J41" s="85">
        <f t="shared" si="15"/>
        <v>2130</v>
      </c>
      <c r="K41" s="85">
        <f t="shared" si="15"/>
        <v>1710.4999999999998</v>
      </c>
      <c r="L41" s="85">
        <f t="shared" si="15"/>
        <v>1080</v>
      </c>
      <c r="M41" s="85">
        <f t="shared" si="15"/>
        <v>1080</v>
      </c>
      <c r="N41" s="85">
        <f t="shared" si="15"/>
        <v>326.4832384566729</v>
      </c>
      <c r="O41" s="85">
        <f t="shared" si="15"/>
        <v>54.095509171410484</v>
      </c>
      <c r="P41" s="85">
        <f t="shared" si="15"/>
        <v>1710.5</v>
      </c>
      <c r="Q41" s="36">
        <f>SUM(Q23:Q40)</f>
        <v>-742.4910394265233</v>
      </c>
      <c r="R41" s="36">
        <f>SUM(R23:R40)</f>
        <v>1153.7499999999998</v>
      </c>
      <c r="W41" s="3"/>
      <c r="AA41" s="3"/>
      <c r="AB41" s="3"/>
      <c r="AC41" s="3"/>
    </row>
    <row r="42" spans="2:23" ht="12.75">
      <c r="B42" s="79"/>
      <c r="C42" s="3"/>
      <c r="D42" s="3"/>
      <c r="E42" s="3"/>
      <c r="F42" s="80"/>
      <c r="G42" s="79"/>
      <c r="H42" s="79"/>
      <c r="I42" s="85"/>
      <c r="J42" s="85"/>
      <c r="K42" s="85">
        <f>6*Q69+M41</f>
        <v>1710.5</v>
      </c>
      <c r="L42" s="3"/>
      <c r="M42" s="411" t="s">
        <v>77</v>
      </c>
      <c r="N42" s="412"/>
      <c r="O42" s="64">
        <v>0.07</v>
      </c>
      <c r="P42" s="65">
        <f>NPV(O42,P24:P39)</f>
        <v>1106.7208259719732</v>
      </c>
      <c r="Q42" s="66">
        <f>NPV($O$42,Q24:Q39)</f>
        <v>-580.1771897253841</v>
      </c>
      <c r="R42" s="66">
        <f>NPV($O$42,R24:R39)</f>
        <v>816.9922321119765</v>
      </c>
      <c r="W42" s="3"/>
    </row>
    <row r="43" spans="1:25" ht="12.75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2130</v>
      </c>
      <c r="K43" s="86">
        <f>M43+N43+O43</f>
        <v>1710.5</v>
      </c>
      <c r="L43" s="120"/>
      <c r="M43" s="86">
        <f>M41</f>
        <v>1080</v>
      </c>
      <c r="N43" s="86">
        <f>N41</f>
        <v>326.4832384566729</v>
      </c>
      <c r="O43" s="136">
        <f>O41*C15</f>
        <v>304.01676154332694</v>
      </c>
      <c r="P43" s="120"/>
      <c r="Q43" s="137"/>
      <c r="W43" s="3"/>
      <c r="X43" s="3"/>
      <c r="Y43" s="3"/>
    </row>
    <row r="44" ht="6" customHeight="1"/>
    <row r="45" spans="2:10" ht="13.5" customHeight="1">
      <c r="B45" s="422" t="s">
        <v>141</v>
      </c>
      <c r="C45" s="390"/>
      <c r="D45" s="390"/>
      <c r="E45" s="390"/>
      <c r="F45" s="391"/>
      <c r="H45" s="3"/>
      <c r="I45" s="3"/>
      <c r="J45" s="54"/>
    </row>
    <row r="46" spans="2:17" ht="12.75" customHeight="1">
      <c r="B46" s="139" t="s">
        <v>120</v>
      </c>
      <c r="C46" s="9" t="s">
        <v>121</v>
      </c>
      <c r="D46" s="9" t="s">
        <v>122</v>
      </c>
      <c r="E46" s="140" t="s">
        <v>123</v>
      </c>
      <c r="F46" s="1">
        <v>-0.72</v>
      </c>
      <c r="I46" s="73" t="s">
        <v>278</v>
      </c>
      <c r="J46" s="208" t="s">
        <v>146</v>
      </c>
      <c r="K46" s="167" t="s">
        <v>151</v>
      </c>
      <c r="L46" s="127"/>
      <c r="M46" s="84"/>
      <c r="N46" s="84"/>
      <c r="O46" s="84"/>
      <c r="Q46" s="168">
        <f>P41/J41</f>
        <v>0.8030516431924882</v>
      </c>
    </row>
    <row r="47" spans="2:19" ht="12.75" customHeight="1" thickBot="1">
      <c r="B47" s="413" t="s">
        <v>109</v>
      </c>
      <c r="C47" s="408"/>
      <c r="D47" s="408"/>
      <c r="E47" s="407" t="s">
        <v>282</v>
      </c>
      <c r="F47" s="407"/>
      <c r="H47" s="304" t="s">
        <v>125</v>
      </c>
      <c r="I47" s="305" t="s">
        <v>280</v>
      </c>
      <c r="J47" s="28" t="s">
        <v>145</v>
      </c>
      <c r="R47" s="298">
        <v>37711</v>
      </c>
      <c r="S47" s="299"/>
    </row>
    <row r="48" spans="2:16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28" t="s">
        <v>79</v>
      </c>
      <c r="L48" s="429"/>
      <c r="M48" s="429"/>
      <c r="N48" s="429"/>
      <c r="O48" s="429"/>
      <c r="P48" s="430"/>
    </row>
    <row r="49" spans="1:16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3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</row>
    <row r="50" spans="1:16" ht="12.75">
      <c r="A50" s="1">
        <v>2003</v>
      </c>
      <c r="B50" s="14">
        <f aca="true" t="shared" si="16" ref="B50:B66">E23</f>
        <v>0</v>
      </c>
      <c r="C50" s="42">
        <f aca="true" t="shared" si="17" ref="C50:C66">E23+M23+N23</f>
        <v>0</v>
      </c>
      <c r="D50" s="42">
        <f aca="true" t="shared" si="18" ref="D50:D62">C50-E23</f>
        <v>0</v>
      </c>
      <c r="E50" s="22">
        <f>$E$8*D50</f>
        <v>0</v>
      </c>
      <c r="F50" s="1">
        <f>($D$9*(E50/H50))/$F$46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7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</row>
    <row r="51" spans="1:16" ht="12.75">
      <c r="A51" s="1">
        <v>2004</v>
      </c>
      <c r="B51" s="34">
        <f t="shared" si="16"/>
        <v>47.07463630613536</v>
      </c>
      <c r="C51" s="42">
        <f t="shared" si="17"/>
        <v>83.07463630613536</v>
      </c>
      <c r="D51" s="42">
        <f t="shared" si="18"/>
        <v>36</v>
      </c>
      <c r="E51" s="22">
        <f aca="true" t="shared" si="20" ref="E51:E67">$E$8*D51</f>
        <v>14.22</v>
      </c>
      <c r="F51" s="300">
        <f aca="true" t="shared" si="21" ref="F51:F67">($D$9*(E51/H51))/$F$46</f>
        <v>-0.00288110867979577</v>
      </c>
      <c r="H51" s="85">
        <f>22920+3*($H$52-22920)/4</f>
        <v>23992.5</v>
      </c>
      <c r="I51" s="67">
        <f aca="true" t="shared" si="22" ref="I51:I67">H51*-F51</f>
        <v>69.12500000000001</v>
      </c>
      <c r="J51" s="36">
        <f t="shared" si="19"/>
        <v>3.85125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</row>
    <row r="52" spans="1:16" ht="12.75">
      <c r="A52" s="1">
        <v>2005</v>
      </c>
      <c r="B52" s="34">
        <f t="shared" si="16"/>
        <v>94.14927261227072</v>
      </c>
      <c r="C52" s="42">
        <f t="shared" si="17"/>
        <v>166.14927261227072</v>
      </c>
      <c r="D52" s="42">
        <f t="shared" si="18"/>
        <v>72</v>
      </c>
      <c r="E52" s="22">
        <f t="shared" si="20"/>
        <v>28.44</v>
      </c>
      <c r="F52" s="300">
        <f t="shared" si="21"/>
        <v>-0.005677618069815197</v>
      </c>
      <c r="H52" s="85">
        <f>24.35*1000</f>
        <v>24350</v>
      </c>
      <c r="I52" s="67">
        <f t="shared" si="22"/>
        <v>138.25000000000003</v>
      </c>
      <c r="J52" s="36">
        <f t="shared" si="19"/>
        <v>7.7025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</row>
    <row r="53" spans="1:16" ht="12.75">
      <c r="A53" s="1">
        <v>2006</v>
      </c>
      <c r="B53" s="34">
        <f t="shared" si="16"/>
        <v>141.22390891840607</v>
      </c>
      <c r="C53" s="42">
        <f t="shared" si="17"/>
        <v>249.22390891840607</v>
      </c>
      <c r="D53" s="42">
        <f t="shared" si="18"/>
        <v>108</v>
      </c>
      <c r="E53" s="22">
        <f t="shared" si="20"/>
        <v>42.660000000000004</v>
      </c>
      <c r="F53" s="300">
        <f t="shared" si="21"/>
        <v>-0.008341042554903064</v>
      </c>
      <c r="H53" s="85">
        <f>$H$52+($H$57-$H$52)/5</f>
        <v>24862</v>
      </c>
      <c r="I53" s="67">
        <f t="shared" si="22"/>
        <v>207.375</v>
      </c>
      <c r="J53" s="36">
        <f t="shared" si="19"/>
        <v>11.55375</v>
      </c>
      <c r="K53" s="8" t="s">
        <v>74</v>
      </c>
      <c r="L53" s="9"/>
      <c r="M53" s="3"/>
      <c r="N53" s="3"/>
      <c r="O53" s="54">
        <f>O51+((P11-O11)*P12)/1000</f>
        <v>0.616</v>
      </c>
      <c r="P53" s="55">
        <f>P51+((R11-Q11)*R12)/1000</f>
        <v>0.1888</v>
      </c>
    </row>
    <row r="54" spans="1:16" ht="12.75">
      <c r="A54" s="1">
        <v>2007</v>
      </c>
      <c r="B54" s="34">
        <f t="shared" si="16"/>
        <v>188.29854522454144</v>
      </c>
      <c r="C54" s="42">
        <f t="shared" si="17"/>
        <v>332.29854522454144</v>
      </c>
      <c r="D54" s="42">
        <f t="shared" si="18"/>
        <v>144</v>
      </c>
      <c r="E54" s="22">
        <f t="shared" si="20"/>
        <v>56.88</v>
      </c>
      <c r="F54" s="300">
        <f t="shared" si="21"/>
        <v>-0.010896981161819187</v>
      </c>
      <c r="H54" s="85">
        <f>$H$52+2*($H$57-$H$52)/5</f>
        <v>25374</v>
      </c>
      <c r="I54" s="67">
        <f t="shared" si="22"/>
        <v>276.50000000000006</v>
      </c>
      <c r="J54" s="36">
        <f t="shared" si="19"/>
        <v>15.405</v>
      </c>
      <c r="K54" s="2" t="s">
        <v>73</v>
      </c>
      <c r="L54" s="3"/>
      <c r="M54" s="3"/>
      <c r="N54" s="9">
        <f>N52</f>
        <v>6</v>
      </c>
      <c r="O54" s="22">
        <f>O53*N54</f>
        <v>3.6959999999999997</v>
      </c>
      <c r="P54" s="53">
        <f>P53*N54</f>
        <v>1.1328</v>
      </c>
    </row>
    <row r="55" spans="1:16" ht="12.75">
      <c r="A55" s="1">
        <v>2008</v>
      </c>
      <c r="B55" s="34">
        <f t="shared" si="16"/>
        <v>235.3731815306768</v>
      </c>
      <c r="C55" s="42">
        <f t="shared" si="17"/>
        <v>415.3731815306768</v>
      </c>
      <c r="D55" s="42">
        <f t="shared" si="18"/>
        <v>180</v>
      </c>
      <c r="E55" s="22">
        <f t="shared" si="20"/>
        <v>71.10000000000001</v>
      </c>
      <c r="F55" s="300">
        <f t="shared" si="21"/>
        <v>-0.013351811790156844</v>
      </c>
      <c r="H55" s="85">
        <f>$H$52+3*($H$57-$H$52)/5</f>
        <v>25886</v>
      </c>
      <c r="I55" s="67">
        <f t="shared" si="22"/>
        <v>345.62500000000006</v>
      </c>
      <c r="J55" s="36">
        <f t="shared" si="19"/>
        <v>19.25625</v>
      </c>
      <c r="K55" s="2" t="s">
        <v>75</v>
      </c>
      <c r="L55" s="3"/>
      <c r="M55" s="3"/>
      <c r="N55" s="3"/>
      <c r="O55" s="22">
        <f>O54-O52</f>
        <v>2.1839999999999997</v>
      </c>
      <c r="P55" s="53">
        <f>P54-P52</f>
        <v>0.5838000000000001</v>
      </c>
    </row>
    <row r="56" spans="1:16" ht="12.75">
      <c r="A56" s="1">
        <v>2009</v>
      </c>
      <c r="B56" s="34">
        <f t="shared" si="16"/>
        <v>282.44781783681213</v>
      </c>
      <c r="C56" s="42">
        <f t="shared" si="17"/>
        <v>471.51679668283083</v>
      </c>
      <c r="D56" s="42">
        <f t="shared" si="18"/>
        <v>189.0689788460187</v>
      </c>
      <c r="E56" s="22">
        <f t="shared" si="20"/>
        <v>74.68224664417738</v>
      </c>
      <c r="F56" s="300">
        <f t="shared" si="21"/>
        <v>-0.013752507726522888</v>
      </c>
      <c r="H56" s="85">
        <f>$H$52+4*($H$57-$H$52)/5</f>
        <v>26398</v>
      </c>
      <c r="I56" s="67">
        <f t="shared" si="22"/>
        <v>363.0386989647512</v>
      </c>
      <c r="J56" s="36">
        <f t="shared" si="19"/>
        <v>20.226441799464705</v>
      </c>
      <c r="K56" s="2" t="s">
        <v>76</v>
      </c>
      <c r="L56" s="3"/>
      <c r="M56" s="3"/>
      <c r="N56" s="3"/>
      <c r="O56" s="3"/>
      <c r="P56" s="53">
        <f>(O54+P54)</f>
        <v>4.828799999999999</v>
      </c>
    </row>
    <row r="57" spans="1:16" ht="13.5" thickBot="1">
      <c r="A57" s="1">
        <v>2010</v>
      </c>
      <c r="B57" s="34">
        <f t="shared" si="16"/>
        <v>282.44781783681213</v>
      </c>
      <c r="C57" s="42">
        <f t="shared" si="17"/>
        <v>444.5857755288495</v>
      </c>
      <c r="D57" s="42">
        <f t="shared" si="18"/>
        <v>162.1379576920374</v>
      </c>
      <c r="E57" s="22">
        <f t="shared" si="20"/>
        <v>64.04449328835477</v>
      </c>
      <c r="F57" s="300">
        <f t="shared" si="21"/>
        <v>-0.011569208395745165</v>
      </c>
      <c r="H57" s="85">
        <f>26.91*1000</f>
        <v>26910</v>
      </c>
      <c r="I57" s="67">
        <f t="shared" si="22"/>
        <v>311.3273979295024</v>
      </c>
      <c r="J57" s="36">
        <f t="shared" si="19"/>
        <v>17.345383598929416</v>
      </c>
      <c r="K57" s="11" t="s">
        <v>178</v>
      </c>
      <c r="L57" s="12"/>
      <c r="M57" s="12"/>
      <c r="N57" s="12"/>
      <c r="O57" s="12"/>
      <c r="P57" s="62">
        <f>(O55+P55)</f>
        <v>2.7678</v>
      </c>
    </row>
    <row r="58" spans="1:10" ht="13.5" thickBot="1">
      <c r="A58" s="1">
        <v>2011</v>
      </c>
      <c r="B58" s="34">
        <f t="shared" si="16"/>
        <v>282.44781783681213</v>
      </c>
      <c r="C58" s="42">
        <f t="shared" si="17"/>
        <v>417.6547543748682</v>
      </c>
      <c r="D58" s="42">
        <f t="shared" si="18"/>
        <v>135.20693653805608</v>
      </c>
      <c r="E58" s="22">
        <f t="shared" si="20"/>
        <v>53.406739932532155</v>
      </c>
      <c r="F58" s="300">
        <f t="shared" si="21"/>
        <v>-0.009476077559377068</v>
      </c>
      <c r="H58" s="85">
        <f>$H$57+($H$62-$H$57)/5</f>
        <v>27397</v>
      </c>
      <c r="I58" s="67">
        <f t="shared" si="22"/>
        <v>259.61609689425353</v>
      </c>
      <c r="J58" s="36">
        <f t="shared" si="19"/>
        <v>14.464325398394124</v>
      </c>
    </row>
    <row r="59" spans="1:19" ht="15">
      <c r="A59" s="1">
        <v>2012</v>
      </c>
      <c r="B59" s="34">
        <f t="shared" si="16"/>
        <v>282.44781783681213</v>
      </c>
      <c r="C59" s="42">
        <f t="shared" si="17"/>
        <v>390.7237332208869</v>
      </c>
      <c r="D59" s="42">
        <f t="shared" si="18"/>
        <v>108.27591538407478</v>
      </c>
      <c r="E59" s="22">
        <f t="shared" si="20"/>
        <v>42.76898657670954</v>
      </c>
      <c r="F59" s="300">
        <f t="shared" si="21"/>
        <v>-0.0074560606749033385</v>
      </c>
      <c r="H59" s="85">
        <f>$H$57+2*($H$62-$H$57)/5</f>
        <v>27884</v>
      </c>
      <c r="I59" s="67">
        <f t="shared" si="22"/>
        <v>207.90479585900468</v>
      </c>
      <c r="J59" s="36">
        <f t="shared" si="19"/>
        <v>11.583267197858833</v>
      </c>
      <c r="K59" s="417" t="s">
        <v>1</v>
      </c>
      <c r="L59" s="418"/>
      <c r="M59" s="418"/>
      <c r="N59" s="418"/>
      <c r="O59" s="418"/>
      <c r="P59" s="418"/>
      <c r="Q59" s="418"/>
      <c r="R59" s="419"/>
      <c r="S59" s="290"/>
    </row>
    <row r="60" spans="1:18" ht="12.75">
      <c r="A60" s="1">
        <v>2013</v>
      </c>
      <c r="B60" s="34">
        <f t="shared" si="16"/>
        <v>282.44781783681213</v>
      </c>
      <c r="C60" s="42">
        <f t="shared" si="17"/>
        <v>363.79271206690555</v>
      </c>
      <c r="D60" s="42">
        <f t="shared" si="18"/>
        <v>81.34489423009342</v>
      </c>
      <c r="E60" s="22">
        <f t="shared" si="20"/>
        <v>32.1312332208869</v>
      </c>
      <c r="F60" s="300">
        <f t="shared" si="21"/>
        <v>-0.005505392648258989</v>
      </c>
      <c r="H60" s="85">
        <f>$H$57+3*($H$62-$H$57)/5</f>
        <v>28371</v>
      </c>
      <c r="I60" s="67">
        <f t="shared" si="22"/>
        <v>156.19349482375577</v>
      </c>
      <c r="J60" s="36">
        <f t="shared" si="19"/>
        <v>8.702208997323535</v>
      </c>
      <c r="K60" s="2" t="s">
        <v>2</v>
      </c>
      <c r="L60" s="3"/>
      <c r="M60" s="3"/>
      <c r="N60" s="3"/>
      <c r="O60" s="3"/>
      <c r="P60" s="3"/>
      <c r="Q60" s="3">
        <f>(O11*I5)+(Q11*I6)</f>
        <v>300</v>
      </c>
      <c r="R60" s="4" t="s">
        <v>3</v>
      </c>
    </row>
    <row r="61" spans="1:18" ht="12.75">
      <c r="A61" s="1">
        <v>2014</v>
      </c>
      <c r="B61" s="34">
        <f t="shared" si="16"/>
        <v>282.44781783681213</v>
      </c>
      <c r="C61" s="42">
        <f t="shared" si="17"/>
        <v>336.86169091292425</v>
      </c>
      <c r="D61" s="42">
        <f t="shared" si="18"/>
        <v>54.41387307611211</v>
      </c>
      <c r="E61" s="22">
        <f t="shared" si="20"/>
        <v>21.493479865064284</v>
      </c>
      <c r="F61" s="300">
        <f t="shared" si="21"/>
        <v>-0.0036205625403183503</v>
      </c>
      <c r="H61" s="85">
        <f>$H$57+4*($H$62-$H$57)/5</f>
        <v>28858</v>
      </c>
      <c r="I61" s="67">
        <f t="shared" si="22"/>
        <v>104.48219378850695</v>
      </c>
      <c r="J61" s="36">
        <f t="shared" si="19"/>
        <v>5.821150796788243</v>
      </c>
      <c r="K61" s="2" t="s">
        <v>116</v>
      </c>
      <c r="L61" s="3"/>
      <c r="M61" s="3"/>
      <c r="N61" s="3"/>
      <c r="O61" s="3"/>
      <c r="P61" s="3"/>
      <c r="Q61" s="5">
        <f>R15*I7</f>
        <v>55</v>
      </c>
      <c r="R61" s="4" t="s">
        <v>3</v>
      </c>
    </row>
    <row r="62" spans="1:18" ht="12.75">
      <c r="A62" s="1">
        <v>2015</v>
      </c>
      <c r="B62" s="34">
        <f t="shared" si="16"/>
        <v>282.44781783681213</v>
      </c>
      <c r="C62" s="42">
        <f t="shared" si="17"/>
        <v>327.79271206690555</v>
      </c>
      <c r="D62" s="42">
        <f t="shared" si="18"/>
        <v>45.344894230093416</v>
      </c>
      <c r="E62" s="22">
        <f t="shared" si="20"/>
        <v>17.9112332208869</v>
      </c>
      <c r="F62" s="300">
        <f t="shared" si="21"/>
        <v>-0.002967064059422585</v>
      </c>
      <c r="H62" s="85">
        <f>29.345*1000</f>
        <v>29345</v>
      </c>
      <c r="I62" s="67">
        <f t="shared" si="22"/>
        <v>87.06849482375576</v>
      </c>
      <c r="J62" s="36">
        <f t="shared" si="19"/>
        <v>4.850958997323535</v>
      </c>
      <c r="K62" s="2" t="s">
        <v>351</v>
      </c>
      <c r="L62" s="3"/>
      <c r="M62" s="3"/>
      <c r="N62" s="3"/>
      <c r="O62" s="3"/>
      <c r="P62" s="3"/>
      <c r="Q62" s="5">
        <f>(O53-O51+P53-P51)*1000</f>
        <v>461.29999999999995</v>
      </c>
      <c r="R62" s="4" t="s">
        <v>8</v>
      </c>
    </row>
    <row r="63" spans="1:18" ht="12.75">
      <c r="A63" s="1">
        <v>2016</v>
      </c>
      <c r="B63" s="34">
        <f t="shared" si="16"/>
        <v>282.44781783681213</v>
      </c>
      <c r="C63" s="42">
        <f t="shared" si="17"/>
        <v>318.7237332208869</v>
      </c>
      <c r="D63" s="42">
        <f>C63-B63</f>
        <v>36.27591538407478</v>
      </c>
      <c r="E63" s="22">
        <f t="shared" si="20"/>
        <v>14.328986576709537</v>
      </c>
      <c r="F63" s="300">
        <f t="shared" si="21"/>
        <v>-0.002331775437165396</v>
      </c>
      <c r="H63" s="85">
        <f>$H$62+($H$67-$H$62)/5</f>
        <v>29872</v>
      </c>
      <c r="I63" s="67">
        <f t="shared" si="22"/>
        <v>69.65479585900471</v>
      </c>
      <c r="J63" s="36">
        <f t="shared" si="19"/>
        <v>3.880767197858833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180</v>
      </c>
      <c r="R63" s="4" t="s">
        <v>3</v>
      </c>
    </row>
    <row r="64" spans="1:18" ht="12.75">
      <c r="A64" s="1">
        <v>2017</v>
      </c>
      <c r="B64" s="34">
        <f t="shared" si="16"/>
        <v>282.44781783681213</v>
      </c>
      <c r="C64" s="42">
        <f t="shared" si="17"/>
        <v>309.6547543748682</v>
      </c>
      <c r="D64" s="42">
        <f>C64-B64</f>
        <v>27.206936538056084</v>
      </c>
      <c r="E64" s="22">
        <f t="shared" si="20"/>
        <v>10.746739932532154</v>
      </c>
      <c r="F64" s="300">
        <f t="shared" si="21"/>
        <v>-0.0017185136647341534</v>
      </c>
      <c r="H64" s="85">
        <f>$H$62+2*($H$67-$H$62)/5</f>
        <v>30399</v>
      </c>
      <c r="I64" s="67">
        <f t="shared" si="22"/>
        <v>52.24109689425353</v>
      </c>
      <c r="J64" s="36">
        <f t="shared" si="19"/>
        <v>2.910575398394125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240</v>
      </c>
      <c r="R64" s="4" t="s">
        <v>8</v>
      </c>
    </row>
    <row r="65" spans="1:18" ht="12.75">
      <c r="A65" s="1">
        <v>2018</v>
      </c>
      <c r="B65" s="34">
        <f t="shared" si="16"/>
        <v>282.44781783681213</v>
      </c>
      <c r="C65" s="42">
        <f t="shared" si="17"/>
        <v>300.5857755288495</v>
      </c>
      <c r="D65" s="42">
        <f>C65-B65</f>
        <v>18.13795769203739</v>
      </c>
      <c r="E65" s="22">
        <f t="shared" si="20"/>
        <v>7.164493288354769</v>
      </c>
      <c r="F65" s="300">
        <f t="shared" si="21"/>
        <v>-0.001126152684779873</v>
      </c>
      <c r="H65" s="85">
        <f>$H$62+3*($H$67-$H$62)/5</f>
        <v>30926</v>
      </c>
      <c r="I65" s="67">
        <f t="shared" si="22"/>
        <v>34.827397929502354</v>
      </c>
      <c r="J65" s="36">
        <f t="shared" si="19"/>
        <v>1.9403835989294165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24.325</v>
      </c>
      <c r="R65" s="4" t="s">
        <v>8</v>
      </c>
    </row>
    <row r="66" spans="1:18" ht="12.75">
      <c r="A66" s="1">
        <v>2019</v>
      </c>
      <c r="B66" s="34">
        <f t="shared" si="16"/>
        <v>282.44781783681213</v>
      </c>
      <c r="C66" s="42">
        <f t="shared" si="17"/>
        <v>291.51679668283083</v>
      </c>
      <c r="D66" s="42">
        <f>C66-B66</f>
        <v>9.068978846018695</v>
      </c>
      <c r="E66" s="22">
        <f t="shared" si="20"/>
        <v>3.5822466441773844</v>
      </c>
      <c r="F66" s="300">
        <f t="shared" si="21"/>
        <v>-0.0005536419090309724</v>
      </c>
      <c r="H66" s="85">
        <f>$H$62+4*($H$67-$H$62)/5</f>
        <v>31453</v>
      </c>
      <c r="I66" s="67">
        <f t="shared" si="22"/>
        <v>17.413698964751173</v>
      </c>
      <c r="J66" s="36">
        <f t="shared" si="19"/>
        <v>0.9701917994647082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88.10833333333332</v>
      </c>
      <c r="R66" s="4" t="s">
        <v>8</v>
      </c>
    </row>
    <row r="67" spans="1:18" ht="13.5" thickBot="1">
      <c r="A67" s="1">
        <v>2020</v>
      </c>
      <c r="B67" s="144"/>
      <c r="C67" s="58"/>
      <c r="D67" s="58"/>
      <c r="E67" s="163">
        <f t="shared" si="20"/>
        <v>0</v>
      </c>
      <c r="F67" s="301">
        <f t="shared" si="21"/>
        <v>0</v>
      </c>
      <c r="H67" s="77">
        <v>31980</v>
      </c>
      <c r="I67" s="60">
        <f t="shared" si="22"/>
        <v>0</v>
      </c>
      <c r="J67" s="71">
        <f t="shared" si="19"/>
        <v>0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196.975</v>
      </c>
      <c r="R67" s="4" t="s">
        <v>8</v>
      </c>
    </row>
    <row r="68" spans="1:18" ht="13.5" thickTop="1">
      <c r="A68" t="s">
        <v>104</v>
      </c>
      <c r="B68" s="128">
        <f>SUM(B50:B67)</f>
        <v>3813.0455407969644</v>
      </c>
      <c r="C68" s="85">
        <f>SUM(C50:C67)</f>
        <v>5219.528779253637</v>
      </c>
      <c r="D68" s="85">
        <f>SUM(D50:D67)</f>
        <v>1406.483238456673</v>
      </c>
      <c r="E68" s="3"/>
      <c r="I68" s="36">
        <f>SUM(I50:I67)</f>
        <v>2700.643162731042</v>
      </c>
      <c r="J68" s="36">
        <f>SUM(J50:J67)</f>
        <v>150.46440478072947</v>
      </c>
      <c r="K68" s="6" t="s">
        <v>353</v>
      </c>
      <c r="L68" s="3"/>
      <c r="M68" s="3"/>
      <c r="N68" s="3"/>
      <c r="O68" s="3"/>
      <c r="P68" s="3"/>
      <c r="Q68" s="7">
        <f>Q66+Q67</f>
        <v>285.0833333333333</v>
      </c>
      <c r="R68" s="4" t="s">
        <v>8</v>
      </c>
    </row>
    <row r="69" spans="2:18" ht="13.5" thickBot="1">
      <c r="B69" s="79"/>
      <c r="C69" s="42"/>
      <c r="D69" s="42"/>
      <c r="H69" s="9" t="s">
        <v>147</v>
      </c>
      <c r="I69" s="36">
        <f>NPV($O$42,I51:I66)</f>
        <v>1747.3592702211408</v>
      </c>
      <c r="J69" s="36">
        <f>NPV($O$42,J51:J66)</f>
        <v>97.3528736266064</v>
      </c>
      <c r="K69" s="11" t="s">
        <v>10</v>
      </c>
      <c r="L69" s="12"/>
      <c r="M69" s="12"/>
      <c r="N69" s="12"/>
      <c r="O69" s="12"/>
      <c r="P69" s="12"/>
      <c r="Q69" s="286">
        <f>Q68-Q63</f>
        <v>105.08333333333331</v>
      </c>
      <c r="R69" s="287" t="s">
        <v>8</v>
      </c>
    </row>
    <row r="70" spans="1:6" ht="12.75">
      <c r="A70" t="s">
        <v>114</v>
      </c>
      <c r="B70" s="95"/>
      <c r="C70" s="136"/>
      <c r="D70" s="86">
        <f>M41+N41</f>
        <v>1406.483238456673</v>
      </c>
      <c r="E70" s="120"/>
      <c r="F70" s="120"/>
    </row>
  </sheetData>
  <mergeCells count="20">
    <mergeCell ref="K59:R59"/>
    <mergeCell ref="B47:D47"/>
    <mergeCell ref="AB20:AC20"/>
    <mergeCell ref="Q5:R5"/>
    <mergeCell ref="B45:F45"/>
    <mergeCell ref="D21:E21"/>
    <mergeCell ref="M42:N42"/>
    <mergeCell ref="O5:P5"/>
    <mergeCell ref="B18:F18"/>
    <mergeCell ref="H18:Q18"/>
    <mergeCell ref="A1:R1"/>
    <mergeCell ref="K48:P48"/>
    <mergeCell ref="E47:F47"/>
    <mergeCell ref="A4:E4"/>
    <mergeCell ref="A3:R3"/>
    <mergeCell ref="M4:R4"/>
    <mergeCell ref="F4:L4"/>
    <mergeCell ref="C20:F20"/>
    <mergeCell ref="H20:I20"/>
    <mergeCell ref="N20:O20"/>
  </mergeCells>
  <printOptions/>
  <pageMargins left="0.92" right="0.75" top="0.5" bottom="0.5" header="0.5" footer="0.5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:R1"/>
    </sheetView>
  </sheetViews>
  <sheetFormatPr defaultColWidth="9.140625" defaultRowHeight="12.75"/>
  <cols>
    <col min="2" max="2" width="14.8515625" style="0" bestFit="1" customWidth="1"/>
    <col min="3" max="3" width="10.7109375" style="0" bestFit="1" customWidth="1"/>
    <col min="4" max="4" width="14.28125" style="0" bestFit="1" customWidth="1"/>
    <col min="6" max="6" width="10.8515625" style="0" bestFit="1" customWidth="1"/>
    <col min="7" max="7" width="2.7109375" style="0" customWidth="1"/>
    <col min="9" max="9" width="12.57421875" style="0" bestFit="1" customWidth="1"/>
    <col min="10" max="10" width="9.57421875" style="0" bestFit="1" customWidth="1"/>
    <col min="13" max="13" width="11.57421875" style="0" bestFit="1" customWidth="1"/>
    <col min="14" max="15" width="11.7109375" style="0" customWidth="1"/>
    <col min="16" max="16" width="9.8515625" style="0" bestFit="1" customWidth="1"/>
    <col min="17" max="17" width="12.7109375" style="0" bestFit="1" customWidth="1"/>
    <col min="18" max="18" width="11.7109375" style="0" bestFit="1" customWidth="1"/>
  </cols>
  <sheetData>
    <row r="1" spans="1:18" ht="20.25">
      <c r="A1" s="384" t="s">
        <v>304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8" ht="6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6.5" thickBot="1">
      <c r="A3" s="380" t="s">
        <v>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/>
    </row>
    <row r="4" spans="1:18" ht="12.75">
      <c r="A4" s="385" t="s">
        <v>137</v>
      </c>
      <c r="B4" s="412"/>
      <c r="C4" s="412"/>
      <c r="D4" s="412"/>
      <c r="E4" s="383"/>
      <c r="F4" s="411" t="s">
        <v>138</v>
      </c>
      <c r="G4" s="412"/>
      <c r="H4" s="412"/>
      <c r="I4" s="412"/>
      <c r="J4" s="412"/>
      <c r="K4" s="412"/>
      <c r="L4" s="383"/>
      <c r="M4" s="386" t="s">
        <v>142</v>
      </c>
      <c r="N4" s="387"/>
      <c r="O4" s="387"/>
      <c r="P4" s="387"/>
      <c r="Q4" s="387"/>
      <c r="R4" s="388"/>
    </row>
    <row r="5" spans="1:18" ht="12.75">
      <c r="A5" s="2" t="s">
        <v>136</v>
      </c>
      <c r="B5" s="3"/>
      <c r="C5" s="3"/>
      <c r="D5" s="3"/>
      <c r="E5" s="80"/>
      <c r="F5" s="79" t="s">
        <v>11</v>
      </c>
      <c r="G5" s="3"/>
      <c r="H5" s="3"/>
      <c r="I5" s="10">
        <v>15</v>
      </c>
      <c r="J5" s="3" t="s">
        <v>3</v>
      </c>
      <c r="K5" t="s">
        <v>152</v>
      </c>
      <c r="L5" s="158">
        <f>I5/3</f>
        <v>5</v>
      </c>
      <c r="M5" s="3" t="s">
        <v>55</v>
      </c>
      <c r="N5" s="3"/>
      <c r="O5" s="407" t="s">
        <v>56</v>
      </c>
      <c r="P5" s="407"/>
      <c r="Q5" s="420" t="s">
        <v>57</v>
      </c>
      <c r="R5" s="421"/>
    </row>
    <row r="6" spans="1:18" ht="13.5" thickBot="1">
      <c r="A6" s="2" t="s">
        <v>131</v>
      </c>
      <c r="B6" s="3"/>
      <c r="C6" s="3"/>
      <c r="D6" s="9">
        <v>-0.72</v>
      </c>
      <c r="E6" s="80"/>
      <c r="F6" s="79" t="s">
        <v>12</v>
      </c>
      <c r="G6" s="3"/>
      <c r="H6" s="3"/>
      <c r="I6" s="10">
        <v>25</v>
      </c>
      <c r="J6" s="3" t="s">
        <v>3</v>
      </c>
      <c r="K6" t="s">
        <v>152</v>
      </c>
      <c r="L6" s="169">
        <f>I6/5+I7*(4/5)</f>
        <v>5</v>
      </c>
      <c r="M6" s="3" t="s">
        <v>58</v>
      </c>
      <c r="N6" s="3"/>
      <c r="O6" s="9" t="s">
        <v>59</v>
      </c>
      <c r="P6" s="9" t="s">
        <v>60</v>
      </c>
      <c r="Q6" s="14" t="s">
        <v>59</v>
      </c>
      <c r="R6" s="40" t="s">
        <v>60</v>
      </c>
    </row>
    <row r="7" spans="1:18" ht="13.5" thickTop="1">
      <c r="A7" s="2" t="s">
        <v>129</v>
      </c>
      <c r="B7" s="3"/>
      <c r="C7" s="3"/>
      <c r="D7" s="116">
        <v>1.093769198837692</v>
      </c>
      <c r="E7" s="80"/>
      <c r="F7" s="79" t="s">
        <v>52</v>
      </c>
      <c r="G7" s="3"/>
      <c r="H7" s="3"/>
      <c r="I7" s="10">
        <v>0</v>
      </c>
      <c r="J7" s="3" t="s">
        <v>3</v>
      </c>
      <c r="L7" s="171">
        <f>L5+L6</f>
        <v>10</v>
      </c>
      <c r="M7" s="113" t="s">
        <v>61</v>
      </c>
      <c r="N7" s="3"/>
      <c r="O7" s="48" t="s">
        <v>62</v>
      </c>
      <c r="P7" s="48" t="s">
        <v>62</v>
      </c>
      <c r="Q7" s="16" t="s">
        <v>62</v>
      </c>
      <c r="R7" s="49" t="s">
        <v>62</v>
      </c>
    </row>
    <row r="8" spans="1:18" ht="12.75">
      <c r="A8" s="6" t="s">
        <v>149</v>
      </c>
      <c r="B8" s="3"/>
      <c r="C8" s="3"/>
      <c r="D8" s="3"/>
      <c r="E8" s="152">
        <v>0.395</v>
      </c>
      <c r="F8" s="79" t="s">
        <v>143</v>
      </c>
      <c r="G8" s="3"/>
      <c r="H8" s="3"/>
      <c r="I8" s="3"/>
      <c r="J8" s="9">
        <v>8</v>
      </c>
      <c r="K8" s="114" t="s">
        <v>48</v>
      </c>
      <c r="L8" s="80"/>
      <c r="M8" s="113" t="s">
        <v>63</v>
      </c>
      <c r="N8" s="9"/>
      <c r="O8" s="42">
        <f>O11/(369/1147)</f>
        <v>37.30081300813008</v>
      </c>
      <c r="P8" s="42"/>
      <c r="Q8" s="34">
        <f>Q11/(48/168)</f>
        <v>10.5</v>
      </c>
      <c r="R8" s="39"/>
    </row>
    <row r="9" spans="1:18" ht="12.75">
      <c r="A9" s="2" t="s">
        <v>4</v>
      </c>
      <c r="B9" s="3"/>
      <c r="C9" s="3"/>
      <c r="D9" s="121">
        <v>3.5</v>
      </c>
      <c r="E9" s="80" t="s">
        <v>5</v>
      </c>
      <c r="F9" s="79" t="s">
        <v>130</v>
      </c>
      <c r="G9" s="3"/>
      <c r="H9" s="3"/>
      <c r="I9" s="3"/>
      <c r="J9" s="38">
        <f>J8/(C14+J8)</f>
        <v>0.23529411764705882</v>
      </c>
      <c r="K9" s="3"/>
      <c r="L9" s="170" t="s">
        <v>140</v>
      </c>
      <c r="M9" s="113" t="s">
        <v>64</v>
      </c>
      <c r="N9" s="9"/>
      <c r="O9" s="3"/>
      <c r="P9" s="43">
        <f>P11/(1/3)</f>
        <v>54</v>
      </c>
      <c r="Q9" s="79"/>
      <c r="R9" s="4"/>
    </row>
    <row r="10" spans="1:18" ht="12.75">
      <c r="A10" s="2" t="s">
        <v>6</v>
      </c>
      <c r="B10" s="3"/>
      <c r="C10" s="3"/>
      <c r="D10" s="122">
        <v>0.25</v>
      </c>
      <c r="E10" s="80" t="s">
        <v>5</v>
      </c>
      <c r="F10" s="79" t="s">
        <v>139</v>
      </c>
      <c r="G10" s="3"/>
      <c r="H10" s="3"/>
      <c r="I10" s="3"/>
      <c r="J10" s="3"/>
      <c r="K10" s="54">
        <f>((O12*C16/O13)+(Q12*C16/Q13))/2</f>
        <v>6.1794956411737205</v>
      </c>
      <c r="L10" s="154">
        <f>ROUND(K10,0)</f>
        <v>6</v>
      </c>
      <c r="M10" s="113" t="s">
        <v>65</v>
      </c>
      <c r="N10" s="9"/>
      <c r="O10" s="9"/>
      <c r="P10" s="44"/>
      <c r="Q10" s="79"/>
      <c r="R10" s="45">
        <f>R11/(1/5)</f>
        <v>22.5</v>
      </c>
    </row>
    <row r="11" spans="1:18" ht="12.75">
      <c r="A11" s="2" t="s">
        <v>7</v>
      </c>
      <c r="B11" s="3"/>
      <c r="C11" s="123">
        <f>1/6</f>
        <v>0.16666666666666666</v>
      </c>
      <c r="D11" s="113" t="s">
        <v>9</v>
      </c>
      <c r="E11" s="153">
        <v>0</v>
      </c>
      <c r="F11" s="79" t="s">
        <v>39</v>
      </c>
      <c r="G11" s="3"/>
      <c r="H11" s="3"/>
      <c r="I11" s="3"/>
      <c r="J11" s="3"/>
      <c r="K11" s="22">
        <f>((I5/P13)+(I6/R13))/2</f>
        <v>4.288043478260869</v>
      </c>
      <c r="L11" s="154">
        <f>ROUND(K11,0)</f>
        <v>4</v>
      </c>
      <c r="M11" s="113" t="s">
        <v>66</v>
      </c>
      <c r="N11" s="9"/>
      <c r="O11" s="9">
        <v>12</v>
      </c>
      <c r="P11" s="43">
        <v>18</v>
      </c>
      <c r="Q11" s="34">
        <v>3</v>
      </c>
      <c r="R11" s="45">
        <v>4.5</v>
      </c>
    </row>
    <row r="12" spans="1:18" ht="12.75">
      <c r="A12" s="2" t="s">
        <v>124</v>
      </c>
      <c r="B12" s="3"/>
      <c r="C12" s="115">
        <v>0.07</v>
      </c>
      <c r="D12" s="113" t="s">
        <v>134</v>
      </c>
      <c r="E12" s="28">
        <v>6</v>
      </c>
      <c r="F12" s="79" t="s">
        <v>49</v>
      </c>
      <c r="G12" s="3"/>
      <c r="H12" s="3"/>
      <c r="I12" s="3"/>
      <c r="J12" s="3"/>
      <c r="K12" s="22">
        <f>((P12*C16)-I5)/P13</f>
        <v>6.723908918406072</v>
      </c>
      <c r="L12" s="80"/>
      <c r="M12" s="113" t="s">
        <v>78</v>
      </c>
      <c r="N12" s="9"/>
      <c r="O12" s="9">
        <v>21</v>
      </c>
      <c r="P12" s="46">
        <v>45.5</v>
      </c>
      <c r="Q12" s="14">
        <v>30.5</v>
      </c>
      <c r="R12" s="47">
        <v>97.3</v>
      </c>
    </row>
    <row r="13" spans="1:18" ht="12.75">
      <c r="A13" s="6" t="s">
        <v>135</v>
      </c>
      <c r="B13" s="3"/>
      <c r="C13" s="116">
        <f>(1/(1+C12)^E12)</f>
        <v>0.6663422238165125</v>
      </c>
      <c r="D13" s="3"/>
      <c r="E13" s="80"/>
      <c r="F13" s="79" t="s">
        <v>50</v>
      </c>
      <c r="G13" s="3"/>
      <c r="H13" s="3"/>
      <c r="I13" s="3"/>
      <c r="J13" s="3"/>
      <c r="K13" s="22">
        <f>((R12*C16)-I6)/R13</f>
        <v>8.968422572395017</v>
      </c>
      <c r="L13" s="80"/>
      <c r="M13" s="107" t="s">
        <v>133</v>
      </c>
      <c r="N13" s="3"/>
      <c r="O13" s="9">
        <v>2.5</v>
      </c>
      <c r="P13" s="158">
        <f>((O11*O13)+((P11-O11)*O13*P14))/(P11)</f>
        <v>3.3333333333333335</v>
      </c>
      <c r="Q13" s="9">
        <v>4.6</v>
      </c>
      <c r="R13" s="53">
        <f>((Q11*Q13)+((R11-Q11)*Q13*P14))/R11</f>
        <v>6.133333333333333</v>
      </c>
    </row>
    <row r="14" spans="1:18" ht="12.75">
      <c r="A14" s="2" t="s">
        <v>45</v>
      </c>
      <c r="B14" s="3"/>
      <c r="C14" s="3">
        <v>26</v>
      </c>
      <c r="D14" s="3" t="s">
        <v>46</v>
      </c>
      <c r="E14" s="80"/>
      <c r="F14" s="79" t="s">
        <v>51</v>
      </c>
      <c r="G14" s="3"/>
      <c r="H14" s="3"/>
      <c r="I14" s="3"/>
      <c r="J14" s="3"/>
      <c r="K14" s="22">
        <f>((((P11-O11)*P12)*K12)+(((R11-Q11)*R12)*K13))/Q62</f>
        <v>7.505832221424776</v>
      </c>
      <c r="L14" s="154">
        <f>ROUND(K14,0)</f>
        <v>8</v>
      </c>
      <c r="M14" s="3" t="s">
        <v>112</v>
      </c>
      <c r="N14" s="3"/>
      <c r="O14" s="3"/>
      <c r="P14" s="73">
        <v>2</v>
      </c>
      <c r="Q14" s="3"/>
      <c r="R14" s="40">
        <f>P14</f>
        <v>2</v>
      </c>
    </row>
    <row r="15" spans="1:18" ht="12.75">
      <c r="A15" s="2" t="s">
        <v>47</v>
      </c>
      <c r="B15" s="3"/>
      <c r="C15" s="3">
        <v>5.62</v>
      </c>
      <c r="D15" s="3" t="s">
        <v>46</v>
      </c>
      <c r="E15" s="80"/>
      <c r="F15" s="79" t="s">
        <v>180</v>
      </c>
      <c r="G15" s="3"/>
      <c r="H15" s="3"/>
      <c r="I15" s="207">
        <f>(D9-D10)*C11</f>
        <v>0.5416666666666666</v>
      </c>
      <c r="J15" s="114" t="s">
        <v>181</v>
      </c>
      <c r="K15" s="3"/>
      <c r="L15" s="80"/>
      <c r="M15" s="74" t="s">
        <v>132</v>
      </c>
      <c r="N15" s="3"/>
      <c r="O15" s="3"/>
      <c r="P15" s="115">
        <f>2/3</f>
        <v>0.6666666666666666</v>
      </c>
      <c r="Q15" s="125">
        <f>(R10-R11)*P15</f>
        <v>12</v>
      </c>
      <c r="R15" s="40">
        <f>ROUND(Q15,0)</f>
        <v>12</v>
      </c>
    </row>
    <row r="16" spans="1:18" ht="13.5" thickBot="1">
      <c r="A16" s="147" t="s">
        <v>144</v>
      </c>
      <c r="B16" s="12"/>
      <c r="C16" s="148">
        <f>(1-(C15/(C14+C15)))</f>
        <v>0.8222643896268185</v>
      </c>
      <c r="D16" s="12"/>
      <c r="E16" s="160"/>
      <c r="F16" s="161" t="s">
        <v>53</v>
      </c>
      <c r="G16" s="12"/>
      <c r="H16" s="12"/>
      <c r="I16" s="12"/>
      <c r="J16" s="12"/>
      <c r="K16" s="126">
        <v>2</v>
      </c>
      <c r="L16" s="160" t="s">
        <v>54</v>
      </c>
      <c r="M16" s="149" t="s">
        <v>154</v>
      </c>
      <c r="N16" s="12"/>
      <c r="O16" s="12"/>
      <c r="P16" s="12"/>
      <c r="Q16" s="12"/>
      <c r="R16" s="150">
        <v>1</v>
      </c>
    </row>
    <row r="17" spans="1:18" ht="6" customHeight="1">
      <c r="A17" s="119"/>
      <c r="B17" s="119"/>
      <c r="C17" s="119"/>
      <c r="D17" s="119"/>
      <c r="E17" s="119"/>
      <c r="F17" s="11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7" ht="13.5" customHeight="1">
      <c r="A18" s="3"/>
      <c r="B18" s="422" t="s">
        <v>103</v>
      </c>
      <c r="C18" s="390"/>
      <c r="D18" s="390"/>
      <c r="E18" s="390"/>
      <c r="F18" s="391"/>
      <c r="G18" s="134"/>
      <c r="H18" s="422" t="s">
        <v>128</v>
      </c>
      <c r="I18" s="390"/>
      <c r="J18" s="390"/>
      <c r="K18" s="390"/>
      <c r="L18" s="390"/>
      <c r="M18" s="390"/>
      <c r="N18" s="390"/>
      <c r="O18" s="390"/>
      <c r="P18" s="390"/>
      <c r="Q18" s="391"/>
    </row>
    <row r="19" spans="1:18" ht="12.75" customHeight="1">
      <c r="A19" s="1" t="s">
        <v>97</v>
      </c>
      <c r="B19" s="14" t="s">
        <v>117</v>
      </c>
      <c r="C19" s="9" t="s">
        <v>14</v>
      </c>
      <c r="D19" s="9" t="s">
        <v>15</v>
      </c>
      <c r="E19" s="9" t="s">
        <v>16</v>
      </c>
      <c r="F19" s="28" t="s">
        <v>17</v>
      </c>
      <c r="G19" s="14"/>
      <c r="H19" s="14" t="s">
        <v>18</v>
      </c>
      <c r="I19" s="9" t="s">
        <v>19</v>
      </c>
      <c r="J19" s="9" t="s">
        <v>20</v>
      </c>
      <c r="K19" s="9" t="s">
        <v>21</v>
      </c>
      <c r="L19" s="9" t="s">
        <v>22</v>
      </c>
      <c r="M19" s="9" t="s">
        <v>81</v>
      </c>
      <c r="N19" s="9" t="s">
        <v>118</v>
      </c>
      <c r="O19" s="9" t="s">
        <v>101</v>
      </c>
      <c r="P19" s="9" t="s">
        <v>102</v>
      </c>
      <c r="Q19" s="28" t="s">
        <v>119</v>
      </c>
      <c r="R19" s="294" t="s">
        <v>278</v>
      </c>
    </row>
    <row r="20" spans="1:18" ht="12.75" customHeight="1">
      <c r="A20" s="13"/>
      <c r="B20" s="72" t="s">
        <v>148</v>
      </c>
      <c r="C20" s="392" t="s">
        <v>110</v>
      </c>
      <c r="D20" s="393"/>
      <c r="E20" s="393"/>
      <c r="F20" s="394"/>
      <c r="H20" s="392" t="s">
        <v>23</v>
      </c>
      <c r="I20" s="393"/>
      <c r="J20" s="28"/>
      <c r="K20" s="14" t="s">
        <v>195</v>
      </c>
      <c r="L20" s="15" t="s">
        <v>25</v>
      </c>
      <c r="M20" s="14" t="s">
        <v>26</v>
      </c>
      <c r="N20" s="392" t="s">
        <v>196</v>
      </c>
      <c r="O20" s="394"/>
      <c r="P20" s="17" t="s">
        <v>195</v>
      </c>
      <c r="Q20" s="15" t="s">
        <v>29</v>
      </c>
      <c r="R20" s="294" t="s">
        <v>279</v>
      </c>
    </row>
    <row r="21" spans="1:18" ht="12.75" customHeight="1">
      <c r="A21" s="13"/>
      <c r="B21" s="81" t="s">
        <v>91</v>
      </c>
      <c r="C21" s="14" t="s">
        <v>111</v>
      </c>
      <c r="D21" s="393" t="s">
        <v>113</v>
      </c>
      <c r="E21" s="393"/>
      <c r="F21" s="28" t="s">
        <v>36</v>
      </c>
      <c r="G21" s="79"/>
      <c r="H21" s="18" t="s">
        <v>30</v>
      </c>
      <c r="I21" s="19"/>
      <c r="J21" s="16" t="s">
        <v>31</v>
      </c>
      <c r="K21" s="16" t="s">
        <v>32</v>
      </c>
      <c r="L21" s="20" t="s">
        <v>33</v>
      </c>
      <c r="M21" s="16" t="s">
        <v>34</v>
      </c>
      <c r="N21" s="18" t="s">
        <v>35</v>
      </c>
      <c r="O21" s="21" t="s">
        <v>36</v>
      </c>
      <c r="P21" s="14" t="s">
        <v>37</v>
      </c>
      <c r="Q21" s="15" t="s">
        <v>38</v>
      </c>
      <c r="R21" s="294" t="s">
        <v>280</v>
      </c>
    </row>
    <row r="22" spans="1:18" ht="12.75" customHeight="1" thickBot="1">
      <c r="A22" s="23" t="s">
        <v>40</v>
      </c>
      <c r="B22" s="27" t="s">
        <v>93</v>
      </c>
      <c r="C22" s="109" t="s">
        <v>8</v>
      </c>
      <c r="D22" s="101" t="s">
        <v>8</v>
      </c>
      <c r="E22" s="112" t="s">
        <v>3</v>
      </c>
      <c r="F22" s="26" t="s">
        <v>43</v>
      </c>
      <c r="G22" s="79"/>
      <c r="H22" s="27" t="s">
        <v>41</v>
      </c>
      <c r="I22" s="24" t="s">
        <v>42</v>
      </c>
      <c r="J22" s="25" t="s">
        <v>3</v>
      </c>
      <c r="K22" s="25" t="s">
        <v>8</v>
      </c>
      <c r="L22" s="25" t="s">
        <v>3</v>
      </c>
      <c r="M22" s="26" t="s">
        <v>3</v>
      </c>
      <c r="N22" s="27" t="s">
        <v>3</v>
      </c>
      <c r="O22" s="26" t="s">
        <v>43</v>
      </c>
      <c r="P22" s="23" t="s">
        <v>8</v>
      </c>
      <c r="Q22" s="26" t="s">
        <v>44</v>
      </c>
      <c r="R22" s="26" t="s">
        <v>44</v>
      </c>
    </row>
    <row r="23" spans="1:18" ht="12.75" customHeight="1">
      <c r="A23" s="1">
        <v>2003</v>
      </c>
      <c r="B23" s="128">
        <f>'Total Roy'!B44</f>
        <v>378.4249</v>
      </c>
      <c r="C23" s="110">
        <f>('15,25-5'!$O$11*'15,25-5'!$O$12+'15,25-5'!$Q$11*'15,25-5'!$Q$12)</f>
        <v>343.5</v>
      </c>
      <c r="D23" s="3"/>
      <c r="E23" s="82">
        <f aca="true" t="shared" si="0" ref="E23:E39">D23*$C$16</f>
        <v>0</v>
      </c>
      <c r="F23" s="28">
        <f aca="true" t="shared" si="1" ref="F23:F39">E23/$C$14</f>
        <v>0</v>
      </c>
      <c r="G23" s="79"/>
      <c r="H23" s="34">
        <f>$Q$60</f>
        <v>255</v>
      </c>
      <c r="I23" s="28">
        <f>$Q$61</f>
        <v>0</v>
      </c>
      <c r="J23" s="73">
        <v>0</v>
      </c>
      <c r="K23" s="35">
        <f>$Q$68</f>
        <v>274.625</v>
      </c>
      <c r="L23" s="29">
        <f>$Q$63</f>
        <v>127.5</v>
      </c>
      <c r="M23" s="30">
        <v>0</v>
      </c>
      <c r="N23" s="30">
        <v>0</v>
      </c>
      <c r="O23" s="31">
        <f>IF(L23&gt;K23,(SUM($K$23:K23)-SUM($L$23:L23))/$L$11,0)</f>
        <v>0</v>
      </c>
      <c r="P23" s="32">
        <f aca="true" t="shared" si="2" ref="P23:P40">M23+N23+$C$15*O23</f>
        <v>0</v>
      </c>
      <c r="Q23" s="33">
        <f aca="true" t="shared" si="3" ref="Q23:Q40">(($D$9-$D$10)*$C$11*(1-$E$11)*(N23-J23))+(($D$9-$D$10)*$J$8*$C$11*(1-$E$11)*O23)</f>
        <v>0</v>
      </c>
      <c r="R23" s="75">
        <f>J23*$I$15</f>
        <v>0</v>
      </c>
    </row>
    <row r="24" spans="1:18" ht="12.75" customHeight="1">
      <c r="A24" s="1">
        <v>2004</v>
      </c>
      <c r="B24" s="128">
        <f>'Total Roy'!B45</f>
        <v>365.04429999999996</v>
      </c>
      <c r="C24" s="111">
        <f>C23</f>
        <v>343.5</v>
      </c>
      <c r="D24" s="42">
        <f>(SUM($C$23:C23)/$L$10)</f>
        <v>57.25</v>
      </c>
      <c r="E24" s="52">
        <f t="shared" si="0"/>
        <v>47.07463630613536</v>
      </c>
      <c r="F24" s="30">
        <f t="shared" si="1"/>
        <v>1.81056293485136</v>
      </c>
      <c r="G24" s="79"/>
      <c r="H24" s="34">
        <f aca="true" t="shared" si="4" ref="H24:I28">H23</f>
        <v>255</v>
      </c>
      <c r="I24" s="28">
        <f t="shared" si="4"/>
        <v>0</v>
      </c>
      <c r="J24" s="34">
        <f>(SUM($H$23:H23)/$L$11)+(SUM($I$23:I23)/$K$16)</f>
        <v>63.75</v>
      </c>
      <c r="K24" s="35">
        <f aca="true" t="shared" si="5" ref="K24:L28">K23</f>
        <v>274.625</v>
      </c>
      <c r="L24" s="30">
        <f t="shared" si="5"/>
        <v>127.5</v>
      </c>
      <c r="M24" s="30">
        <f>SUM($L$23:L23)/$L$11</f>
        <v>31.875</v>
      </c>
      <c r="N24" s="30">
        <f>IF($L$11&gt;(A24-$A$24),0,(((((1-($C$15/($C$14+$C$15)))*SUM($K$23:K23)))-SUM($L$23:L23))/$L$14))</f>
        <v>0</v>
      </c>
      <c r="O24" s="30">
        <f aca="true" t="shared" si="6" ref="O24:O40">(M24+N24)/$C$14</f>
        <v>1.2259615384615385</v>
      </c>
      <c r="P24" s="32">
        <f t="shared" si="2"/>
        <v>38.76490384615385</v>
      </c>
      <c r="Q24" s="36">
        <f t="shared" si="3"/>
        <v>-29.21875</v>
      </c>
      <c r="R24" s="75">
        <f aca="true" t="shared" si="7" ref="R24:R33">J24*$I$15</f>
        <v>34.53125</v>
      </c>
    </row>
    <row r="25" spans="1:18" ht="12.75" customHeight="1">
      <c r="A25" s="1">
        <v>2005</v>
      </c>
      <c r="B25" s="128">
        <f>'Total Roy'!B46</f>
        <v>331.7466</v>
      </c>
      <c r="C25" s="111">
        <f aca="true" t="shared" si="8" ref="C25:C39">C24</f>
        <v>343.5</v>
      </c>
      <c r="D25" s="42">
        <f>(SUM($C$23:C24)/$L$10)</f>
        <v>114.5</v>
      </c>
      <c r="E25" s="52">
        <f t="shared" si="0"/>
        <v>94.14927261227072</v>
      </c>
      <c r="F25" s="30">
        <f t="shared" si="1"/>
        <v>3.62112586970272</v>
      </c>
      <c r="G25" s="79"/>
      <c r="H25" s="34">
        <f t="shared" si="4"/>
        <v>255</v>
      </c>
      <c r="I25" s="28">
        <f t="shared" si="4"/>
        <v>0</v>
      </c>
      <c r="J25" s="34">
        <f>(SUM($H$23:H24)/$L$11)+(SUM(I23:I24)/$K$16)</f>
        <v>127.5</v>
      </c>
      <c r="K25" s="35">
        <f t="shared" si="5"/>
        <v>274.625</v>
      </c>
      <c r="L25" s="30">
        <f t="shared" si="5"/>
        <v>127.5</v>
      </c>
      <c r="M25" s="30">
        <f>SUM($L$23:L24)/$L$11</f>
        <v>63.75</v>
      </c>
      <c r="N25" s="30">
        <f>IF($L$11&gt;(A25-$A$24),0,(((((1-($C$15/($C$14+$C$15)))*SUM($K$23:K24)))-SUM($L$23:L24))/$L$14))</f>
        <v>0</v>
      </c>
      <c r="O25" s="30">
        <f t="shared" si="6"/>
        <v>2.451923076923077</v>
      </c>
      <c r="P25" s="32">
        <f t="shared" si="2"/>
        <v>77.5298076923077</v>
      </c>
      <c r="Q25" s="36">
        <f t="shared" si="3"/>
        <v>-58.4375</v>
      </c>
      <c r="R25" s="75">
        <f t="shared" si="7"/>
        <v>69.0625</v>
      </c>
    </row>
    <row r="26" spans="1:18" ht="12.75" customHeight="1">
      <c r="A26" s="1">
        <v>2006</v>
      </c>
      <c r="B26" s="128">
        <f>'Total Roy'!B47</f>
        <v>297.83369999999996</v>
      </c>
      <c r="C26" s="111">
        <f t="shared" si="8"/>
        <v>343.5</v>
      </c>
      <c r="D26" s="42">
        <f>(SUM($C$23:C25)/$L$10)</f>
        <v>171.75</v>
      </c>
      <c r="E26" s="52">
        <f t="shared" si="0"/>
        <v>141.22390891840607</v>
      </c>
      <c r="F26" s="30">
        <f t="shared" si="1"/>
        <v>5.43168880455408</v>
      </c>
      <c r="G26" s="79"/>
      <c r="H26" s="34">
        <f t="shared" si="4"/>
        <v>255</v>
      </c>
      <c r="I26" s="28">
        <f t="shared" si="4"/>
        <v>0</v>
      </c>
      <c r="J26" s="34">
        <f>(SUM($H$23:H25)/$L$11)+(SUM(I24:I25)/$K$16)</f>
        <v>191.25</v>
      </c>
      <c r="K26" s="35">
        <f t="shared" si="5"/>
        <v>274.625</v>
      </c>
      <c r="L26" s="30">
        <f t="shared" si="5"/>
        <v>127.5</v>
      </c>
      <c r="M26" s="30">
        <f>SUM($L$23:L25)/$L$11</f>
        <v>95.625</v>
      </c>
      <c r="N26" s="30">
        <f>IF($L$11&gt;(A26-$A$24),0,(((((1-($C$15/($C$14+$C$15)))*SUM($K$23:K25)))-SUM($L$23:L25))/$L$14))</f>
        <v>0</v>
      </c>
      <c r="O26" s="30">
        <f t="shared" si="6"/>
        <v>3.6778846153846154</v>
      </c>
      <c r="P26" s="32">
        <f t="shared" si="2"/>
        <v>116.29471153846154</v>
      </c>
      <c r="Q26" s="36">
        <f t="shared" si="3"/>
        <v>-87.65625</v>
      </c>
      <c r="R26" s="75">
        <f t="shared" si="7"/>
        <v>103.59375</v>
      </c>
    </row>
    <row r="27" spans="1:18" ht="12.75" customHeight="1">
      <c r="A27" s="1">
        <v>2007</v>
      </c>
      <c r="B27" s="128">
        <f>'Total Roy'!B48</f>
        <v>261.3062</v>
      </c>
      <c r="C27" s="111">
        <f t="shared" si="8"/>
        <v>343.5</v>
      </c>
      <c r="D27" s="42">
        <f>(SUM($C$23:C26)/$L$10)</f>
        <v>229</v>
      </c>
      <c r="E27" s="52">
        <f t="shared" si="0"/>
        <v>188.29854522454144</v>
      </c>
      <c r="F27" s="30">
        <f t="shared" si="1"/>
        <v>7.24225173940544</v>
      </c>
      <c r="G27" s="79"/>
      <c r="H27" s="34">
        <f t="shared" si="4"/>
        <v>255</v>
      </c>
      <c r="I27" s="28">
        <f t="shared" si="4"/>
        <v>0</v>
      </c>
      <c r="J27" s="34">
        <f aca="true" t="shared" si="9" ref="J27:J33">(SUM(H23:H26)/$L$11)+(SUM(I25:I26)/$K$16)</f>
        <v>255</v>
      </c>
      <c r="K27" s="35">
        <f t="shared" si="5"/>
        <v>274.625</v>
      </c>
      <c r="L27" s="30">
        <f t="shared" si="5"/>
        <v>127.5</v>
      </c>
      <c r="M27" s="30">
        <f aca="true" t="shared" si="10" ref="M27:M33">SUM(L23:L26)/$L$11</f>
        <v>127.5</v>
      </c>
      <c r="N27" s="30">
        <f>IF($L$11&gt;(A27-$A$24),0,(((((1-($C$15/($C$14+$C$15)))*SUM(K23:K26)))-SUM(L23:L26))/$L$14))</f>
        <v>0</v>
      </c>
      <c r="O27" s="30">
        <f t="shared" si="6"/>
        <v>4.903846153846154</v>
      </c>
      <c r="P27" s="32">
        <f t="shared" si="2"/>
        <v>155.0596153846154</v>
      </c>
      <c r="Q27" s="36">
        <f t="shared" si="3"/>
        <v>-116.875</v>
      </c>
      <c r="R27" s="75">
        <f t="shared" si="7"/>
        <v>138.125</v>
      </c>
    </row>
    <row r="28" spans="1:18" ht="12.75" customHeight="1">
      <c r="A28" s="1">
        <v>2008</v>
      </c>
      <c r="B28" s="128">
        <f>'Total Roy'!B49</f>
        <v>226.54739999999998</v>
      </c>
      <c r="C28" s="111">
        <f t="shared" si="8"/>
        <v>343.5</v>
      </c>
      <c r="D28" s="42">
        <f>(SUM($C$23:C27)/$L$10)</f>
        <v>286.25</v>
      </c>
      <c r="E28" s="52">
        <f t="shared" si="0"/>
        <v>235.3731815306768</v>
      </c>
      <c r="F28" s="30">
        <f t="shared" si="1"/>
        <v>9.0528146742568</v>
      </c>
      <c r="G28" s="79"/>
      <c r="H28" s="34">
        <f t="shared" si="4"/>
        <v>255</v>
      </c>
      <c r="I28" s="28">
        <f t="shared" si="4"/>
        <v>0</v>
      </c>
      <c r="J28" s="34">
        <f t="shared" si="9"/>
        <v>255</v>
      </c>
      <c r="K28" s="35">
        <f t="shared" si="5"/>
        <v>274.625</v>
      </c>
      <c r="L28" s="30">
        <f t="shared" si="5"/>
        <v>127.5</v>
      </c>
      <c r="M28" s="30">
        <f t="shared" si="10"/>
        <v>127.5</v>
      </c>
      <c r="N28" s="30">
        <f>IF($L$11&gt;(A28-$A$24),0,(((((1-($C$15/($C$14+$C$15)))*SUM($K$23:K23)))-SUM($L$23:L23))/$L$14))</f>
        <v>12.289294750158128</v>
      </c>
      <c r="O28" s="30">
        <f t="shared" si="6"/>
        <v>5.376511336544543</v>
      </c>
      <c r="P28" s="32">
        <f t="shared" si="2"/>
        <v>170.00528846153844</v>
      </c>
      <c r="Q28" s="36">
        <f t="shared" si="3"/>
        <v>-108.17008288530465</v>
      </c>
      <c r="R28" s="75">
        <f t="shared" si="7"/>
        <v>138.125</v>
      </c>
    </row>
    <row r="29" spans="1:18" ht="12.75" customHeight="1">
      <c r="A29" s="1">
        <v>2009</v>
      </c>
      <c r="B29" s="128">
        <f>'Total Roy'!B50</f>
        <v>197.3254</v>
      </c>
      <c r="C29" s="111">
        <f t="shared" si="8"/>
        <v>343.5</v>
      </c>
      <c r="D29" s="42">
        <f aca="true" t="shared" si="11" ref="D29:D39">(SUM(C23:C28)/$L$10)</f>
        <v>343.5</v>
      </c>
      <c r="E29" s="52">
        <f t="shared" si="0"/>
        <v>282.44781783681213</v>
      </c>
      <c r="F29" s="30">
        <f t="shared" si="1"/>
        <v>10.86337760910816</v>
      </c>
      <c r="G29" s="79"/>
      <c r="H29" s="14">
        <v>0</v>
      </c>
      <c r="I29" s="28">
        <v>0</v>
      </c>
      <c r="J29" s="34">
        <f t="shared" si="9"/>
        <v>255</v>
      </c>
      <c r="K29" s="28">
        <v>0</v>
      </c>
      <c r="L29" s="28">
        <v>0</v>
      </c>
      <c r="M29" s="30">
        <f t="shared" si="10"/>
        <v>127.5</v>
      </c>
      <c r="N29" s="30">
        <f>IF($L$11&gt;(A29-$A$24),0,(((((1-($C$15/($C$14+$C$15)))*SUM($K$23:K24)))-SUM($L$23:L24))/$L$14))</f>
        <v>24.578589500316255</v>
      </c>
      <c r="O29" s="30">
        <f t="shared" si="6"/>
        <v>5.849176519242932</v>
      </c>
      <c r="P29" s="32">
        <f t="shared" si="2"/>
        <v>184.9509615384615</v>
      </c>
      <c r="Q29" s="36">
        <f t="shared" si="3"/>
        <v>-99.46516577060933</v>
      </c>
      <c r="R29" s="75">
        <f t="shared" si="7"/>
        <v>138.125</v>
      </c>
    </row>
    <row r="30" spans="1:18" ht="12.75" customHeight="1">
      <c r="A30" s="1">
        <v>2010</v>
      </c>
      <c r="B30" s="128">
        <f>'Total Roy'!B51</f>
        <v>171.4101</v>
      </c>
      <c r="C30" s="111">
        <f t="shared" si="8"/>
        <v>343.5</v>
      </c>
      <c r="D30" s="42">
        <f t="shared" si="11"/>
        <v>343.5</v>
      </c>
      <c r="E30" s="52">
        <f t="shared" si="0"/>
        <v>282.44781783681213</v>
      </c>
      <c r="F30" s="30">
        <f t="shared" si="1"/>
        <v>10.86337760910816</v>
      </c>
      <c r="G30" s="79"/>
      <c r="H30" s="14"/>
      <c r="I30" s="28"/>
      <c r="J30" s="34">
        <f t="shared" si="9"/>
        <v>191.25</v>
      </c>
      <c r="K30" s="28"/>
      <c r="L30" s="28"/>
      <c r="M30" s="30">
        <f t="shared" si="10"/>
        <v>95.625</v>
      </c>
      <c r="N30" s="30">
        <f>IF($L$11&gt;(A30-$A$24),0,(((((1-($C$15/($C$14+$C$15)))*SUM($K$23:K25)))-SUM($L$23:L25))/$L$14))</f>
        <v>36.86788425047439</v>
      </c>
      <c r="O30" s="30">
        <f t="shared" si="6"/>
        <v>5.095880163479785</v>
      </c>
      <c r="P30" s="32">
        <f t="shared" si="2"/>
        <v>161.13173076923078</v>
      </c>
      <c r="Q30" s="36">
        <f t="shared" si="3"/>
        <v>-61.54149865591397</v>
      </c>
      <c r="R30" s="75">
        <f t="shared" si="7"/>
        <v>103.59375</v>
      </c>
    </row>
    <row r="31" spans="1:18" ht="12.75" customHeight="1">
      <c r="A31" s="1">
        <v>2011</v>
      </c>
      <c r="B31" s="128">
        <f>'Total Roy'!B52</f>
        <v>149.3398</v>
      </c>
      <c r="C31" s="111">
        <f t="shared" si="8"/>
        <v>343.5</v>
      </c>
      <c r="D31" s="42">
        <f t="shared" si="11"/>
        <v>343.5</v>
      </c>
      <c r="E31" s="52">
        <f t="shared" si="0"/>
        <v>282.44781783681213</v>
      </c>
      <c r="F31" s="30">
        <f t="shared" si="1"/>
        <v>10.86337760910816</v>
      </c>
      <c r="G31" s="79"/>
      <c r="H31" s="14"/>
      <c r="I31" s="28"/>
      <c r="J31" s="34">
        <f t="shared" si="9"/>
        <v>127.5</v>
      </c>
      <c r="K31" s="28"/>
      <c r="L31" s="28"/>
      <c r="M31" s="30">
        <f t="shared" si="10"/>
        <v>63.75</v>
      </c>
      <c r="N31" s="30">
        <f>IF($L$11&gt;(A31-$A$24),0,(((((1-($C$15/($C$14+$C$15)))*SUM($K$23:K26)))-SUM($L$23:L26))/$L$14))</f>
        <v>49.15717900063251</v>
      </c>
      <c r="O31" s="30">
        <f t="shared" si="6"/>
        <v>4.342583807716635</v>
      </c>
      <c r="P31" s="32">
        <f t="shared" si="2"/>
        <v>137.3125</v>
      </c>
      <c r="Q31" s="36">
        <f t="shared" si="3"/>
        <v>-23.617831541218635</v>
      </c>
      <c r="R31" s="75">
        <f t="shared" si="7"/>
        <v>69.0625</v>
      </c>
    </row>
    <row r="32" spans="1:18" ht="12.75" customHeight="1">
      <c r="A32" s="1">
        <v>2012</v>
      </c>
      <c r="B32" s="128">
        <f>'Total Roy'!B53</f>
        <v>124.1935</v>
      </c>
      <c r="C32" s="111">
        <f t="shared" si="8"/>
        <v>343.5</v>
      </c>
      <c r="D32" s="42">
        <f t="shared" si="11"/>
        <v>343.5</v>
      </c>
      <c r="E32" s="52">
        <f t="shared" si="0"/>
        <v>282.44781783681213</v>
      </c>
      <c r="F32" s="30">
        <f t="shared" si="1"/>
        <v>10.86337760910816</v>
      </c>
      <c r="G32" s="79"/>
      <c r="H32" s="14"/>
      <c r="I32" s="28"/>
      <c r="J32" s="34">
        <f t="shared" si="9"/>
        <v>63.75</v>
      </c>
      <c r="K32" s="28"/>
      <c r="L32" s="28"/>
      <c r="M32" s="30">
        <f t="shared" si="10"/>
        <v>31.875</v>
      </c>
      <c r="N32" s="30">
        <f>IF($L$11&gt;(A32-$A$24),0,(((((1-($C$15/($C$14+$C$15)))*SUM($K$23:K27)))-SUM($L$23:L27))/$L$14))</f>
        <v>61.44647375079063</v>
      </c>
      <c r="O32" s="30">
        <f t="shared" si="6"/>
        <v>3.589287451953486</v>
      </c>
      <c r="P32" s="32">
        <f t="shared" si="2"/>
        <v>113.49326923076922</v>
      </c>
      <c r="Q32" s="36">
        <f t="shared" si="3"/>
        <v>14.305835573476696</v>
      </c>
      <c r="R32" s="75">
        <f t="shared" si="7"/>
        <v>34.53125</v>
      </c>
    </row>
    <row r="33" spans="1:18" ht="12.75" customHeight="1">
      <c r="A33" s="1">
        <v>2013</v>
      </c>
      <c r="B33" s="128">
        <f>'Total Roy'!B54</f>
        <v>102.5846</v>
      </c>
      <c r="C33" s="111">
        <f t="shared" si="8"/>
        <v>343.5</v>
      </c>
      <c r="D33" s="42">
        <f t="shared" si="11"/>
        <v>343.5</v>
      </c>
      <c r="E33" s="52">
        <f t="shared" si="0"/>
        <v>282.44781783681213</v>
      </c>
      <c r="F33" s="30">
        <f t="shared" si="1"/>
        <v>10.86337760910816</v>
      </c>
      <c r="G33" s="79"/>
      <c r="H33" s="14"/>
      <c r="I33" s="9"/>
      <c r="J33" s="34">
        <f t="shared" si="9"/>
        <v>0</v>
      </c>
      <c r="K33" s="9"/>
      <c r="L33" s="9"/>
      <c r="M33" s="30">
        <f t="shared" si="10"/>
        <v>0</v>
      </c>
      <c r="N33" s="30">
        <f>IF($L$11&gt;(A33-$A$24),0,(((((1-($C$15/($C$14+$C$15)))*SUM($K$23:K28)))-SUM($L$23:L28))/$L$14))</f>
        <v>73.73576850094878</v>
      </c>
      <c r="O33" s="30">
        <f t="shared" si="6"/>
        <v>2.835991096190338</v>
      </c>
      <c r="P33" s="32">
        <f t="shared" si="2"/>
        <v>89.67403846153847</v>
      </c>
      <c r="Q33" s="36">
        <f t="shared" si="3"/>
        <v>52.22950268817205</v>
      </c>
      <c r="R33" s="75">
        <f t="shared" si="7"/>
        <v>0</v>
      </c>
    </row>
    <row r="34" spans="1:18" ht="12.75" customHeight="1">
      <c r="A34" s="1">
        <v>2014</v>
      </c>
      <c r="B34" s="129">
        <f aca="true" t="shared" si="12" ref="B34:B39">B33*(B33/B32)</f>
        <v>84.7355147987616</v>
      </c>
      <c r="C34" s="111">
        <f t="shared" si="8"/>
        <v>343.5</v>
      </c>
      <c r="D34" s="42">
        <f t="shared" si="11"/>
        <v>343.5</v>
      </c>
      <c r="E34" s="52">
        <f t="shared" si="0"/>
        <v>282.44781783681213</v>
      </c>
      <c r="F34" s="30">
        <f t="shared" si="1"/>
        <v>10.86337760910816</v>
      </c>
      <c r="G34" s="79"/>
      <c r="H34" s="79"/>
      <c r="I34" s="3"/>
      <c r="J34" s="34"/>
      <c r="K34" s="3"/>
      <c r="L34" s="3"/>
      <c r="M34" s="30"/>
      <c r="N34" s="30">
        <f>IF($L$11&gt;(A34-$A$24),0,(((((1-($C$15/($C$14+$C$15)))*SUM($K$23:K29)))-SUM($L$23:L29))/$L$14))</f>
        <v>73.73576850094878</v>
      </c>
      <c r="O34" s="30">
        <f t="shared" si="6"/>
        <v>2.835991096190338</v>
      </c>
      <c r="P34" s="32">
        <f t="shared" si="2"/>
        <v>89.67403846153847</v>
      </c>
      <c r="Q34" s="36">
        <f t="shared" si="3"/>
        <v>52.22950268817205</v>
      </c>
      <c r="R34" s="75"/>
    </row>
    <row r="35" spans="1:18" ht="12.75" customHeight="1">
      <c r="A35" s="1">
        <v>2015</v>
      </c>
      <c r="B35" s="129">
        <f t="shared" si="12"/>
        <v>69.99205990188729</v>
      </c>
      <c r="C35" s="111">
        <f t="shared" si="8"/>
        <v>343.5</v>
      </c>
      <c r="D35" s="42">
        <f t="shared" si="11"/>
        <v>343.5</v>
      </c>
      <c r="E35" s="52">
        <f t="shared" si="0"/>
        <v>282.44781783681213</v>
      </c>
      <c r="F35" s="30">
        <f t="shared" si="1"/>
        <v>10.86337760910816</v>
      </c>
      <c r="G35" s="79"/>
      <c r="H35" s="79"/>
      <c r="I35" s="3"/>
      <c r="J35" s="42"/>
      <c r="K35" s="3"/>
      <c r="L35" s="3"/>
      <c r="M35" s="30"/>
      <c r="N35" s="30">
        <f aca="true" t="shared" si="13" ref="N35:N40">IF($L$11&gt;(A35-$A$24),0,(((((1-($C$15/($C$14+$C$15)))*SUM(K23:K30)))-SUM(L23:L30))/$L$14))</f>
        <v>73.73576850094878</v>
      </c>
      <c r="O35" s="30">
        <f t="shared" si="6"/>
        <v>2.835991096190338</v>
      </c>
      <c r="P35" s="32">
        <f t="shared" si="2"/>
        <v>89.67403846153847</v>
      </c>
      <c r="Q35" s="36">
        <f t="shared" si="3"/>
        <v>52.22950268817205</v>
      </c>
      <c r="R35" s="75"/>
    </row>
    <row r="36" spans="1:18" ht="12.75" customHeight="1">
      <c r="A36" s="1">
        <v>2016</v>
      </c>
      <c r="B36" s="129">
        <f t="shared" si="12"/>
        <v>57.81387486632671</v>
      </c>
      <c r="C36" s="111">
        <f t="shared" si="8"/>
        <v>343.5</v>
      </c>
      <c r="D36" s="42">
        <f t="shared" si="11"/>
        <v>343.5</v>
      </c>
      <c r="E36" s="52">
        <f t="shared" si="0"/>
        <v>282.44781783681213</v>
      </c>
      <c r="F36" s="30">
        <f t="shared" si="1"/>
        <v>10.86337760910816</v>
      </c>
      <c r="G36" s="79"/>
      <c r="H36" s="79"/>
      <c r="I36" s="3"/>
      <c r="J36" s="42"/>
      <c r="K36" s="3"/>
      <c r="L36" s="3"/>
      <c r="M36" s="3"/>
      <c r="N36" s="30">
        <f t="shared" si="13"/>
        <v>61.44647375079063</v>
      </c>
      <c r="O36" s="30">
        <f t="shared" si="6"/>
        <v>2.3633259134919475</v>
      </c>
      <c r="P36" s="32">
        <f t="shared" si="2"/>
        <v>74.72836538461537</v>
      </c>
      <c r="Q36" s="36">
        <f t="shared" si="3"/>
        <v>43.52458557347669</v>
      </c>
      <c r="R36" s="75"/>
    </row>
    <row r="37" spans="1:17" ht="12.75" customHeight="1">
      <c r="A37" s="1">
        <v>2017</v>
      </c>
      <c r="B37" s="129">
        <f t="shared" si="12"/>
        <v>47.754618620235185</v>
      </c>
      <c r="C37" s="111">
        <f t="shared" si="8"/>
        <v>343.5</v>
      </c>
      <c r="D37" s="42">
        <f t="shared" si="11"/>
        <v>343.5</v>
      </c>
      <c r="E37" s="52">
        <f t="shared" si="0"/>
        <v>282.44781783681213</v>
      </c>
      <c r="F37" s="30">
        <f t="shared" si="1"/>
        <v>10.86337760910816</v>
      </c>
      <c r="G37" s="79"/>
      <c r="H37" s="79"/>
      <c r="I37" s="3"/>
      <c r="J37" s="3"/>
      <c r="K37" s="3"/>
      <c r="L37" s="3"/>
      <c r="M37" s="3"/>
      <c r="N37" s="30">
        <f t="shared" si="13"/>
        <v>49.15717900063251</v>
      </c>
      <c r="O37" s="30">
        <f t="shared" si="6"/>
        <v>1.8906607307935581</v>
      </c>
      <c r="P37" s="32">
        <f t="shared" si="2"/>
        <v>59.78269230769231</v>
      </c>
      <c r="Q37" s="36">
        <f t="shared" si="3"/>
        <v>34.81966845878136</v>
      </c>
    </row>
    <row r="38" spans="1:17" ht="12.75" customHeight="1">
      <c r="A38" s="1">
        <v>2018</v>
      </c>
      <c r="B38" s="129">
        <f t="shared" si="12"/>
        <v>39.445610674547204</v>
      </c>
      <c r="C38" s="111">
        <f t="shared" si="8"/>
        <v>343.5</v>
      </c>
      <c r="D38" s="42">
        <f t="shared" si="11"/>
        <v>343.5</v>
      </c>
      <c r="E38" s="52">
        <f t="shared" si="0"/>
        <v>282.44781783681213</v>
      </c>
      <c r="F38" s="30">
        <f t="shared" si="1"/>
        <v>10.86337760910816</v>
      </c>
      <c r="G38" s="79"/>
      <c r="H38" s="79"/>
      <c r="I38" s="3"/>
      <c r="J38" s="3"/>
      <c r="K38" s="3"/>
      <c r="L38" s="3"/>
      <c r="M38" s="3"/>
      <c r="N38" s="30">
        <f t="shared" si="13"/>
        <v>36.86788425047439</v>
      </c>
      <c r="O38" s="30">
        <f t="shared" si="6"/>
        <v>1.417995548095169</v>
      </c>
      <c r="P38" s="32">
        <f t="shared" si="2"/>
        <v>44.837019230769236</v>
      </c>
      <c r="Q38" s="36">
        <f t="shared" si="3"/>
        <v>26.114751344086024</v>
      </c>
    </row>
    <row r="39" spans="1:17" ht="12.75" customHeight="1">
      <c r="A39" s="1">
        <v>2019</v>
      </c>
      <c r="B39" s="129">
        <f t="shared" si="12"/>
        <v>32.58231866244332</v>
      </c>
      <c r="C39" s="111">
        <f t="shared" si="8"/>
        <v>343.5</v>
      </c>
      <c r="D39" s="42">
        <f t="shared" si="11"/>
        <v>343.5</v>
      </c>
      <c r="E39" s="52">
        <f t="shared" si="0"/>
        <v>282.44781783681213</v>
      </c>
      <c r="F39" s="30">
        <f t="shared" si="1"/>
        <v>10.86337760910816</v>
      </c>
      <c r="G39" s="79"/>
      <c r="H39" s="79"/>
      <c r="I39" s="3"/>
      <c r="J39" s="3"/>
      <c r="K39" s="3"/>
      <c r="L39" s="3"/>
      <c r="M39" s="3"/>
      <c r="N39" s="30">
        <f t="shared" si="13"/>
        <v>24.578589500316255</v>
      </c>
      <c r="O39" s="30">
        <f t="shared" si="6"/>
        <v>0.9453303653967791</v>
      </c>
      <c r="P39" s="32">
        <f t="shared" si="2"/>
        <v>29.891346153846154</v>
      </c>
      <c r="Q39" s="36">
        <f t="shared" si="3"/>
        <v>17.40983422939068</v>
      </c>
    </row>
    <row r="40" spans="1:18" ht="12.75" customHeight="1" thickBot="1">
      <c r="A40" s="1">
        <v>2020</v>
      </c>
      <c r="B40" s="130"/>
      <c r="C40" s="56"/>
      <c r="D40" s="56"/>
      <c r="E40" s="56"/>
      <c r="F40" s="131"/>
      <c r="G40" s="79"/>
      <c r="H40" s="130"/>
      <c r="I40" s="56"/>
      <c r="J40" s="56"/>
      <c r="K40" s="56"/>
      <c r="L40" s="56"/>
      <c r="M40" s="56"/>
      <c r="N40" s="57">
        <f t="shared" si="13"/>
        <v>12.289294750158128</v>
      </c>
      <c r="O40" s="57">
        <f t="shared" si="6"/>
        <v>0.47266518269838953</v>
      </c>
      <c r="P40" s="59">
        <f t="shared" si="2"/>
        <v>14.945673076923077</v>
      </c>
      <c r="Q40" s="71">
        <f t="shared" si="3"/>
        <v>8.70491711469534</v>
      </c>
      <c r="R40" s="130"/>
    </row>
    <row r="41" spans="1:18" ht="12.75" customHeight="1" thickTop="1">
      <c r="A41" t="s">
        <v>104</v>
      </c>
      <c r="B41" s="128">
        <f>SUM(B23:B40)</f>
        <v>2938.0804975242017</v>
      </c>
      <c r="C41" s="85">
        <f>SUM(C23:C40)</f>
        <v>5839.5</v>
      </c>
      <c r="D41" s="85">
        <f>SUM(D23:D40)</f>
        <v>4637.25</v>
      </c>
      <c r="E41" s="85">
        <f>SUM(E23:E40)</f>
        <v>3813.0455407969644</v>
      </c>
      <c r="F41" s="132">
        <f>SUM(F23:F40)</f>
        <v>146.65559772296012</v>
      </c>
      <c r="G41" s="79"/>
      <c r="H41" s="128">
        <f>SUM(H23:H40)</f>
        <v>1530</v>
      </c>
      <c r="I41" s="85">
        <f>SUM(I23:I40)</f>
        <v>0</v>
      </c>
      <c r="J41" s="85">
        <f aca="true" t="shared" si="14" ref="J41:P41">SUM(J23:J40)</f>
        <v>1530</v>
      </c>
      <c r="K41" s="85">
        <f>SUM(K23:K40)</f>
        <v>1647.75</v>
      </c>
      <c r="L41" s="85">
        <f t="shared" si="14"/>
        <v>765</v>
      </c>
      <c r="M41" s="85">
        <f t="shared" si="14"/>
        <v>765</v>
      </c>
      <c r="N41" s="85">
        <f t="shared" si="14"/>
        <v>589.8861480075902</v>
      </c>
      <c r="O41" s="85">
        <f t="shared" si="14"/>
        <v>52.11100569259963</v>
      </c>
      <c r="P41" s="85">
        <f t="shared" si="14"/>
        <v>1647.7500000000005</v>
      </c>
      <c r="Q41" s="36">
        <f>SUM(Q23:Q40)</f>
        <v>-283.41397849462373</v>
      </c>
      <c r="R41" s="36">
        <f>SUM(R23:R40)</f>
        <v>828.75</v>
      </c>
    </row>
    <row r="42" spans="2:18" ht="12.75" customHeight="1">
      <c r="B42" s="79"/>
      <c r="C42" s="9" t="s">
        <v>147</v>
      </c>
      <c r="D42" s="85">
        <f>NPV(O42,D24:D39)</f>
        <v>2509.01384092669</v>
      </c>
      <c r="E42" s="3"/>
      <c r="F42" s="80"/>
      <c r="G42" s="79"/>
      <c r="H42" s="79"/>
      <c r="I42" s="85"/>
      <c r="J42" s="85"/>
      <c r="K42" s="85">
        <f>6*Q69+M41</f>
        <v>1647.75</v>
      </c>
      <c r="L42" s="3"/>
      <c r="M42" s="411" t="s">
        <v>77</v>
      </c>
      <c r="N42" s="412"/>
      <c r="O42" s="64">
        <v>0.07</v>
      </c>
      <c r="P42" s="65">
        <f>NPV(O42,P24:P39)</f>
        <v>1012.1947018684966</v>
      </c>
      <c r="Q42" s="66">
        <f>NPV($O$42,Q24:Q39)</f>
        <v>-305.27420066624705</v>
      </c>
      <c r="R42" s="66">
        <f>NPV($O$42,R24:R39)</f>
        <v>596.542750393103</v>
      </c>
    </row>
    <row r="43" spans="1:17" ht="12.75" customHeight="1">
      <c r="A43" t="s">
        <v>114</v>
      </c>
      <c r="B43" s="95"/>
      <c r="C43" s="120"/>
      <c r="D43" s="86">
        <f>E43+F43</f>
        <v>4637.25</v>
      </c>
      <c r="E43" s="86">
        <f>E41</f>
        <v>3813.0455407969644</v>
      </c>
      <c r="F43" s="133">
        <f>F41*C15</f>
        <v>824.2044592030359</v>
      </c>
      <c r="G43" s="95"/>
      <c r="H43" s="138"/>
      <c r="I43" s="135"/>
      <c r="J43" s="86">
        <f>H41+I41</f>
        <v>1530</v>
      </c>
      <c r="K43" s="86">
        <f>M43+N43+O43</f>
        <v>1647.7500000000002</v>
      </c>
      <c r="L43" s="120"/>
      <c r="M43" s="86">
        <f>M41</f>
        <v>765</v>
      </c>
      <c r="N43" s="86">
        <f>N41</f>
        <v>589.8861480075902</v>
      </c>
      <c r="O43" s="136">
        <f>O41*C15</f>
        <v>292.86385199240993</v>
      </c>
      <c r="P43" s="120"/>
      <c r="Q43" s="137"/>
    </row>
    <row r="44" spans="13:17" ht="6" customHeight="1">
      <c r="M44" s="3"/>
      <c r="N44" s="42"/>
      <c r="O44" s="42"/>
      <c r="P44" s="32"/>
      <c r="Q44" s="61"/>
    </row>
    <row r="45" spans="2:17" ht="13.5" customHeight="1">
      <c r="B45" s="422" t="s">
        <v>141</v>
      </c>
      <c r="C45" s="390"/>
      <c r="D45" s="390"/>
      <c r="E45" s="390"/>
      <c r="F45" s="391"/>
      <c r="I45" s="1" t="s">
        <v>296</v>
      </c>
      <c r="M45" s="3"/>
      <c r="N45" s="42"/>
      <c r="O45" s="42"/>
      <c r="P45" s="32"/>
      <c r="Q45" s="61"/>
    </row>
    <row r="46" spans="2:18" ht="12.75" customHeight="1">
      <c r="B46" s="139" t="s">
        <v>120</v>
      </c>
      <c r="C46" s="9" t="s">
        <v>121</v>
      </c>
      <c r="D46" s="9" t="s">
        <v>122</v>
      </c>
      <c r="E46" s="140" t="s">
        <v>123</v>
      </c>
      <c r="F46" s="1" t="s">
        <v>146</v>
      </c>
      <c r="H46" s="1" t="s">
        <v>294</v>
      </c>
      <c r="I46" s="294" t="s">
        <v>278</v>
      </c>
      <c r="J46" s="208" t="s">
        <v>295</v>
      </c>
      <c r="K46" s="167" t="s">
        <v>151</v>
      </c>
      <c r="L46" s="127"/>
      <c r="M46" s="84"/>
      <c r="N46" s="84"/>
      <c r="O46" s="84"/>
      <c r="Q46" s="168">
        <f>P41/J41</f>
        <v>1.0769607843137259</v>
      </c>
      <c r="R46" s="32"/>
    </row>
    <row r="47" spans="2:18" ht="12.75" customHeight="1" thickBot="1">
      <c r="B47" s="413" t="s">
        <v>109</v>
      </c>
      <c r="C47" s="408"/>
      <c r="D47" s="408"/>
      <c r="E47" s="407" t="s">
        <v>282</v>
      </c>
      <c r="F47" s="407"/>
      <c r="H47" s="9" t="s">
        <v>125</v>
      </c>
      <c r="I47" s="294" t="s">
        <v>280</v>
      </c>
      <c r="J47" s="28" t="s">
        <v>145</v>
      </c>
      <c r="R47" s="298">
        <v>37711</v>
      </c>
    </row>
    <row r="48" spans="2:18" ht="12.75" customHeight="1" thickBot="1">
      <c r="B48" s="81" t="s">
        <v>115</v>
      </c>
      <c r="C48" s="73" t="s">
        <v>107</v>
      </c>
      <c r="D48" s="73" t="s">
        <v>108</v>
      </c>
      <c r="E48" s="73" t="s">
        <v>283</v>
      </c>
      <c r="F48" s="73" t="s">
        <v>127</v>
      </c>
      <c r="H48" s="73" t="s">
        <v>281</v>
      </c>
      <c r="I48" s="73" t="s">
        <v>284</v>
      </c>
      <c r="J48" s="142" t="s">
        <v>360</v>
      </c>
      <c r="K48" s="414" t="s">
        <v>79</v>
      </c>
      <c r="L48" s="415"/>
      <c r="M48" s="415"/>
      <c r="N48" s="415"/>
      <c r="O48" s="415"/>
      <c r="P48" s="416"/>
      <c r="R48" s="42"/>
    </row>
    <row r="49" spans="1:18" ht="12.75" customHeight="1" thickBot="1" thickTop="1">
      <c r="A49" s="23" t="s">
        <v>40</v>
      </c>
      <c r="B49" s="109" t="s">
        <v>3</v>
      </c>
      <c r="C49" s="101" t="s">
        <v>3</v>
      </c>
      <c r="D49" s="101" t="s">
        <v>3</v>
      </c>
      <c r="E49" s="101" t="s">
        <v>3</v>
      </c>
      <c r="F49" s="101" t="s">
        <v>181</v>
      </c>
      <c r="H49" s="101" t="s">
        <v>3</v>
      </c>
      <c r="I49" s="26" t="s">
        <v>44</v>
      </c>
      <c r="J49" s="26" t="s">
        <v>44</v>
      </c>
      <c r="K49" s="2"/>
      <c r="L49" s="3"/>
      <c r="M49" s="3"/>
      <c r="N49" s="3"/>
      <c r="O49" s="48" t="s">
        <v>67</v>
      </c>
      <c r="P49" s="49" t="s">
        <v>68</v>
      </c>
      <c r="R49" s="42"/>
    </row>
    <row r="50" spans="1:18" ht="12.75" customHeight="1">
      <c r="A50" s="1">
        <v>2003</v>
      </c>
      <c r="B50" s="14">
        <f aca="true" t="shared" si="15" ref="B50:B67">E23</f>
        <v>0</v>
      </c>
      <c r="C50" s="42">
        <f aca="true" t="shared" si="16" ref="C50:C67">E23+M23+N23</f>
        <v>0</v>
      </c>
      <c r="D50" s="42">
        <f aca="true" t="shared" si="17" ref="D50:D62">C50-E23</f>
        <v>0</v>
      </c>
      <c r="E50" s="22">
        <f>$E$8*D50</f>
        <v>0</v>
      </c>
      <c r="F50" s="1">
        <f aca="true" t="shared" si="18" ref="F50:F67">($D$9*(E50/H50))/$D$6</f>
        <v>0</v>
      </c>
      <c r="H50" s="85">
        <f>22920+2*($H$52-22920)/4</f>
        <v>23635</v>
      </c>
      <c r="I50" s="67">
        <f>H50*-F50</f>
        <v>0</v>
      </c>
      <c r="J50" s="36">
        <f aca="true" t="shared" si="19" ref="J50:J66">E50*$I$15/2</f>
        <v>0</v>
      </c>
      <c r="K50" s="2" t="s">
        <v>69</v>
      </c>
      <c r="L50" s="3"/>
      <c r="M50" s="3"/>
      <c r="N50" s="3"/>
      <c r="O50" s="50" t="s">
        <v>70</v>
      </c>
      <c r="P50" s="51" t="s">
        <v>71</v>
      </c>
      <c r="R50" s="42"/>
    </row>
    <row r="51" spans="1:18" ht="12.75">
      <c r="A51" s="1">
        <v>2004</v>
      </c>
      <c r="B51" s="34">
        <f t="shared" si="15"/>
        <v>47.07463630613536</v>
      </c>
      <c r="C51" s="42">
        <f t="shared" si="16"/>
        <v>78.94963630613536</v>
      </c>
      <c r="D51" s="42">
        <f t="shared" si="17"/>
        <v>31.875</v>
      </c>
      <c r="E51" s="22">
        <f>$E$8*D51</f>
        <v>12.590625000000001</v>
      </c>
      <c r="F51" s="300">
        <f t="shared" si="18"/>
        <v>-0.0025509816435691714</v>
      </c>
      <c r="H51" s="85">
        <f>22920+3*($H$52-22920)/4</f>
        <v>23992.5</v>
      </c>
      <c r="I51" s="67">
        <f aca="true" t="shared" si="20" ref="I51:I67">H51*-F51</f>
        <v>61.20442708333334</v>
      </c>
      <c r="J51" s="36">
        <f t="shared" si="19"/>
        <v>3.4099609375</v>
      </c>
      <c r="K51" s="2" t="s">
        <v>72</v>
      </c>
      <c r="L51" s="3"/>
      <c r="M51" s="3"/>
      <c r="N51" s="3"/>
      <c r="O51" s="9">
        <f>(O11*O12)/1000</f>
        <v>0.252</v>
      </c>
      <c r="P51" s="40">
        <f>(Q11*Q12)/1000</f>
        <v>0.0915</v>
      </c>
      <c r="R51" s="42"/>
    </row>
    <row r="52" spans="1:18" ht="12.75">
      <c r="A52" s="1">
        <v>2005</v>
      </c>
      <c r="B52" s="34">
        <f t="shared" si="15"/>
        <v>94.14927261227072</v>
      </c>
      <c r="C52" s="42">
        <f t="shared" si="16"/>
        <v>157.89927261227072</v>
      </c>
      <c r="D52" s="42">
        <f t="shared" si="17"/>
        <v>63.75</v>
      </c>
      <c r="E52" s="22">
        <f>$E$8*D52</f>
        <v>25.181250000000002</v>
      </c>
      <c r="F52" s="300">
        <f t="shared" si="18"/>
        <v>-0.005027057665982205</v>
      </c>
      <c r="H52" s="85">
        <f>24.35*1000</f>
        <v>24350</v>
      </c>
      <c r="I52" s="67">
        <f t="shared" si="20"/>
        <v>122.40885416666669</v>
      </c>
      <c r="J52" s="36">
        <f t="shared" si="19"/>
        <v>6.819921875</v>
      </c>
      <c r="K52" s="2" t="s">
        <v>73</v>
      </c>
      <c r="L52" s="3"/>
      <c r="M52" s="3"/>
      <c r="N52" s="9">
        <v>6</v>
      </c>
      <c r="O52" s="22">
        <f>O51*N52</f>
        <v>1.512</v>
      </c>
      <c r="P52" s="53">
        <f>P51*N52</f>
        <v>0.5489999999999999</v>
      </c>
      <c r="R52" s="42"/>
    </row>
    <row r="53" spans="1:18" ht="12.75">
      <c r="A53" s="1">
        <v>2006</v>
      </c>
      <c r="B53" s="34">
        <f t="shared" si="15"/>
        <v>141.22390891840607</v>
      </c>
      <c r="C53" s="42">
        <f t="shared" si="16"/>
        <v>236.84890891840607</v>
      </c>
      <c r="D53" s="42">
        <f t="shared" si="17"/>
        <v>95.625</v>
      </c>
      <c r="E53" s="22">
        <f aca="true" t="shared" si="21" ref="E53:E67">$E$8*D53</f>
        <v>37.771875</v>
      </c>
      <c r="F53" s="300">
        <f t="shared" si="18"/>
        <v>-0.007385298095487089</v>
      </c>
      <c r="H53" s="85">
        <f>$H$52+($H$57-$H$52)/5</f>
        <v>24862</v>
      </c>
      <c r="I53" s="67">
        <f t="shared" si="20"/>
        <v>183.61328125</v>
      </c>
      <c r="J53" s="36">
        <f t="shared" si="19"/>
        <v>10.2298828125</v>
      </c>
      <c r="K53" s="8" t="s">
        <v>74</v>
      </c>
      <c r="L53" s="9"/>
      <c r="M53" s="3"/>
      <c r="N53" s="3"/>
      <c r="O53" s="54">
        <f>O51+((P11-O11)*P12)/1000</f>
        <v>0.525</v>
      </c>
      <c r="P53" s="55">
        <f>P51+((R11-Q11)*R12)/1000</f>
        <v>0.23745</v>
      </c>
      <c r="R53" s="42"/>
    </row>
    <row r="54" spans="1:18" ht="12.75">
      <c r="A54" s="1">
        <v>2007</v>
      </c>
      <c r="B54" s="34">
        <f t="shared" si="15"/>
        <v>188.29854522454144</v>
      </c>
      <c r="C54" s="42">
        <f t="shared" si="16"/>
        <v>315.79854522454144</v>
      </c>
      <c r="D54" s="42">
        <f t="shared" si="17"/>
        <v>127.5</v>
      </c>
      <c r="E54" s="22">
        <f t="shared" si="21"/>
        <v>50.362500000000004</v>
      </c>
      <c r="F54" s="300">
        <f t="shared" si="18"/>
        <v>-0.009648368737027405</v>
      </c>
      <c r="H54" s="85">
        <f>$H$52+2*($H$57-$H$52)/5</f>
        <v>25374</v>
      </c>
      <c r="I54" s="67">
        <f t="shared" si="20"/>
        <v>244.81770833333337</v>
      </c>
      <c r="J54" s="36">
        <f t="shared" si="19"/>
        <v>13.63984375</v>
      </c>
      <c r="K54" s="2" t="s">
        <v>73</v>
      </c>
      <c r="L54" s="3"/>
      <c r="M54" s="3"/>
      <c r="N54" s="9">
        <f>N52</f>
        <v>6</v>
      </c>
      <c r="O54" s="22">
        <f>O53*N54</f>
        <v>3.1500000000000004</v>
      </c>
      <c r="P54" s="53">
        <f>P53*N54</f>
        <v>1.4247</v>
      </c>
      <c r="R54" s="42"/>
    </row>
    <row r="55" spans="1:18" ht="12.75">
      <c r="A55" s="1">
        <v>2008</v>
      </c>
      <c r="B55" s="34">
        <f t="shared" si="15"/>
        <v>235.3731815306768</v>
      </c>
      <c r="C55" s="42">
        <f t="shared" si="16"/>
        <v>375.16247628083494</v>
      </c>
      <c r="D55" s="42">
        <f t="shared" si="17"/>
        <v>139.78929475015815</v>
      </c>
      <c r="E55" s="22">
        <f t="shared" si="21"/>
        <v>55.21677142631247</v>
      </c>
      <c r="F55" s="300">
        <f t="shared" si="18"/>
        <v>-0.010369113076571509</v>
      </c>
      <c r="H55" s="85">
        <f>$H$52+3*($H$57-$H$52)/5</f>
        <v>25886</v>
      </c>
      <c r="I55" s="67">
        <f t="shared" si="20"/>
        <v>268.41486110013005</v>
      </c>
      <c r="J55" s="36">
        <f t="shared" si="19"/>
        <v>14.954542261292959</v>
      </c>
      <c r="K55" s="2" t="s">
        <v>197</v>
      </c>
      <c r="L55" s="3"/>
      <c r="M55" s="3"/>
      <c r="N55" s="3"/>
      <c r="O55" s="22">
        <f>O54-O52</f>
        <v>1.6380000000000003</v>
      </c>
      <c r="P55" s="53">
        <f>P54-P52</f>
        <v>0.8757000000000001</v>
      </c>
      <c r="R55" s="42"/>
    </row>
    <row r="56" spans="1:18" ht="12.75">
      <c r="A56" s="1">
        <v>2009</v>
      </c>
      <c r="B56" s="34">
        <f t="shared" si="15"/>
        <v>282.44781783681213</v>
      </c>
      <c r="C56" s="42">
        <f t="shared" si="16"/>
        <v>434.5264073371284</v>
      </c>
      <c r="D56" s="42">
        <f t="shared" si="17"/>
        <v>152.07858950031624</v>
      </c>
      <c r="E56" s="22">
        <f t="shared" si="21"/>
        <v>60.07104285262492</v>
      </c>
      <c r="F56" s="300">
        <f t="shared" si="18"/>
        <v>-0.011061899153986162</v>
      </c>
      <c r="H56" s="85">
        <f>$H$52+4*($H$57-$H$52)/5</f>
        <v>26398</v>
      </c>
      <c r="I56" s="67">
        <f t="shared" si="20"/>
        <v>292.01201386692674</v>
      </c>
      <c r="J56" s="36">
        <f t="shared" si="19"/>
        <v>16.269240772585913</v>
      </c>
      <c r="K56" s="2" t="s">
        <v>76</v>
      </c>
      <c r="L56" s="3"/>
      <c r="M56" s="3"/>
      <c r="N56" s="3"/>
      <c r="O56" s="3"/>
      <c r="P56" s="53">
        <f>(O54+P54)</f>
        <v>4.5747</v>
      </c>
      <c r="R56" s="42"/>
    </row>
    <row r="57" spans="1:18" ht="13.5" thickBot="1">
      <c r="A57" s="1">
        <v>2010</v>
      </c>
      <c r="B57" s="34">
        <f t="shared" si="15"/>
        <v>282.44781783681213</v>
      </c>
      <c r="C57" s="42">
        <f t="shared" si="16"/>
        <v>414.9407020872865</v>
      </c>
      <c r="D57" s="42">
        <f t="shared" si="17"/>
        <v>132.4928842504744</v>
      </c>
      <c r="E57" s="22">
        <f t="shared" si="21"/>
        <v>52.33468927893739</v>
      </c>
      <c r="F57" s="300">
        <f t="shared" si="18"/>
        <v>-0.009453910797115946</v>
      </c>
      <c r="H57" s="85">
        <f>26.91*1000</f>
        <v>26910</v>
      </c>
      <c r="I57" s="67">
        <f t="shared" si="20"/>
        <v>254.4047395503901</v>
      </c>
      <c r="J57" s="36">
        <f t="shared" si="19"/>
        <v>14.173978346378876</v>
      </c>
      <c r="K57" s="11" t="s">
        <v>178</v>
      </c>
      <c r="L57" s="12"/>
      <c r="M57" s="12"/>
      <c r="N57" s="12"/>
      <c r="O57" s="12"/>
      <c r="P57" s="62">
        <f>(O55+P55)</f>
        <v>2.5137000000000005</v>
      </c>
      <c r="R57" s="42"/>
    </row>
    <row r="58" spans="1:18" ht="13.5" thickBot="1">
      <c r="A58" s="1">
        <v>2011</v>
      </c>
      <c r="B58" s="34">
        <f t="shared" si="15"/>
        <v>282.44781783681213</v>
      </c>
      <c r="C58" s="42">
        <f t="shared" si="16"/>
        <v>395.3549968374447</v>
      </c>
      <c r="D58" s="42">
        <f t="shared" si="17"/>
        <v>112.90717900063254</v>
      </c>
      <c r="E58" s="22">
        <f t="shared" si="21"/>
        <v>44.59833570524985</v>
      </c>
      <c r="F58" s="300">
        <f t="shared" si="18"/>
        <v>-0.007913182656270886</v>
      </c>
      <c r="H58" s="85">
        <f>$H$57+($H$62-$H$57)/5</f>
        <v>27397</v>
      </c>
      <c r="I58" s="67">
        <f t="shared" si="20"/>
        <v>216.79746523385347</v>
      </c>
      <c r="J58" s="36">
        <f t="shared" si="19"/>
        <v>12.078715920171835</v>
      </c>
      <c r="O58" s="3"/>
      <c r="P58" s="42"/>
      <c r="R58" s="42"/>
    </row>
    <row r="59" spans="1:18" ht="15">
      <c r="A59" s="1">
        <v>2012</v>
      </c>
      <c r="B59" s="34">
        <f t="shared" si="15"/>
        <v>282.44781783681213</v>
      </c>
      <c r="C59" s="42">
        <f t="shared" si="16"/>
        <v>375.76929158760277</v>
      </c>
      <c r="D59" s="42">
        <f t="shared" si="17"/>
        <v>93.32147375079063</v>
      </c>
      <c r="E59" s="22">
        <f t="shared" si="21"/>
        <v>36.8619821315623</v>
      </c>
      <c r="F59" s="300">
        <f t="shared" si="18"/>
        <v>-0.0064262728058139705</v>
      </c>
      <c r="H59" s="85">
        <f>$H$57+2*($H$62-$H$57)/5</f>
        <v>27884</v>
      </c>
      <c r="I59" s="67">
        <f t="shared" si="20"/>
        <v>179.19019091731676</v>
      </c>
      <c r="J59" s="36">
        <f t="shared" si="19"/>
        <v>9.983453493964788</v>
      </c>
      <c r="K59" s="417" t="s">
        <v>1</v>
      </c>
      <c r="L59" s="418"/>
      <c r="M59" s="418"/>
      <c r="N59" s="418"/>
      <c r="O59" s="418"/>
      <c r="P59" s="418"/>
      <c r="Q59" s="418"/>
      <c r="R59" s="419"/>
    </row>
    <row r="60" spans="1:18" ht="12.75">
      <c r="A60" s="1">
        <v>2013</v>
      </c>
      <c r="B60" s="34">
        <f t="shared" si="15"/>
        <v>282.44781783681213</v>
      </c>
      <c r="C60" s="42">
        <f t="shared" si="16"/>
        <v>356.1835863377609</v>
      </c>
      <c r="D60" s="42">
        <f t="shared" si="17"/>
        <v>73.73576850094878</v>
      </c>
      <c r="E60" s="22">
        <f t="shared" si="21"/>
        <v>29.12562855787477</v>
      </c>
      <c r="F60" s="300">
        <f t="shared" si="18"/>
        <v>-0.004990409805815097</v>
      </c>
      <c r="H60" s="85">
        <f>$H$57+3*($H$62-$H$57)/5</f>
        <v>28371</v>
      </c>
      <c r="I60" s="67">
        <f t="shared" si="20"/>
        <v>141.58291660078012</v>
      </c>
      <c r="J60" s="36">
        <f t="shared" si="19"/>
        <v>7.88819106775775</v>
      </c>
      <c r="K60" s="2" t="s">
        <v>2</v>
      </c>
      <c r="L60" s="3"/>
      <c r="M60" s="3"/>
      <c r="N60" s="3"/>
      <c r="O60" s="3"/>
      <c r="P60" s="3"/>
      <c r="Q60" s="3">
        <f>(O11*I5)+(Q11*I6)</f>
        <v>255</v>
      </c>
      <c r="R60" s="4" t="s">
        <v>3</v>
      </c>
    </row>
    <row r="61" spans="1:18" ht="12.75">
      <c r="A61" s="1">
        <v>2014</v>
      </c>
      <c r="B61" s="34">
        <f t="shared" si="15"/>
        <v>282.44781783681213</v>
      </c>
      <c r="C61" s="42">
        <f t="shared" si="16"/>
        <v>356.1835863377609</v>
      </c>
      <c r="D61" s="42">
        <f t="shared" si="17"/>
        <v>73.73576850094878</v>
      </c>
      <c r="E61" s="22">
        <f t="shared" si="21"/>
        <v>29.12562855787477</v>
      </c>
      <c r="F61" s="300">
        <f t="shared" si="18"/>
        <v>-0.004906192965582512</v>
      </c>
      <c r="H61" s="85">
        <f>$H$57+4*($H$62-$H$57)/5</f>
        <v>28858</v>
      </c>
      <c r="I61" s="67">
        <f t="shared" si="20"/>
        <v>141.58291660078012</v>
      </c>
      <c r="J61" s="36">
        <f t="shared" si="19"/>
        <v>7.88819106775775</v>
      </c>
      <c r="K61" s="2" t="s">
        <v>116</v>
      </c>
      <c r="L61" s="3"/>
      <c r="M61" s="3"/>
      <c r="N61" s="3"/>
      <c r="O61" s="3"/>
      <c r="P61" s="3"/>
      <c r="Q61" s="5">
        <f>R15*I7</f>
        <v>0</v>
      </c>
      <c r="R61" s="4" t="s">
        <v>3</v>
      </c>
    </row>
    <row r="62" spans="1:18" ht="12.75">
      <c r="A62" s="1">
        <v>2015</v>
      </c>
      <c r="B62" s="34">
        <f t="shared" si="15"/>
        <v>282.44781783681213</v>
      </c>
      <c r="C62" s="42">
        <f t="shared" si="16"/>
        <v>356.1835863377609</v>
      </c>
      <c r="D62" s="42">
        <f t="shared" si="17"/>
        <v>73.73576850094878</v>
      </c>
      <c r="E62" s="22">
        <f t="shared" si="21"/>
        <v>29.12562855787477</v>
      </c>
      <c r="F62" s="300">
        <f t="shared" si="18"/>
        <v>-0.0048247713954942964</v>
      </c>
      <c r="H62" s="85">
        <f>29.345*1000</f>
        <v>29345</v>
      </c>
      <c r="I62" s="67">
        <f t="shared" si="20"/>
        <v>141.58291660078012</v>
      </c>
      <c r="J62" s="36">
        <f t="shared" si="19"/>
        <v>7.88819106775775</v>
      </c>
      <c r="K62" s="2" t="s">
        <v>351</v>
      </c>
      <c r="L62" s="3"/>
      <c r="M62" s="3"/>
      <c r="N62" s="3"/>
      <c r="O62" s="3"/>
      <c r="P62" s="3"/>
      <c r="Q62" s="5">
        <f>(O53-O51+P53-P51)*1000</f>
        <v>418.95000000000005</v>
      </c>
      <c r="R62" s="4" t="s">
        <v>8</v>
      </c>
    </row>
    <row r="63" spans="1:18" ht="12.75">
      <c r="A63" s="1">
        <v>2016</v>
      </c>
      <c r="B63" s="34">
        <f t="shared" si="15"/>
        <v>282.44781783681213</v>
      </c>
      <c r="C63" s="42">
        <f t="shared" si="16"/>
        <v>343.89429158760277</v>
      </c>
      <c r="D63" s="42">
        <f>C63-B63</f>
        <v>61.44647375079063</v>
      </c>
      <c r="E63" s="22">
        <f t="shared" si="21"/>
        <v>24.2713571315623</v>
      </c>
      <c r="F63" s="300">
        <f t="shared" si="18"/>
        <v>-0.003949710894281716</v>
      </c>
      <c r="H63" s="85">
        <f>$H$62+($H$67-$H$62)/5</f>
        <v>29872</v>
      </c>
      <c r="I63" s="67">
        <f t="shared" si="20"/>
        <v>117.98576383398341</v>
      </c>
      <c r="J63" s="36">
        <f t="shared" si="19"/>
        <v>6.57349255646479</v>
      </c>
      <c r="K63" s="2" t="s">
        <v>352</v>
      </c>
      <c r="L63" s="3"/>
      <c r="M63" s="3"/>
      <c r="N63" s="9"/>
      <c r="O63" s="9"/>
      <c r="P63" s="9"/>
      <c r="Q63" s="103">
        <f>((($P$11-$O$11))*$I$5)+(($R$11-$Q$11)*$I$6)</f>
        <v>127.5</v>
      </c>
      <c r="R63" s="4" t="s">
        <v>3</v>
      </c>
    </row>
    <row r="64" spans="1:18" ht="12.75">
      <c r="A64" s="1">
        <v>2017</v>
      </c>
      <c r="B64" s="34">
        <f t="shared" si="15"/>
        <v>282.44781783681213</v>
      </c>
      <c r="C64" s="42">
        <f t="shared" si="16"/>
        <v>331.6049968374447</v>
      </c>
      <c r="D64" s="42">
        <f>C64-B64</f>
        <v>49.15717900063254</v>
      </c>
      <c r="E64" s="22">
        <f t="shared" si="21"/>
        <v>19.417085705249853</v>
      </c>
      <c r="F64" s="300">
        <f t="shared" si="18"/>
        <v>-0.0031049906597975852</v>
      </c>
      <c r="H64" s="85">
        <f>$H$62+2*($H$67-$H$62)/5</f>
        <v>30399</v>
      </c>
      <c r="I64" s="67">
        <f t="shared" si="20"/>
        <v>94.38861106718679</v>
      </c>
      <c r="J64" s="36">
        <f t="shared" si="19"/>
        <v>5.258794045171835</v>
      </c>
      <c r="K64" s="2" t="s">
        <v>354</v>
      </c>
      <c r="L64" s="3"/>
      <c r="M64" s="3"/>
      <c r="N64" s="3"/>
      <c r="O64" s="115">
        <f>1/2</f>
        <v>0.5</v>
      </c>
      <c r="P64" s="105">
        <v>60</v>
      </c>
      <c r="Q64" s="22">
        <f>(($O$64*($P$11-$O$11)*$P$64))</f>
        <v>180</v>
      </c>
      <c r="R64" s="4" t="s">
        <v>8</v>
      </c>
    </row>
    <row r="65" spans="1:18" ht="12.75">
      <c r="A65" s="1">
        <v>2018</v>
      </c>
      <c r="B65" s="34">
        <f t="shared" si="15"/>
        <v>282.44781783681213</v>
      </c>
      <c r="C65" s="42">
        <f t="shared" si="16"/>
        <v>319.3157020872865</v>
      </c>
      <c r="D65" s="42">
        <f>C65-B65</f>
        <v>36.86788425047439</v>
      </c>
      <c r="E65" s="22">
        <f t="shared" si="21"/>
        <v>14.562814278937385</v>
      </c>
      <c r="F65" s="300">
        <f t="shared" si="18"/>
        <v>-0.0022890596359176766</v>
      </c>
      <c r="H65" s="85">
        <f>$H$62+3*($H$67-$H$62)/5</f>
        <v>30926</v>
      </c>
      <c r="I65" s="67">
        <f t="shared" si="20"/>
        <v>70.79145830039006</v>
      </c>
      <c r="J65" s="36">
        <f t="shared" si="19"/>
        <v>3.944095533878875</v>
      </c>
      <c r="K65" s="6" t="s">
        <v>355</v>
      </c>
      <c r="L65" s="3"/>
      <c r="M65" s="3"/>
      <c r="N65" s="3"/>
      <c r="O65" s="115">
        <f>1/4</f>
        <v>0.25</v>
      </c>
      <c r="P65" s="3"/>
      <c r="Q65" s="22">
        <f>($O$65*($R$11-$Q$11)*$R$12)</f>
        <v>36.4875</v>
      </c>
      <c r="R65" s="4" t="s">
        <v>8</v>
      </c>
    </row>
    <row r="66" spans="1:18" ht="12.75">
      <c r="A66" s="1">
        <v>2019</v>
      </c>
      <c r="B66" s="34">
        <f t="shared" si="15"/>
        <v>282.44781783681213</v>
      </c>
      <c r="C66" s="42">
        <f t="shared" si="16"/>
        <v>307.0264073371284</v>
      </c>
      <c r="D66" s="42">
        <f>C66-B66</f>
        <v>24.57858950031624</v>
      </c>
      <c r="E66" s="22">
        <f t="shared" si="21"/>
        <v>9.708542852624916</v>
      </c>
      <c r="F66" s="300">
        <f t="shared" si="18"/>
        <v>-0.0015004707192825275</v>
      </c>
      <c r="H66" s="85">
        <f>$H$62+4*($H$67-$H$62)/5</f>
        <v>31453</v>
      </c>
      <c r="I66" s="67">
        <f t="shared" si="20"/>
        <v>47.19430553359334</v>
      </c>
      <c r="J66" s="36">
        <f t="shared" si="19"/>
        <v>2.6293970225859145</v>
      </c>
      <c r="K66" s="6" t="s">
        <v>349</v>
      </c>
      <c r="L66" s="3"/>
      <c r="M66" s="3"/>
      <c r="N66" s="3"/>
      <c r="O66" s="115">
        <f>1-C13</f>
        <v>0.33365777618348746</v>
      </c>
      <c r="P66" s="3"/>
      <c r="Q66" s="22">
        <f>1/3*(($O$64*($P$11-$O$11)*$P$64)+($O$65*($R$11-$Q$11)*$R$12))</f>
        <v>72.1625</v>
      </c>
      <c r="R66" s="4" t="s">
        <v>8</v>
      </c>
    </row>
    <row r="67" spans="1:18" ht="13.5" thickBot="1">
      <c r="A67" s="1">
        <v>2020</v>
      </c>
      <c r="B67" s="102">
        <f t="shared" si="15"/>
        <v>0</v>
      </c>
      <c r="C67" s="58">
        <f t="shared" si="16"/>
        <v>12.289294750158128</v>
      </c>
      <c r="D67" s="58">
        <f>C67-B67</f>
        <v>12.289294750158128</v>
      </c>
      <c r="E67" s="163">
        <f t="shared" si="21"/>
        <v>4.854271426312461</v>
      </c>
      <c r="F67" s="301">
        <f t="shared" si="18"/>
        <v>-0.0007378721940836988</v>
      </c>
      <c r="H67" s="77">
        <v>31980</v>
      </c>
      <c r="I67" s="60">
        <f t="shared" si="20"/>
        <v>23.597152766796686</v>
      </c>
      <c r="J67" s="71">
        <f>(($D$9*AC40)*E67)/2</f>
        <v>0</v>
      </c>
      <c r="K67" s="6" t="s">
        <v>350</v>
      </c>
      <c r="L67" s="3"/>
      <c r="M67" s="3"/>
      <c r="N67" s="3"/>
      <c r="O67" s="3"/>
      <c r="P67" s="3"/>
      <c r="Q67" s="58">
        <f>(((P11-O11)*P12)-((1-O64)*(P11-O11)*P64))+((1-O65)*(R11-Q11)*R12)</f>
        <v>202.46249999999998</v>
      </c>
      <c r="R67" s="4" t="s">
        <v>8</v>
      </c>
    </row>
    <row r="68" spans="1:18" ht="13.5" thickTop="1">
      <c r="A68" t="s">
        <v>104</v>
      </c>
      <c r="B68" s="128">
        <f>SUM(B50:B67)</f>
        <v>3813.0455407969644</v>
      </c>
      <c r="C68" s="85">
        <f>SUM(C50:C67)</f>
        <v>5167.931688804553</v>
      </c>
      <c r="D68" s="85">
        <f>SUM(D50:D67)</f>
        <v>1354.8861480075902</v>
      </c>
      <c r="E68" s="3"/>
      <c r="I68" s="36">
        <f>SUM(I50:I67)</f>
        <v>2601.569582806241</v>
      </c>
      <c r="J68" s="36">
        <f>SUM(J50:J67)</f>
        <v>143.62989253076904</v>
      </c>
      <c r="K68" s="6" t="s">
        <v>353</v>
      </c>
      <c r="L68" s="3"/>
      <c r="M68" s="3"/>
      <c r="N68" s="3"/>
      <c r="O68" s="3"/>
      <c r="P68" s="3"/>
      <c r="Q68" s="7">
        <f>Q66+Q67</f>
        <v>274.625</v>
      </c>
      <c r="R68" s="4" t="s">
        <v>8</v>
      </c>
    </row>
    <row r="69" spans="2:18" ht="13.5" thickBot="1">
      <c r="B69" s="79"/>
      <c r="C69" s="42"/>
      <c r="D69" s="42"/>
      <c r="H69" s="9" t="s">
        <v>147</v>
      </c>
      <c r="I69" s="36">
        <f>NPV($O$42,I51:I66)</f>
        <v>1598.1155807972768</v>
      </c>
      <c r="J69" s="36">
        <f>NPV($O$42,J51:J66)</f>
        <v>89.0378680729911</v>
      </c>
      <c r="K69" s="11" t="s">
        <v>10</v>
      </c>
      <c r="L69" s="12"/>
      <c r="M69" s="12"/>
      <c r="N69" s="12"/>
      <c r="O69" s="12"/>
      <c r="P69" s="12"/>
      <c r="Q69" s="286">
        <f>Q68-Q63</f>
        <v>147.125</v>
      </c>
      <c r="R69" s="287" t="s">
        <v>8</v>
      </c>
    </row>
    <row r="70" spans="1:8" ht="12.75">
      <c r="A70" t="s">
        <v>114</v>
      </c>
      <c r="B70" s="95"/>
      <c r="C70" s="136"/>
      <c r="D70" s="86">
        <f>M41+N41</f>
        <v>1354.8861480075902</v>
      </c>
      <c r="E70" s="120"/>
      <c r="F70" s="120"/>
      <c r="H70" t="s">
        <v>264</v>
      </c>
    </row>
  </sheetData>
  <mergeCells count="19">
    <mergeCell ref="A1:R1"/>
    <mergeCell ref="A3:R3"/>
    <mergeCell ref="A4:E4"/>
    <mergeCell ref="F4:L4"/>
    <mergeCell ref="M4:R4"/>
    <mergeCell ref="O5:P5"/>
    <mergeCell ref="Q5:R5"/>
    <mergeCell ref="B18:F18"/>
    <mergeCell ref="H18:Q18"/>
    <mergeCell ref="C20:F20"/>
    <mergeCell ref="H20:I20"/>
    <mergeCell ref="N20:O20"/>
    <mergeCell ref="D21:E21"/>
    <mergeCell ref="K48:P48"/>
    <mergeCell ref="K59:R59"/>
    <mergeCell ref="M42:N42"/>
    <mergeCell ref="B45:F45"/>
    <mergeCell ref="B47:D47"/>
    <mergeCell ref="E47:F47"/>
  </mergeCells>
  <printOptions/>
  <pageMargins left="0.75" right="0.75" top="0.51" bottom="0.5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Q1"/>
    </sheetView>
  </sheetViews>
  <sheetFormatPr defaultColWidth="9.140625" defaultRowHeight="12.75"/>
  <cols>
    <col min="1" max="1" width="19.7109375" style="0" customWidth="1"/>
    <col min="2" max="2" width="11.7109375" style="0" customWidth="1"/>
    <col min="3" max="3" width="13.7109375" style="0" customWidth="1"/>
    <col min="4" max="5" width="13.7109375" style="0" hidden="1" customWidth="1"/>
    <col min="6" max="6" width="12.7109375" style="0" customWidth="1"/>
    <col min="7" max="7" width="5.7109375" style="0" hidden="1" customWidth="1"/>
    <col min="8" max="8" width="7.7109375" style="0" hidden="1" customWidth="1"/>
    <col min="9" max="9" width="2.7109375" style="0" customWidth="1"/>
    <col min="10" max="10" width="13.7109375" style="0" customWidth="1"/>
    <col min="11" max="12" width="11.7109375" style="0" customWidth="1"/>
    <col min="13" max="13" width="12.7109375" style="0" customWidth="1"/>
    <col min="14" max="14" width="11.7109375" style="0" customWidth="1"/>
    <col min="15" max="15" width="10.7109375" style="0" customWidth="1"/>
  </cols>
  <sheetData>
    <row r="1" spans="1:17" ht="23.25">
      <c r="A1" s="444" t="s">
        <v>205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ht="23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404">
        <v>37711</v>
      </c>
      <c r="Q2" s="404"/>
    </row>
    <row r="3" spans="1:17" ht="18">
      <c r="A3" s="334" t="s">
        <v>172</v>
      </c>
      <c r="B3" s="334"/>
      <c r="C3" s="334"/>
      <c r="D3" s="334"/>
      <c r="E3" s="334"/>
      <c r="F3" s="334"/>
      <c r="G3" s="322"/>
      <c r="I3" s="175"/>
      <c r="J3" s="321" t="s">
        <v>173</v>
      </c>
      <c r="K3" s="321"/>
      <c r="L3" s="321"/>
      <c r="M3" s="321"/>
      <c r="N3" s="321"/>
      <c r="O3" s="321"/>
      <c r="P3" s="321"/>
      <c r="Q3" s="321"/>
    </row>
    <row r="4" spans="1:17" ht="105" customHeight="1">
      <c r="A4" s="177" t="s">
        <v>155</v>
      </c>
      <c r="B4" s="373" t="s">
        <v>156</v>
      </c>
      <c r="C4" s="177" t="s">
        <v>157</v>
      </c>
      <c r="D4" s="177" t="s">
        <v>165</v>
      </c>
      <c r="E4" s="177" t="s">
        <v>166</v>
      </c>
      <c r="F4" s="177" t="s">
        <v>175</v>
      </c>
      <c r="G4" s="177" t="s">
        <v>158</v>
      </c>
      <c r="H4" s="177" t="s">
        <v>159</v>
      </c>
      <c r="I4" s="178"/>
      <c r="J4" s="236" t="s">
        <v>174</v>
      </c>
      <c r="K4" s="198" t="s">
        <v>179</v>
      </c>
      <c r="L4" s="199" t="s">
        <v>271</v>
      </c>
      <c r="M4" s="306" t="s">
        <v>285</v>
      </c>
      <c r="N4" s="199" t="s">
        <v>274</v>
      </c>
      <c r="O4" s="237" t="s">
        <v>362</v>
      </c>
      <c r="P4" s="237" t="s">
        <v>204</v>
      </c>
      <c r="Q4" s="237" t="s">
        <v>356</v>
      </c>
    </row>
    <row r="5" spans="1:17" ht="25.5">
      <c r="A5" s="180" t="s">
        <v>160</v>
      </c>
      <c r="B5" s="180" t="s">
        <v>161</v>
      </c>
      <c r="C5" s="180" t="s">
        <v>162</v>
      </c>
      <c r="D5" s="180"/>
      <c r="E5" s="180"/>
      <c r="F5" s="181">
        <f>12*21+3*30.5</f>
        <v>343.5</v>
      </c>
      <c r="G5" s="181">
        <f>343.5*C19</f>
        <v>0</v>
      </c>
      <c r="H5" s="181">
        <f>(343.5*((1-C19)/5.62))</f>
        <v>61.12099644128114</v>
      </c>
      <c r="I5" s="182"/>
      <c r="J5" s="292">
        <f>('15,25-5'!B68)/1000</f>
        <v>3.8130455407969643</v>
      </c>
      <c r="K5" s="183" t="s">
        <v>170</v>
      </c>
      <c r="L5" s="183" t="s">
        <v>170</v>
      </c>
      <c r="M5" s="183" t="s">
        <v>170</v>
      </c>
      <c r="N5" s="183" t="s">
        <v>170</v>
      </c>
      <c r="O5" s="183" t="s">
        <v>170</v>
      </c>
      <c r="P5" s="183" t="s">
        <v>170</v>
      </c>
      <c r="Q5" s="183" t="s">
        <v>170</v>
      </c>
    </row>
    <row r="6" spans="1:17" ht="79.5" customHeight="1">
      <c r="A6" s="180" t="s">
        <v>176</v>
      </c>
      <c r="B6" s="180" t="s">
        <v>275</v>
      </c>
      <c r="C6" s="180" t="s">
        <v>163</v>
      </c>
      <c r="D6" s="181">
        <f>'15,25-5'!Q67</f>
        <v>384.9</v>
      </c>
      <c r="E6" s="181">
        <f>'15,25-5'!Q66</f>
        <v>92.43333333333334</v>
      </c>
      <c r="F6" s="181">
        <f>D6+E6</f>
        <v>477.3333333333333</v>
      </c>
      <c r="G6" s="197">
        <f>$F$5+E6+F6</f>
        <v>913.2666666666667</v>
      </c>
      <c r="H6" s="202">
        <f>F6*(1-C19)/5.62</f>
        <v>84.93475682087781</v>
      </c>
      <c r="I6" s="203"/>
      <c r="J6" s="293">
        <f>('15,25-5'!D68)/1000</f>
        <v>2.354965211891208</v>
      </c>
      <c r="K6" s="205">
        <f>'15,25-5'!Q46</f>
        <v>1.3638095238095238</v>
      </c>
      <c r="L6" s="184">
        <f>'15,25-5'!Q42</f>
        <v>-267.3632924145818</v>
      </c>
      <c r="M6" s="308">
        <f>'15,25-5'!I69</f>
        <v>2740.3789219831715</v>
      </c>
      <c r="N6" s="308">
        <f>'15,25-5'!R42</f>
        <v>833.7978187966066</v>
      </c>
      <c r="O6" s="184">
        <f>'15,25-5'!J69</f>
        <v>152.67825422477668</v>
      </c>
      <c r="P6" s="183" t="s">
        <v>170</v>
      </c>
      <c r="Q6" s="183" t="s">
        <v>170</v>
      </c>
    </row>
    <row r="7" spans="1:15" ht="12.75">
      <c r="A7" s="218" t="s">
        <v>191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7" ht="25.5">
      <c r="A8" s="180" t="s">
        <v>297</v>
      </c>
      <c r="B8" s="180" t="s">
        <v>299</v>
      </c>
      <c r="C8" s="180" t="s">
        <v>162</v>
      </c>
      <c r="D8" s="372"/>
      <c r="E8" s="372"/>
      <c r="F8" s="181">
        <f>16*21+5.67*30.5</f>
        <v>508.935</v>
      </c>
      <c r="G8" s="179"/>
      <c r="H8" s="179"/>
      <c r="I8" s="179"/>
      <c r="J8" s="210">
        <f>F8*N19/1000</f>
        <v>5.649468216318787</v>
      </c>
      <c r="K8" s="183" t="s">
        <v>170</v>
      </c>
      <c r="L8" s="183" t="s">
        <v>170</v>
      </c>
      <c r="M8" s="183" t="s">
        <v>170</v>
      </c>
      <c r="N8" s="183" t="s">
        <v>170</v>
      </c>
      <c r="O8" s="183" t="s">
        <v>170</v>
      </c>
      <c r="P8" s="183" t="s">
        <v>170</v>
      </c>
      <c r="Q8" s="183" t="s">
        <v>170</v>
      </c>
    </row>
    <row r="9" spans="1:17" ht="38.25">
      <c r="A9" s="209" t="s">
        <v>192</v>
      </c>
      <c r="B9" s="281" t="s">
        <v>300</v>
      </c>
      <c r="C9" s="180" t="s">
        <v>163</v>
      </c>
      <c r="D9" s="181">
        <f>'$4.50 gas'!Q67</f>
        <v>393.48175</v>
      </c>
      <c r="E9" s="181">
        <f>'$4.50 gas'!Q66</f>
        <v>85.10908333333333</v>
      </c>
      <c r="F9" s="181">
        <f>Alternatives!D9+E9</f>
        <v>402.52158333333335</v>
      </c>
      <c r="G9" s="197">
        <f>Alternatives!$F$5+E9+F9</f>
        <v>831.1306666666667</v>
      </c>
      <c r="H9" s="181">
        <f>F9*(1-Alternatives!D19)/5.62</f>
        <v>12.729967847353997</v>
      </c>
      <c r="I9" s="179"/>
      <c r="J9" s="210">
        <f>'$4.50 gas'!D68/1000</f>
        <v>2.334884421779464</v>
      </c>
      <c r="K9" s="210">
        <f>'$4.50 gas'!Q46</f>
        <v>0.9261554587969681</v>
      </c>
      <c r="L9" s="184">
        <f>'$4.50 gas'!Q42</f>
        <v>-878.27782570108</v>
      </c>
      <c r="M9" s="291">
        <f>'$4.50 gas'!I69</f>
        <v>3440.958750220735</v>
      </c>
      <c r="N9" s="291">
        <f>'$4.50 gas'!R42</f>
        <v>1608.7381512137372</v>
      </c>
      <c r="O9" s="184">
        <f>'$4.50 gas'!J69</f>
        <v>194.98766251250825</v>
      </c>
      <c r="P9" s="235">
        <f>(4.5-3.5)/3.5</f>
        <v>0.2857142857142857</v>
      </c>
      <c r="Q9" s="235">
        <f>(O9-$O$6)/$O$6</f>
        <v>0.2771148288442087</v>
      </c>
    </row>
    <row r="10" spans="1:17" ht="25.5">
      <c r="A10" s="180" t="s">
        <v>298</v>
      </c>
      <c r="B10" s="281" t="s">
        <v>301</v>
      </c>
      <c r="C10" s="180" t="s">
        <v>162</v>
      </c>
      <c r="D10" s="181"/>
      <c r="E10" s="181"/>
      <c r="F10" s="181">
        <f>11*21+2.5*30.5</f>
        <v>307.25</v>
      </c>
      <c r="G10" s="197"/>
      <c r="H10" s="181"/>
      <c r="I10" s="179"/>
      <c r="J10" s="210">
        <f>F10*N19/1000</f>
        <v>3.41064990512334</v>
      </c>
      <c r="K10" s="183" t="s">
        <v>170</v>
      </c>
      <c r="L10" s="183" t="s">
        <v>170</v>
      </c>
      <c r="M10" s="183" t="s">
        <v>170</v>
      </c>
      <c r="N10" s="183" t="s">
        <v>170</v>
      </c>
      <c r="O10" s="183" t="s">
        <v>170</v>
      </c>
      <c r="P10" s="183" t="s">
        <v>170</v>
      </c>
      <c r="Q10" s="183" t="s">
        <v>170</v>
      </c>
    </row>
    <row r="11" spans="1:17" ht="38.25">
      <c r="A11" s="209" t="s">
        <v>193</v>
      </c>
      <c r="B11" s="281" t="s">
        <v>302</v>
      </c>
      <c r="C11" s="220" t="s">
        <v>163</v>
      </c>
      <c r="D11" s="222">
        <f>'EIA Prices'!Q67</f>
        <v>384.9</v>
      </c>
      <c r="E11" s="222">
        <f>'EIA Prices'!Q66</f>
        <v>92.43333333333334</v>
      </c>
      <c r="F11" s="222">
        <f>Alternatives!D8+E11</f>
        <v>446.3333333333333</v>
      </c>
      <c r="G11" s="223">
        <f>Alternatives!$F$5+E11+F11</f>
        <v>882.2666666666667</v>
      </c>
      <c r="H11" s="222">
        <f>F11*(1-Alternatives!D19)/5.62</f>
        <v>14.115538688593714</v>
      </c>
      <c r="I11" s="179"/>
      <c r="J11" s="282">
        <f>'EIA Prices'!D68/1000</f>
        <v>2.354965211891208</v>
      </c>
      <c r="K11" s="282">
        <f>'EIA Prices'!Q46</f>
        <v>1.5274666666666668</v>
      </c>
      <c r="L11" s="184">
        <f>'EIA Prices'!Q42</f>
        <v>-118.55690763148338</v>
      </c>
      <c r="M11" s="291">
        <f>'EIA Prices'!I69</f>
        <v>2238.3697968725364</v>
      </c>
      <c r="N11" s="291">
        <f>'EIA Prices'!R42</f>
        <v>630.0694586330429</v>
      </c>
      <c r="O11" s="184">
        <f>'EIA Prices'!J69</f>
        <v>134.30218781235217</v>
      </c>
      <c r="P11" s="235">
        <f>(2.9-3.25)/3.25</f>
        <v>-0.10769230769230773</v>
      </c>
      <c r="Q11" s="235">
        <f>(O11-$O$6)/$O$6</f>
        <v>-0.12035811193760973</v>
      </c>
    </row>
    <row r="13" ht="12.75">
      <c r="A13" s="187" t="s">
        <v>0</v>
      </c>
    </row>
    <row r="14" ht="12.75">
      <c r="A14" s="179" t="s">
        <v>182</v>
      </c>
    </row>
    <row r="15" ht="12.75">
      <c r="A15" s="179" t="s">
        <v>206</v>
      </c>
    </row>
    <row r="16" ht="12.75">
      <c r="A16" s="179" t="s">
        <v>183</v>
      </c>
    </row>
    <row r="17" ht="12.75">
      <c r="A17" s="224" t="s">
        <v>194</v>
      </c>
    </row>
    <row r="19" spans="1:14" ht="12.75">
      <c r="A19" t="s">
        <v>303</v>
      </c>
      <c r="N19" s="108">
        <f>J5*1000/F5</f>
        <v>11.10056925996205</v>
      </c>
    </row>
  </sheetData>
  <mergeCells count="2">
    <mergeCell ref="A1:Q1"/>
    <mergeCell ref="P2:Q2"/>
  </mergeCells>
  <printOptions/>
  <pageMargins left="0.54" right="0.52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frasers</dc:creator>
  <cp:keywords/>
  <dc:description/>
  <cp:lastModifiedBy>pickerib</cp:lastModifiedBy>
  <cp:lastPrinted>2003-03-31T16:07:04Z</cp:lastPrinted>
  <dcterms:created xsi:type="dcterms:W3CDTF">2002-11-22T17:52:14Z</dcterms:created>
  <dcterms:modified xsi:type="dcterms:W3CDTF">2003-04-09T15:31:31Z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309440472</vt:i4>
  </property>
  <property fmtid="{D5CDD505-2E9C-101B-9397-08002B2CF9AE}" pid="3" name="_EmailSubject">
    <vt:lpwstr>Update</vt:lpwstr>
  </property>
  <property fmtid="{D5CDD505-2E9C-101B-9397-08002B2CF9AE}" pid="4" name="_AuthorEmail">
    <vt:lpwstr>Ted.Tupper@mms.gov</vt:lpwstr>
  </property>
  <property fmtid="{D5CDD505-2E9C-101B-9397-08002B2CF9AE}" pid="5" name="_AuthorEmailDisplayName">
    <vt:lpwstr>Tupper, Ted</vt:lpwstr>
  </property>
  <property fmtid="{D5CDD505-2E9C-101B-9397-08002B2CF9AE}" pid="6" name="_PreviousAdHocReviewCycleID">
    <vt:i4>-636129138</vt:i4>
  </property>
  <property fmtid="{D5CDD505-2E9C-101B-9397-08002B2CF9AE}" pid="7" name="_ReviewingToolsShownOnce">
    <vt:lpwstr/>
  </property>
</Properties>
</file>