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7485" windowHeight="4095" activeTab="0"/>
  </bookViews>
  <sheets>
    <sheet name="3-1 Design, SOP 5" sheetId="1" r:id="rId1"/>
    <sheet name="AIR" sheetId="2" r:id="rId2"/>
  </sheets>
  <definedNames>
    <definedName name="\P">$J$43:$J$43</definedName>
    <definedName name="\W">$J$4:$J$41</definedName>
    <definedName name="__123Graph_A" hidden="1">'AIR'!$B$60:$B$79</definedName>
    <definedName name="__123Graph_AAIR1" hidden="1">'AIR'!$C$4:$C$58</definedName>
    <definedName name="__123Graph_AAIR2" hidden="1">'AIR'!$C$4:$C$58</definedName>
    <definedName name="__123Graph_AEQUIP" hidden="1">'AIR'!$B$60:$B$79</definedName>
    <definedName name="__123Graph_B" hidden="1">'AIR'!$C$60:$C$79</definedName>
    <definedName name="__123Graph_BAIR1" hidden="1">'AIR'!$D$4:$D$58</definedName>
    <definedName name="__123Graph_BAIR2" hidden="1">'AIR'!$D$2:$D$2</definedName>
    <definedName name="__123Graph_BEQUIP" hidden="1">'AIR'!$C$60:$C$79</definedName>
    <definedName name="__123Graph_C" hidden="1">'AIR'!$D$60:$D$79</definedName>
    <definedName name="__123Graph_CAIR1" hidden="1">'AIR'!$C$1:$C$1</definedName>
    <definedName name="__123Graph_CAIR2" hidden="1">'AIR'!$C$1:$C$1</definedName>
    <definedName name="__123Graph_CEQUIP" hidden="1">'AIR'!$D$60:$D$79</definedName>
    <definedName name="__123Graph_LBL_A" hidden="1">'AIR'!$D$2:$D$2</definedName>
    <definedName name="__123Graph_LBL_AAIR1" hidden="1">'AIR'!$C$3:$C$3</definedName>
    <definedName name="__123Graph_LBL_AAIR2" hidden="1">'AIR'!$C$3:$C$3</definedName>
    <definedName name="__123Graph_LBL_AEQUIP" hidden="1">'AIR'!$D$2:$D$2</definedName>
    <definedName name="__123Graph_LBL_B" hidden="1">'AIR'!$D$2:$D$2</definedName>
    <definedName name="__123Graph_LBL_BAIR1" hidden="1">'AIR'!$D$3:$D$3</definedName>
    <definedName name="__123Graph_LBL_BAIR2" hidden="1">'AIR'!$D$3:$D$3</definedName>
    <definedName name="__123Graph_LBL_BEQUIP" hidden="1">'AIR'!$D$2:$D$2</definedName>
    <definedName name="__123Graph_X" hidden="1">'AIR'!$E$60:$E$79</definedName>
    <definedName name="__123Graph_XAIR1" hidden="1">'AIR'!$E$4:$E$58</definedName>
    <definedName name="__123Graph_XAIR2" hidden="1">'AIR'!$E$4:$E$58</definedName>
    <definedName name="__123Graph_XEQUIP" hidden="1">'AIR'!$E$60:$E$79</definedName>
    <definedName name="_Fill" hidden="1">'AIR'!$E$48:$E$57</definedName>
    <definedName name="_Regression_Int" localSheetId="1" hidden="1">1</definedName>
    <definedName name="A">'3-1 Design, SOP 5'!$J$4</definedName>
    <definedName name="AIR">'AIR'!$F$3:$H$8</definedName>
    <definedName name="DATA">'AIR'!$F$2:$K$58</definedName>
    <definedName name="DIFFS">'AIR'!$C$2:$D$58</definedName>
    <definedName name="_xlnm.Print_Area" localSheetId="1">'AIR'!$C$2:$L$24</definedName>
    <definedName name="Print_Area_MI" localSheetId="1">'AIR'!$I$4:$K$6</definedName>
    <definedName name="RANGE1">#REF!</definedName>
    <definedName name="RANGE2">#REF!</definedName>
    <definedName name="REPORT">$A$1:$G$62</definedName>
    <definedName name="W">'3-1 Design, SOP 5'!$A$4</definedName>
  </definedNames>
  <calcPr fullCalcOnLoad="1"/>
</workbook>
</file>

<file path=xl/sharedStrings.xml><?xml version="1.0" encoding="utf-8"?>
<sst xmlns="http://schemas.openxmlformats.org/spreadsheetml/2006/main" count="103" uniqueCount="100">
  <si>
    <t xml:space="preserve">      **  Initial Parameters  **</t>
  </si>
  <si>
    <t xml:space="preserve"> Date:</t>
  </si>
  <si>
    <t xml:space="preserve"> Balance used:</t>
  </si>
  <si>
    <t>AT 1005</t>
  </si>
  <si>
    <t xml:space="preserve"> Load (g):</t>
  </si>
  <si>
    <t xml:space="preserve"> Temperature (C):</t>
  </si>
  <si>
    <t xml:space="preserve"> Pressure (mmHG):</t>
  </si>
  <si>
    <t xml:space="preserve"> Relative Humidity (%):</t>
  </si>
  <si>
    <t xml:space="preserve"> True Mass of SW (mg):</t>
  </si>
  <si>
    <t xml:space="preserve"> Density of SW (g/cm3):</t>
  </si>
  <si>
    <t xml:space="preserve"> Nominal Value of Weights (g):</t>
  </si>
  <si>
    <t xml:space="preserve"> Mass of S (g):</t>
  </si>
  <si>
    <t xml:space="preserve"> Uncertainty of Mass of S (mg):</t>
  </si>
  <si>
    <t xml:space="preserve"> Density of S (g/cm3):</t>
  </si>
  <si>
    <t xml:space="preserve"> Density of Sc (g/cm3):</t>
  </si>
  <si>
    <t xml:space="preserve"> Density of X (g/cm3):</t>
  </si>
  <si>
    <t xml:space="preserve">      **  Tare Weights  **</t>
  </si>
  <si>
    <t xml:space="preserve"> Mass of Ts (g):</t>
  </si>
  <si>
    <t xml:space="preserve"> Density of Ts (g/cm3):</t>
  </si>
  <si>
    <t xml:space="preserve"> Mass of Tx (g):</t>
  </si>
  <si>
    <t xml:space="preserve"> Density of Tx (g/cm3):</t>
  </si>
  <si>
    <t xml:space="preserve"> Mass of TSc (g):</t>
  </si>
  <si>
    <t xml:space="preserve"> Density of TSc (g/cm3):</t>
  </si>
  <si>
    <t xml:space="preserve">      **  Standard Deviation Values  **</t>
  </si>
  <si>
    <t xml:space="preserve">      **  Observations  **</t>
  </si>
  <si>
    <t xml:space="preserve">           Double Substitution</t>
  </si>
  <si>
    <t>Obs-1</t>
  </si>
  <si>
    <t>Additionally needed for Mass Code:</t>
  </si>
  <si>
    <t>Obs-2</t>
  </si>
  <si>
    <t>Obs-3</t>
  </si>
  <si>
    <t>Obs-4</t>
  </si>
  <si>
    <t xml:space="preserve">      **  Calculated Values  **</t>
  </si>
  <si>
    <t xml:space="preserve"> A1:</t>
  </si>
  <si>
    <t xml:space="preserve"> A2:</t>
  </si>
  <si>
    <t xml:space="preserve"> A3:</t>
  </si>
  <si>
    <t xml:space="preserve"> Short Term SD (mg):</t>
  </si>
  <si>
    <t xml:space="preserve"> F - Statistic:</t>
  </si>
  <si>
    <t xml:space="preserve"> dsc (mg):</t>
  </si>
  <si>
    <t xml:space="preserve"> Mass of Sc (g):</t>
  </si>
  <si>
    <t xml:space="preserve"> Uncertainty (mg):</t>
  </si>
  <si>
    <t>Root Sum Square, k=2</t>
  </si>
  <si>
    <t xml:space="preserve"> dx (mg):</t>
  </si>
  <si>
    <t xml:space="preserve"> Nominal Value (g):</t>
  </si>
  <si>
    <t xml:space="preserve"> Mass Correction for X (mg):</t>
  </si>
  <si>
    <t xml:space="preserve"> AMx vs. Brass Correction (mg):</t>
  </si>
  <si>
    <t xml:space="preserve"> AMx vs. 8.0 Correction (mg):</t>
  </si>
  <si>
    <t>Differences</t>
  </si>
  <si>
    <t>Air Density Calcs</t>
  </si>
  <si>
    <t>TN 577:</t>
  </si>
  <si>
    <t>HB 145:</t>
  </si>
  <si>
    <t>CIPM 1981/91</t>
  </si>
  <si>
    <t>SOP 2, intm step</t>
  </si>
  <si>
    <t>M(a)</t>
  </si>
  <si>
    <t>R</t>
  </si>
  <si>
    <t>Kelvin (T)</t>
  </si>
  <si>
    <t>Pa</t>
  </si>
  <si>
    <t>x(v)</t>
  </si>
  <si>
    <t>Z</t>
  </si>
  <si>
    <t>CIPM-H 145</t>
  </si>
  <si>
    <t>CIPM-TN 577</t>
  </si>
  <si>
    <t>P (mm Hg):</t>
  </si>
  <si>
    <t>Temp (C):</t>
  </si>
  <si>
    <t>RH (%):</t>
  </si>
  <si>
    <t>mg/cm3</t>
  </si>
  <si>
    <t>e(s):</t>
  </si>
  <si>
    <t>273.15+C</t>
  </si>
  <si>
    <t>101325/760</t>
  </si>
  <si>
    <t>a(0)</t>
  </si>
  <si>
    <t>a(1)</t>
  </si>
  <si>
    <t>a(2)</t>
  </si>
  <si>
    <t>b(0)</t>
  </si>
  <si>
    <t>b(1)</t>
  </si>
  <si>
    <t>c(0)</t>
  </si>
  <si>
    <t>c(1)</t>
  </si>
  <si>
    <t>d</t>
  </si>
  <si>
    <t>e</t>
  </si>
  <si>
    <t>p(sv)</t>
  </si>
  <si>
    <t>p(sv)/P</t>
  </si>
  <si>
    <t>f</t>
  </si>
  <si>
    <t>OLD:  SOP 2</t>
  </si>
  <si>
    <t xml:space="preserve"> Pooled Balance SD (mg), s(p):</t>
  </si>
  <si>
    <t xml:space="preserve"> Pooled ST SD (mg), s(w):</t>
  </si>
  <si>
    <t>From control chart, for check std</t>
  </si>
  <si>
    <t>Process s.d. for F test</t>
  </si>
  <si>
    <t>Other standard deviations, u(o):</t>
  </si>
  <si>
    <t>Any other factors to be included in uncertainty calculations</t>
  </si>
  <si>
    <t xml:space="preserve"> Air Density (mg/cm3) (CIPM 81/91):</t>
  </si>
  <si>
    <t>for comparison purposes only</t>
  </si>
  <si>
    <t>--cubical coefficient of expansion for volume correction to 20 C</t>
  </si>
  <si>
    <t>--between time standard deviation, s(b)</t>
  </si>
  <si>
    <t>(Enter "one sigma" value)</t>
  </si>
  <si>
    <t>(From control chart or NIST reference value.)</t>
  </si>
  <si>
    <t xml:space="preserve"> Accepted Value for Mass of Sc (g):</t>
  </si>
  <si>
    <t xml:space="preserve"> |Observed - Accepted| (mg):</t>
  </si>
  <si>
    <t>Densities used to compute air buoyancy corrections.  CIPM 81/91 Air Density.</t>
  </si>
  <si>
    <t>Procedure:  SOP 5, NIST Handbook 145, Uncertainty Conforms to ISO Guide.</t>
  </si>
  <si>
    <t>S vs X</t>
  </si>
  <si>
    <t>S vs Sc</t>
  </si>
  <si>
    <t>X vs Sc</t>
  </si>
  <si>
    <r>
      <t xml:space="preserve"> 3-1 WEIGHING DESIGN, 8/3/2000     </t>
    </r>
    <r>
      <rPr>
        <b/>
        <sz val="12"/>
        <color indexed="10"/>
        <rFont val="Arial"/>
        <family val="2"/>
      </rPr>
      <t>[Press "Ctrl W" for Data Entry Form]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</si>
</sst>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_)"/>
    <numFmt numFmtId="165" formatCode="0.000000_)"/>
    <numFmt numFmtId="166" formatCode="0.000000000000000_)"/>
    <numFmt numFmtId="167" formatCode="0.00000E+00_)"/>
    <numFmt numFmtId="168" formatCode="0.00_)"/>
    <numFmt numFmtId="169" formatCode="0.000000000000_)"/>
    <numFmt numFmtId="170" formatCode="0.000000000"/>
    <numFmt numFmtId="171" formatCode="0.00000000"/>
    <numFmt numFmtId="172" formatCode="0.000000"/>
    <numFmt numFmtId="173" formatCode="mm/dd/yy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color indexed="12"/>
      <name val="Arial"/>
      <family val="2"/>
    </font>
    <font>
      <sz val="10"/>
      <name val="Courier"/>
      <family val="0"/>
    </font>
    <font>
      <sz val="10"/>
      <color indexed="12"/>
      <name val="Courier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mediumGray">
        <fgColor indexed="15"/>
        <bgColor indexed="41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2">
    <xf numFmtId="0" fontId="0" fillId="0" borderId="0" xfId="0" applyAlignment="1">
      <alignment/>
    </xf>
    <xf numFmtId="0" fontId="5" fillId="0" borderId="0" xfId="27">
      <alignment/>
      <protection/>
    </xf>
    <xf numFmtId="0" fontId="5" fillId="0" borderId="0" xfId="27" applyAlignment="1" applyProtection="1">
      <alignment horizontal="left"/>
      <protection/>
    </xf>
    <xf numFmtId="0" fontId="5" fillId="0" borderId="0" xfId="27" applyAlignment="1" applyProtection="1">
      <alignment horizontal="center"/>
      <protection/>
    </xf>
    <xf numFmtId="0" fontId="5" fillId="0" borderId="0" xfId="27" applyAlignment="1" applyProtection="1">
      <alignment horizontal="right"/>
      <protection/>
    </xf>
    <xf numFmtId="0" fontId="5" fillId="0" borderId="0" xfId="27" applyAlignment="1">
      <alignment horizontal="center"/>
      <protection/>
    </xf>
    <xf numFmtId="0" fontId="5" fillId="0" borderId="0" xfId="27" applyProtection="1">
      <alignment/>
      <protection/>
    </xf>
    <xf numFmtId="172" fontId="5" fillId="0" borderId="0" xfId="27" applyNumberFormat="1" quotePrefix="1">
      <alignment/>
      <protection/>
    </xf>
    <xf numFmtId="0" fontId="5" fillId="0" borderId="0" xfId="27" applyNumberFormat="1" quotePrefix="1">
      <alignment/>
      <protection/>
    </xf>
    <xf numFmtId="2" fontId="5" fillId="0" borderId="0" xfId="27" applyNumberFormat="1" quotePrefix="1">
      <alignment/>
      <protection/>
    </xf>
    <xf numFmtId="164" fontId="5" fillId="0" borderId="0" xfId="27" applyNumberFormat="1" applyProtection="1">
      <alignment/>
      <protection/>
    </xf>
    <xf numFmtId="164" fontId="5" fillId="0" borderId="0" xfId="27" applyNumberFormat="1" applyAlignment="1" applyProtection="1">
      <alignment horizontal="right"/>
      <protection/>
    </xf>
    <xf numFmtId="165" fontId="5" fillId="0" borderId="0" xfId="27" applyNumberFormat="1" applyProtection="1">
      <alignment/>
      <protection/>
    </xf>
    <xf numFmtId="166" fontId="5" fillId="0" borderId="0" xfId="27" applyNumberFormat="1" applyProtection="1">
      <alignment/>
      <protection/>
    </xf>
    <xf numFmtId="167" fontId="5" fillId="0" borderId="0" xfId="27" applyNumberFormat="1" applyProtection="1">
      <alignment/>
      <protection/>
    </xf>
    <xf numFmtId="168" fontId="5" fillId="0" borderId="0" xfId="27" applyNumberFormat="1" applyProtection="1">
      <alignment/>
      <protection/>
    </xf>
    <xf numFmtId="169" fontId="5" fillId="0" borderId="0" xfId="27" applyNumberFormat="1" applyProtection="1">
      <alignment/>
      <protection/>
    </xf>
    <xf numFmtId="172" fontId="6" fillId="0" borderId="0" xfId="27" applyNumberFormat="1" applyFont="1" applyProtection="1">
      <alignment/>
      <protection locked="0"/>
    </xf>
    <xf numFmtId="0" fontId="6" fillId="0" borderId="0" xfId="27" applyFont="1" applyProtection="1">
      <alignment/>
      <protection locked="0"/>
    </xf>
    <xf numFmtId="0" fontId="5" fillId="0" borderId="0" xfId="27" applyProtection="1">
      <alignment/>
      <protection hidden="1"/>
    </xf>
    <xf numFmtId="0" fontId="6" fillId="0" borderId="0" xfId="27" applyFont="1" applyProtection="1">
      <alignment/>
      <protection hidden="1" locked="0"/>
    </xf>
    <xf numFmtId="164" fontId="5" fillId="0" borderId="0" xfId="27" applyNumberFormat="1" applyProtection="1">
      <alignment/>
      <protection hidden="1"/>
    </xf>
    <xf numFmtId="165" fontId="5" fillId="0" borderId="0" xfId="27" applyNumberFormat="1" applyProtection="1">
      <alignment/>
      <protection hidden="1"/>
    </xf>
    <xf numFmtId="166" fontId="5" fillId="0" borderId="0" xfId="27" applyNumberFormat="1" applyProtection="1">
      <alignment/>
      <protection hidden="1"/>
    </xf>
    <xf numFmtId="167" fontId="5" fillId="0" borderId="0" xfId="27" applyNumberFormat="1" applyProtection="1">
      <alignment/>
      <protection hidden="1"/>
    </xf>
    <xf numFmtId="168" fontId="5" fillId="0" borderId="0" xfId="27" applyNumberFormat="1" applyProtection="1">
      <alignment/>
      <protection hidden="1"/>
    </xf>
    <xf numFmtId="169" fontId="5" fillId="0" borderId="0" xfId="27" applyNumberFormat="1" applyProtection="1">
      <alignment/>
      <protection hidden="1"/>
    </xf>
    <xf numFmtId="0" fontId="5" fillId="0" borderId="0" xfId="27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73" fontId="8" fillId="2" borderId="2" xfId="0" applyNumberFormat="1" applyFont="1" applyFill="1" applyBorder="1" applyAlignment="1" applyProtection="1">
      <alignment/>
      <protection locked="0"/>
    </xf>
    <xf numFmtId="49" fontId="8" fillId="2" borderId="3" xfId="0" applyNumberFormat="1" applyFont="1" applyFill="1" applyBorder="1" applyAlignment="1" applyProtection="1">
      <alignment horizontal="right"/>
      <protection locked="0"/>
    </xf>
    <xf numFmtId="0" fontId="8" fillId="2" borderId="3" xfId="0" applyFont="1" applyFill="1" applyBorder="1" applyAlignment="1" applyProtection="1">
      <alignment/>
      <protection locked="0"/>
    </xf>
    <xf numFmtId="0" fontId="8" fillId="2" borderId="4" xfId="0" applyFont="1" applyFill="1" applyBorder="1" applyAlignment="1" applyProtection="1">
      <alignment/>
      <protection locked="0"/>
    </xf>
    <xf numFmtId="0" fontId="8" fillId="2" borderId="2" xfId="0" applyFont="1" applyFill="1" applyBorder="1" applyAlignment="1" applyProtection="1">
      <alignment/>
      <protection locked="0"/>
    </xf>
    <xf numFmtId="0" fontId="8" fillId="2" borderId="5" xfId="0" applyFont="1" applyFill="1" applyBorder="1" applyAlignment="1" applyProtection="1">
      <alignment/>
      <protection locked="0"/>
    </xf>
    <xf numFmtId="0" fontId="8" fillId="2" borderId="1" xfId="0" applyFont="1" applyFill="1" applyBorder="1" applyAlignment="1" applyProtection="1">
      <alignment/>
      <protection locked="0"/>
    </xf>
    <xf numFmtId="0" fontId="8" fillId="2" borderId="6" xfId="0" applyFont="1" applyFill="1" applyBorder="1" applyAlignment="1" applyProtection="1">
      <alignment/>
      <protection locked="0"/>
    </xf>
    <xf numFmtId="0" fontId="8" fillId="2" borderId="7" xfId="0" applyFont="1" applyFill="1" applyBorder="1" applyAlignment="1" applyProtection="1">
      <alignment/>
      <protection locked="0"/>
    </xf>
    <xf numFmtId="0" fontId="8" fillId="2" borderId="0" xfId="0" applyFont="1" applyFill="1" applyAlignment="1" applyProtection="1">
      <alignment/>
      <protection locked="0"/>
    </xf>
    <xf numFmtId="0" fontId="8" fillId="2" borderId="8" xfId="0" applyFont="1" applyFill="1" applyBorder="1" applyAlignment="1" applyProtection="1">
      <alignment/>
      <protection locked="0"/>
    </xf>
    <xf numFmtId="0" fontId="8" fillId="2" borderId="9" xfId="0" applyFont="1" applyFill="1" applyBorder="1" applyAlignment="1" applyProtection="1">
      <alignment/>
      <protection locked="0"/>
    </xf>
    <xf numFmtId="0" fontId="8" fillId="2" borderId="10" xfId="0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 vertical="top"/>
      <protection/>
    </xf>
    <xf numFmtId="0" fontId="4" fillId="3" borderId="12" xfId="0" applyFont="1" applyFill="1" applyBorder="1" applyAlignment="1" applyProtection="1">
      <alignment horizontal="left" vertical="center"/>
      <protection/>
    </xf>
    <xf numFmtId="0" fontId="4" fillId="3" borderId="12" xfId="0" applyFont="1" applyFill="1" applyBorder="1" applyAlignment="1" applyProtection="1" quotePrefix="1">
      <alignment horizontal="left" vertical="center"/>
      <protection/>
    </xf>
    <xf numFmtId="0" fontId="4" fillId="3" borderId="13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4" fillId="3" borderId="14" xfId="0" applyFont="1" applyFill="1" applyBorder="1" applyAlignment="1" applyProtection="1" quotePrefix="1">
      <alignment horizontal="lef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4" fillId="3" borderId="15" xfId="0" applyFont="1" applyFill="1" applyBorder="1" applyAlignment="1" applyProtection="1">
      <alignment horizontal="left" vertical="center"/>
      <protection/>
    </xf>
    <xf numFmtId="0" fontId="4" fillId="3" borderId="16" xfId="0" applyFont="1" applyFill="1" applyBorder="1" applyAlignment="1" applyProtection="1">
      <alignment horizontal="left" vertical="center"/>
      <protection/>
    </xf>
    <xf numFmtId="0" fontId="4" fillId="3" borderId="17" xfId="0" applyFont="1" applyFill="1" applyBorder="1" applyAlignment="1" applyProtection="1" quotePrefix="1">
      <alignment horizontal="left" vertical="center"/>
      <protection/>
    </xf>
    <xf numFmtId="0" fontId="4" fillId="3" borderId="17" xfId="0" applyFont="1" applyFill="1" applyBorder="1" applyAlignment="1" applyProtection="1">
      <alignment horizontal="left" vertical="center"/>
      <protection/>
    </xf>
    <xf numFmtId="0" fontId="4" fillId="3" borderId="18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3" borderId="20" xfId="0" applyFont="1" applyFill="1" applyBorder="1" applyAlignment="1" applyProtection="1">
      <alignment horizontal="left" vertical="center"/>
      <protection/>
    </xf>
  </cellXfs>
  <cellStyles count="17">
    <cellStyle name="Normal" xfId="0"/>
    <cellStyle name="Comma" xfId="15"/>
    <cellStyle name="Comma [0]" xfId="16"/>
    <cellStyle name="Comma_AIR (CIPM)" xfId="17"/>
    <cellStyle name="Comma0" xfId="18"/>
    <cellStyle name="Currency" xfId="19"/>
    <cellStyle name="Currency [0]" xfId="20"/>
    <cellStyle name="Currency_AIR (CIPM)" xfId="21"/>
    <cellStyle name="Currency0" xfId="22"/>
    <cellStyle name="Date" xfId="23"/>
    <cellStyle name="Fixed" xfId="24"/>
    <cellStyle name="Heading 1" xfId="25"/>
    <cellStyle name="Heading 2" xfId="26"/>
    <cellStyle name="Normal_AIR (CIPM)" xfId="27"/>
    <cellStyle name="Percent" xfId="28"/>
    <cellStyle name="Percent_AIR (CIPM)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6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7109375" style="49" customWidth="1"/>
    <col min="2" max="4" width="12.57421875" style="49" customWidth="1"/>
    <col min="5" max="5" width="12.28125" style="49" customWidth="1"/>
    <col min="6" max="6" width="32.28125" style="49" customWidth="1"/>
    <col min="7" max="9" width="9.7109375" style="49" customWidth="1"/>
    <col min="10" max="10" width="20.00390625" style="49" customWidth="1"/>
    <col min="11" max="16384" width="9.7109375" style="49" customWidth="1"/>
  </cols>
  <sheetData>
    <row r="1" spans="1:10" ht="16.5" thickTop="1">
      <c r="A1" s="71"/>
      <c r="B1" s="46" t="s">
        <v>99</v>
      </c>
      <c r="C1" s="46"/>
      <c r="D1" s="45"/>
      <c r="E1" s="45"/>
      <c r="F1" s="45"/>
      <c r="G1" s="47"/>
      <c r="H1" s="48"/>
      <c r="I1" s="29"/>
      <c r="J1" s="28"/>
    </row>
    <row r="2" spans="1:10" ht="15.75">
      <c r="A2" s="50" t="s">
        <v>95</v>
      </c>
      <c r="B2" s="51"/>
      <c r="C2" s="51"/>
      <c r="D2" s="51"/>
      <c r="E2" s="51"/>
      <c r="F2" s="51"/>
      <c r="G2" s="52"/>
      <c r="H2" s="48"/>
      <c r="I2" s="44"/>
      <c r="J2" s="28"/>
    </row>
    <row r="3" spans="1:10" ht="15.75">
      <c r="A3" s="53"/>
      <c r="B3" s="54" t="s">
        <v>94</v>
      </c>
      <c r="C3" s="55"/>
      <c r="D3" s="55"/>
      <c r="E3" s="55"/>
      <c r="F3" s="55"/>
      <c r="G3" s="56"/>
      <c r="H3" s="48"/>
      <c r="I3" s="44"/>
      <c r="J3" s="28"/>
    </row>
    <row r="4" spans="6:10" ht="12.75">
      <c r="F4" s="57"/>
      <c r="I4" s="44"/>
      <c r="J4" s="44"/>
    </row>
    <row r="5" spans="1:10" ht="12.75">
      <c r="A5" s="57" t="s">
        <v>0</v>
      </c>
      <c r="D5" s="58"/>
      <c r="I5" s="44"/>
      <c r="J5" s="44"/>
    </row>
    <row r="6" spans="1:10" ht="12.75">
      <c r="A6" s="49" t="s">
        <v>1</v>
      </c>
      <c r="D6" s="30">
        <v>36728</v>
      </c>
      <c r="I6" s="44"/>
      <c r="J6" s="44"/>
    </row>
    <row r="7" spans="1:10" ht="12.75">
      <c r="A7" s="49" t="s">
        <v>2</v>
      </c>
      <c r="D7" s="31" t="s">
        <v>3</v>
      </c>
      <c r="I7" s="44"/>
      <c r="J7" s="44"/>
    </row>
    <row r="8" spans="1:10" ht="12.75">
      <c r="A8" s="49" t="s">
        <v>4</v>
      </c>
      <c r="D8" s="32">
        <v>1000</v>
      </c>
      <c r="I8" s="44"/>
      <c r="J8" s="44"/>
    </row>
    <row r="9" spans="1:10" ht="12.75">
      <c r="A9" s="49" t="s">
        <v>5</v>
      </c>
      <c r="D9" s="32">
        <v>20</v>
      </c>
      <c r="I9" s="44"/>
      <c r="J9" s="44"/>
    </row>
    <row r="10" spans="1:10" ht="12.75">
      <c r="A10" s="49" t="s">
        <v>6</v>
      </c>
      <c r="D10" s="32">
        <v>753.5</v>
      </c>
      <c r="I10" s="44"/>
      <c r="J10" s="44"/>
    </row>
    <row r="11" spans="1:10" ht="12.75">
      <c r="A11" s="49" t="s">
        <v>7</v>
      </c>
      <c r="D11" s="32">
        <v>45</v>
      </c>
      <c r="I11" s="44"/>
      <c r="J11" s="44"/>
    </row>
    <row r="12" spans="1:10" ht="12.75">
      <c r="A12" s="49" t="s">
        <v>8</v>
      </c>
      <c r="D12" s="32">
        <v>50.086</v>
      </c>
      <c r="I12" s="44"/>
      <c r="J12" s="44"/>
    </row>
    <row r="13" spans="1:10" ht="12.75">
      <c r="A13" s="49" t="s">
        <v>9</v>
      </c>
      <c r="D13" s="32">
        <v>8.41</v>
      </c>
      <c r="I13" s="44"/>
      <c r="J13" s="44"/>
    </row>
    <row r="14" spans="1:10" ht="12.75">
      <c r="A14" s="49" t="s">
        <v>10</v>
      </c>
      <c r="D14" s="32">
        <v>1000</v>
      </c>
      <c r="I14" s="44"/>
      <c r="J14" s="44"/>
    </row>
    <row r="15" spans="1:10" ht="12.75">
      <c r="A15" s="49" t="s">
        <v>11</v>
      </c>
      <c r="D15" s="32">
        <v>999.9985</v>
      </c>
      <c r="I15" s="44"/>
      <c r="J15" s="44"/>
    </row>
    <row r="16" spans="1:10" ht="12.75">
      <c r="A16" s="49" t="s">
        <v>12</v>
      </c>
      <c r="D16" s="32">
        <v>0.03266667</v>
      </c>
      <c r="E16" s="59" t="s">
        <v>90</v>
      </c>
      <c r="I16" s="44"/>
      <c r="J16" s="44"/>
    </row>
    <row r="17" spans="1:10" ht="12.75">
      <c r="A17" s="49" t="s">
        <v>13</v>
      </c>
      <c r="D17" s="32">
        <v>8</v>
      </c>
      <c r="I17" s="44"/>
      <c r="J17" s="44"/>
    </row>
    <row r="18" spans="1:10" ht="12.75">
      <c r="A18" s="59" t="s">
        <v>92</v>
      </c>
      <c r="D18" s="32">
        <v>1000.0023</v>
      </c>
      <c r="E18" s="59" t="s">
        <v>91</v>
      </c>
      <c r="I18" s="44"/>
      <c r="J18" s="44"/>
    </row>
    <row r="19" spans="1:10" ht="12.75">
      <c r="A19" s="49" t="s">
        <v>14</v>
      </c>
      <c r="D19" s="32">
        <v>8</v>
      </c>
      <c r="I19" s="44"/>
      <c r="J19" s="44"/>
    </row>
    <row r="20" spans="1:10" ht="12.75">
      <c r="A20" s="49" t="s">
        <v>15</v>
      </c>
      <c r="D20" s="33">
        <v>7.84</v>
      </c>
      <c r="I20" s="44"/>
      <c r="J20" s="44"/>
    </row>
    <row r="21" spans="9:10" ht="12.75">
      <c r="I21" s="44"/>
      <c r="J21" s="44"/>
    </row>
    <row r="22" spans="1:10" ht="12.75">
      <c r="A22" s="57" t="s">
        <v>16</v>
      </c>
      <c r="I22" s="44"/>
      <c r="J22" s="44"/>
    </row>
    <row r="23" spans="1:10" ht="12.75">
      <c r="A23" s="49" t="s">
        <v>17</v>
      </c>
      <c r="D23" s="34">
        <v>0</v>
      </c>
      <c r="I23" s="44"/>
      <c r="J23" s="44"/>
    </row>
    <row r="24" spans="1:10" ht="12.75">
      <c r="A24" s="49" t="s">
        <v>18</v>
      </c>
      <c r="D24" s="32">
        <v>1</v>
      </c>
      <c r="E24" s="49">
        <f>IF(D24=0,"&lt;-ERROR: Density cannot = 0","")</f>
      </c>
      <c r="I24" s="44"/>
      <c r="J24" s="44"/>
    </row>
    <row r="25" spans="1:10" ht="12.75">
      <c r="A25" s="49" t="s">
        <v>19</v>
      </c>
      <c r="D25" s="32">
        <v>0</v>
      </c>
      <c r="I25" s="44"/>
      <c r="J25" s="44"/>
    </row>
    <row r="26" spans="1:10" ht="12.75">
      <c r="A26" s="49" t="s">
        <v>20</v>
      </c>
      <c r="D26" s="32">
        <v>1</v>
      </c>
      <c r="E26" s="49">
        <f>IF(D26=0,"&lt;-ERROR: Density cannot = 0","")</f>
      </c>
      <c r="I26" s="44"/>
      <c r="J26" s="44"/>
    </row>
    <row r="27" spans="1:10" ht="12.75">
      <c r="A27" s="49" t="s">
        <v>21</v>
      </c>
      <c r="D27" s="32">
        <v>0</v>
      </c>
      <c r="I27" s="44"/>
      <c r="J27" s="44"/>
    </row>
    <row r="28" spans="1:10" ht="12.75">
      <c r="A28" s="49" t="s">
        <v>22</v>
      </c>
      <c r="D28" s="33">
        <v>1</v>
      </c>
      <c r="E28" s="49">
        <f>IF(D28=0,"&lt;-ERROR: Density cannot = 0","")</f>
      </c>
      <c r="I28" s="44"/>
      <c r="J28" s="44"/>
    </row>
    <row r="29" spans="9:10" ht="12.75">
      <c r="I29" s="44"/>
      <c r="J29" s="44"/>
    </row>
    <row r="30" spans="1:10" ht="13.5" thickBot="1">
      <c r="A30" s="57" t="s">
        <v>23</v>
      </c>
      <c r="I30" s="44"/>
      <c r="J30" s="44"/>
    </row>
    <row r="31" spans="1:10" ht="13.5" thickTop="1">
      <c r="A31" s="59" t="s">
        <v>81</v>
      </c>
      <c r="D31" s="34">
        <v>0.023</v>
      </c>
      <c r="E31" s="60" t="s">
        <v>83</v>
      </c>
      <c r="I31" s="44"/>
      <c r="J31" s="44"/>
    </row>
    <row r="32" spans="1:10" ht="12.75">
      <c r="A32" s="59" t="s">
        <v>80</v>
      </c>
      <c r="D32" s="32">
        <v>0.1</v>
      </c>
      <c r="E32" s="60" t="s">
        <v>82</v>
      </c>
      <c r="I32" s="44"/>
      <c r="J32" s="44"/>
    </row>
    <row r="33" spans="1:10" ht="12.75">
      <c r="A33" s="49" t="s">
        <v>84</v>
      </c>
      <c r="D33" s="33">
        <v>0.05</v>
      </c>
      <c r="E33" s="59" t="s">
        <v>85</v>
      </c>
      <c r="I33" s="44"/>
      <c r="J33" s="44"/>
    </row>
    <row r="34" spans="9:10" ht="12.75">
      <c r="I34" s="44"/>
      <c r="J34" s="44"/>
    </row>
    <row r="35" spans="1:10" ht="12.75">
      <c r="A35" s="57" t="s">
        <v>24</v>
      </c>
      <c r="I35" s="44"/>
      <c r="J35" s="44"/>
    </row>
    <row r="36" spans="2:10" ht="12.75">
      <c r="B36" s="49" t="s">
        <v>25</v>
      </c>
      <c r="I36" s="44"/>
      <c r="J36" s="44"/>
    </row>
    <row r="37" spans="2:10" ht="13.5" thickBot="1">
      <c r="B37" s="70" t="s">
        <v>96</v>
      </c>
      <c r="C37" s="70" t="s">
        <v>97</v>
      </c>
      <c r="D37" s="70" t="s">
        <v>98</v>
      </c>
      <c r="I37" s="44"/>
      <c r="J37" s="44"/>
    </row>
    <row r="38" spans="1:10" ht="13.5" thickTop="1">
      <c r="A38" s="49" t="s">
        <v>26</v>
      </c>
      <c r="B38" s="35">
        <v>10</v>
      </c>
      <c r="C38" s="36">
        <v>10.3</v>
      </c>
      <c r="D38" s="37">
        <v>15.5</v>
      </c>
      <c r="E38" s="61" t="s">
        <v>27</v>
      </c>
      <c r="I38" s="44"/>
      <c r="J38" s="44"/>
    </row>
    <row r="39" spans="1:10" ht="12.75">
      <c r="A39" s="49" t="s">
        <v>28</v>
      </c>
      <c r="B39" s="38">
        <v>15.3</v>
      </c>
      <c r="C39" s="39">
        <v>14</v>
      </c>
      <c r="D39" s="40">
        <v>14.1</v>
      </c>
      <c r="E39" s="62" t="s">
        <v>88</v>
      </c>
      <c r="I39" s="44"/>
      <c r="J39" s="44"/>
    </row>
    <row r="40" spans="1:10" ht="12.75">
      <c r="A40" s="49" t="s">
        <v>29</v>
      </c>
      <c r="B40" s="38">
        <v>65.3</v>
      </c>
      <c r="C40" s="39">
        <v>64.1</v>
      </c>
      <c r="D40" s="40">
        <v>64</v>
      </c>
      <c r="E40" s="62" t="s">
        <v>89</v>
      </c>
      <c r="I40" s="44"/>
      <c r="J40" s="44"/>
    </row>
    <row r="41" spans="1:10" ht="13.5" thickBot="1">
      <c r="A41" s="49" t="s">
        <v>30</v>
      </c>
      <c r="B41" s="41">
        <v>60.1</v>
      </c>
      <c r="C41" s="42">
        <v>60.4</v>
      </c>
      <c r="D41" s="43">
        <v>65.6</v>
      </c>
      <c r="I41" s="44"/>
      <c r="J41" s="44"/>
    </row>
    <row r="42" spans="9:10" ht="12.75">
      <c r="I42" s="44"/>
      <c r="J42" s="44"/>
    </row>
    <row r="43" spans="1:6" ht="13.5" thickBot="1">
      <c r="A43" s="57" t="s">
        <v>31</v>
      </c>
      <c r="E43" s="63" t="s">
        <v>79</v>
      </c>
      <c r="F43" s="63" t="s">
        <v>87</v>
      </c>
    </row>
    <row r="44" spans="1:5" ht="14.25" thickBot="1" thickTop="1">
      <c r="A44" s="59" t="s">
        <v>86</v>
      </c>
      <c r="D44" s="64">
        <f>+AIR!K9</f>
        <v>1.1894465563807777</v>
      </c>
      <c r="E44" s="65">
        <f>(0.4646/($D$9+273.15))*($D$10-(0.003796*$D$11*(1314600000)*EXP(-5315.56/($D$9+273.15))))</f>
        <v>1.1894402716671666</v>
      </c>
    </row>
    <row r="45" spans="1:4" ht="13.5" thickTop="1">
      <c r="A45" s="49" t="s">
        <v>32</v>
      </c>
      <c r="D45" s="66">
        <f>((B38-B39-B40+B41)/2*((D12*(1-(D44/1000)/D13))/(B40-B39)))</f>
        <v>-5.2582862027201624</v>
      </c>
    </row>
    <row r="46" spans="1:4" ht="12.75">
      <c r="A46" s="49" t="s">
        <v>33</v>
      </c>
      <c r="D46" s="66">
        <f>((C38-C39-C40+C41)/2*((D12*(1-(D44/1000)/D13))/(C40-C39)))</f>
        <v>-3.6984429141839392</v>
      </c>
    </row>
    <row r="47" spans="1:4" ht="12.75">
      <c r="A47" s="49" t="s">
        <v>34</v>
      </c>
      <c r="D47" s="66">
        <f>((D38-D39-D40+D41)/2*((D12*(1-(D44/1000)/D13))/(D40-D39)))</f>
        <v>1.5053782429774272</v>
      </c>
    </row>
    <row r="48" spans="1:8" ht="12.75">
      <c r="A48" s="49" t="s">
        <v>35</v>
      </c>
      <c r="D48" s="66">
        <f>0.577*(D45-D46+D47)</f>
        <v>-0.03142633128742532</v>
      </c>
      <c r="H48" s="67"/>
    </row>
    <row r="49" spans="1:8" ht="12.75">
      <c r="A49" s="49" t="s">
        <v>36</v>
      </c>
      <c r="D49" s="66">
        <f>(D48^2)/(D31^2)</f>
        <v>1.8669457432646648</v>
      </c>
      <c r="E49" s="49" t="str">
        <f>IF(D49&lt;=6.63,"Passed F-test","Failed F-test")</f>
        <v>Passed F-test</v>
      </c>
      <c r="H49" s="67"/>
    </row>
    <row r="50" spans="1:4" ht="12.75">
      <c r="A50" s="49" t="s">
        <v>37</v>
      </c>
      <c r="D50" s="66">
        <f>((-D45-2*D46-D47)/3)</f>
        <v>3.7165979293702045</v>
      </c>
    </row>
    <row r="51" spans="1:4" ht="12.75">
      <c r="A51" s="49" t="s">
        <v>38</v>
      </c>
      <c r="D51" s="66">
        <f>(D15*(1-(D44/1000)/D17)+D50/1000+D23*(1-(D44/1000)/D24)-D27*(1-(D44/1000)/D28))/(1-(D44/1000)/D19)</f>
        <v>1000.0022171505984</v>
      </c>
    </row>
    <row r="52" spans="1:5" ht="12.75">
      <c r="A52" s="49" t="s">
        <v>39</v>
      </c>
      <c r="D52" s="66">
        <f>(((D32^2)+(D16^2)+(D33^2))^0.5)*2</f>
        <v>0.2329558870592362</v>
      </c>
      <c r="E52" s="49" t="s">
        <v>40</v>
      </c>
    </row>
    <row r="53" spans="1:5" ht="12.75">
      <c r="A53" s="59" t="s">
        <v>93</v>
      </c>
      <c r="D53" s="68">
        <f>ABS(D51-D18)*1000</f>
        <v>0.08284940156499943</v>
      </c>
      <c r="E53" s="49" t="str">
        <f>IF(D53&lt;=(D52/2),"Check Std Passes:  Bias &lt; U, k=1","Check Std Fails:  Bias &gt; U, k=1")</f>
        <v>Check Std Passes:  Bias &lt; U, k=1</v>
      </c>
    </row>
    <row r="57" spans="1:4" ht="12.75">
      <c r="A57" s="49" t="s">
        <v>41</v>
      </c>
      <c r="D57" s="69">
        <f>(-(2*D45)-D46+D47)/3</f>
        <v>5.240131187533897</v>
      </c>
    </row>
    <row r="58" spans="1:4" ht="12.75">
      <c r="A58" s="49" t="s">
        <v>42</v>
      </c>
      <c r="D58" s="66">
        <f>D14</f>
        <v>1000</v>
      </c>
    </row>
    <row r="59" spans="1:4" ht="12.75">
      <c r="A59" s="49" t="s">
        <v>43</v>
      </c>
      <c r="D59" s="66">
        <f>((D15*(1-(D44/1000)/D17)+(D57/1000)+D23*(1-(D44/1000)/D24)-D25*(1-(D44/1000)/D26))/(1-(D44/1000)/D20)-D14)*1000</f>
        <v>6.775684622311928</v>
      </c>
    </row>
    <row r="60" spans="1:4" ht="12.75">
      <c r="A60" s="49" t="s">
        <v>44</v>
      </c>
      <c r="D60" s="66">
        <f>(((D59/1000+D14)*(1-0.0012/D20)/(1-0.0012/8.3909))-D14)*1000</f>
        <v>-3.2749727203054135</v>
      </c>
    </row>
    <row r="61" spans="1:4" ht="12.75">
      <c r="A61" s="49" t="s">
        <v>45</v>
      </c>
      <c r="D61" s="66">
        <f>(((D59/1000+D14)*(1-0.0012/D20)/(1-0.0012/8))-D14)*1000</f>
        <v>3.713980134875783</v>
      </c>
    </row>
    <row r="62" spans="1:4" ht="12.75">
      <c r="A62" s="49" t="s">
        <v>39</v>
      </c>
      <c r="D62" s="68">
        <f>D52</f>
        <v>0.2329558870592362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 transitionEntry="1"/>
  <dimension ref="A2:AH79"/>
  <sheetViews>
    <sheetView showGridLines="0" workbookViewId="0" topLeftCell="E1">
      <selection activeCell="E1" sqref="E1"/>
    </sheetView>
  </sheetViews>
  <sheetFormatPr defaultColWidth="17.8515625" defaultRowHeight="12.75"/>
  <cols>
    <col min="1" max="3" width="0" style="1" hidden="1" customWidth="1"/>
    <col min="4" max="4" width="17.140625" style="1" hidden="1" customWidth="1"/>
    <col min="5" max="5" width="3.7109375" style="1" customWidth="1"/>
    <col min="6" max="6" width="13.28125" style="1" customWidth="1"/>
    <col min="7" max="7" width="8.140625" style="1" customWidth="1"/>
    <col min="8" max="8" width="11.28125" style="1" customWidth="1"/>
    <col min="9" max="9" width="14.140625" style="1" customWidth="1"/>
    <col min="10" max="10" width="13.8515625" style="1" customWidth="1"/>
    <col min="11" max="11" width="17.140625" style="1" customWidth="1"/>
    <col min="12" max="12" width="13.57421875" style="1" customWidth="1"/>
    <col min="13" max="13" width="14.421875" style="1" hidden="1" customWidth="1"/>
    <col min="14" max="14" width="0" style="1" hidden="1" customWidth="1"/>
    <col min="15" max="16" width="12.140625" style="1" hidden="1" customWidth="1"/>
    <col min="17" max="17" width="23.57421875" style="1" hidden="1" customWidth="1"/>
    <col min="18" max="34" width="0" style="1" hidden="1" customWidth="1"/>
    <col min="35" max="16384" width="17.8515625" style="1" customWidth="1"/>
  </cols>
  <sheetData>
    <row r="2" spans="3:18" ht="12">
      <c r="C2" s="2" t="s">
        <v>46</v>
      </c>
      <c r="F2" s="2" t="s">
        <v>47</v>
      </c>
      <c r="I2" s="3" t="s">
        <v>48</v>
      </c>
      <c r="J2" s="3" t="s">
        <v>49</v>
      </c>
      <c r="K2" s="3" t="s">
        <v>50</v>
      </c>
      <c r="L2" s="2" t="s">
        <v>51</v>
      </c>
      <c r="M2" s="4" t="s">
        <v>52</v>
      </c>
      <c r="N2" s="4" t="s">
        <v>53</v>
      </c>
      <c r="O2" s="2" t="s">
        <v>54</v>
      </c>
      <c r="P2" s="4" t="s">
        <v>55</v>
      </c>
      <c r="Q2" s="4" t="s">
        <v>56</v>
      </c>
      <c r="R2" s="4" t="s">
        <v>57</v>
      </c>
    </row>
    <row r="3" spans="3:33" ht="12">
      <c r="C3" s="4" t="s">
        <v>58</v>
      </c>
      <c r="D3" s="4" t="s">
        <v>59</v>
      </c>
      <c r="F3" s="4" t="s">
        <v>60</v>
      </c>
      <c r="G3" s="4" t="s">
        <v>61</v>
      </c>
      <c r="H3" s="4" t="s">
        <v>62</v>
      </c>
      <c r="I3" s="4" t="s">
        <v>63</v>
      </c>
      <c r="J3" s="4" t="s">
        <v>63</v>
      </c>
      <c r="K3" s="4" t="s">
        <v>63</v>
      </c>
      <c r="L3" s="4" t="s">
        <v>64</v>
      </c>
      <c r="O3" s="4" t="s">
        <v>65</v>
      </c>
      <c r="P3" s="4" t="s">
        <v>66</v>
      </c>
      <c r="S3" s="4" t="s">
        <v>67</v>
      </c>
      <c r="T3" s="4" t="s">
        <v>68</v>
      </c>
      <c r="U3" s="4" t="s">
        <v>69</v>
      </c>
      <c r="V3" s="4" t="s">
        <v>70</v>
      </c>
      <c r="W3" s="4" t="s">
        <v>71</v>
      </c>
      <c r="X3" s="4" t="s">
        <v>72</v>
      </c>
      <c r="Y3" s="4" t="s">
        <v>73</v>
      </c>
      <c r="Z3" s="4" t="s">
        <v>74</v>
      </c>
      <c r="AA3" s="4" t="s">
        <v>75</v>
      </c>
      <c r="AB3" s="5" t="s">
        <v>76</v>
      </c>
      <c r="AC3" s="5" t="s">
        <v>77</v>
      </c>
      <c r="AD3" s="5" t="s">
        <v>78</v>
      </c>
      <c r="AG3" s="6"/>
    </row>
    <row r="4" spans="1:34" ht="12">
      <c r="A4" s="1">
        <v>0.0001</v>
      </c>
      <c r="B4" s="1">
        <v>-0.0001</v>
      </c>
      <c r="C4" s="6">
        <f>K4-J4</f>
        <v>8.432285629078606E-06</v>
      </c>
      <c r="D4" s="6">
        <f>K4-I4</f>
        <v>-0.002545255592643958</v>
      </c>
      <c r="E4" s="4"/>
      <c r="F4" s="7">
        <v>750.0615050434136</v>
      </c>
      <c r="G4" s="8">
        <v>20</v>
      </c>
      <c r="H4" s="9">
        <v>50</v>
      </c>
      <c r="I4" s="10">
        <f>((0.46554*$F$4)-($H$4*(($G$4*0.00252)-0.020582)))/($G$4+273.16)</f>
        <v>1.1860169636304772</v>
      </c>
      <c r="J4" s="10">
        <f>(0.4646/($G$4+273.15))*($F$4-(0.003796*$H$4*(1314600000)*EXP(-5315.56/($G$4+273.15))))</f>
        <v>1.1834632757522041</v>
      </c>
      <c r="K4" s="11">
        <f>((1-0.378*Q4)*(P4/(R4*N4*O4))*M4)/1000</f>
        <v>1.1834717080378332</v>
      </c>
      <c r="L4" s="12">
        <f>(1314600000)*EXP(-5315.56/(G4+273.15))</f>
        <v>17.53568856733564</v>
      </c>
      <c r="M4" s="6">
        <v>28.9635</v>
      </c>
      <c r="N4" s="6">
        <v>8.31451</v>
      </c>
      <c r="O4" s="6">
        <f>G4+273.15</f>
        <v>293.15</v>
      </c>
      <c r="P4" s="6">
        <f>133.3224*F4</f>
        <v>100000</v>
      </c>
      <c r="Q4" s="13">
        <f>0.01*(H4*AC4*AD4)</f>
        <v>0.011742412282529462</v>
      </c>
      <c r="R4" s="10">
        <f>$AF4-$AG4+$AH4</f>
        <v>0.9996193141940664</v>
      </c>
      <c r="S4" s="14">
        <v>1.58123E-06</v>
      </c>
      <c r="T4" s="14">
        <v>-2.9331E-08</v>
      </c>
      <c r="U4" s="14">
        <v>1.1043E-10</v>
      </c>
      <c r="V4" s="14">
        <v>5.707E-06</v>
      </c>
      <c r="W4" s="14">
        <v>-2.051E-08</v>
      </c>
      <c r="X4" s="14">
        <v>0.00019898</v>
      </c>
      <c r="Y4" s="14">
        <v>-2.376E-06</v>
      </c>
      <c r="Z4" s="14">
        <v>1.83E-11</v>
      </c>
      <c r="AA4" s="14">
        <v>-7.65E-09</v>
      </c>
      <c r="AB4" s="15">
        <f>1*EXP(0.000012378847*O4^2-0.019121316*O4+33.93711047-6343.1645/O4)</f>
        <v>2339.1632301967884</v>
      </c>
      <c r="AC4" s="16">
        <f>AB4/P4</f>
        <v>0.023391632301967884</v>
      </c>
      <c r="AD4" s="6">
        <f>1.00062+0.0000000314*P4+0.00000056*G4^2</f>
        <v>1.003984</v>
      </c>
      <c r="AE4" s="16">
        <f>AD4*AC4</f>
        <v>0.023484824565058925</v>
      </c>
      <c r="AF4" s="6">
        <v>1</v>
      </c>
      <c r="AG4" s="14">
        <f>(P4/O4)*((S4+T4*G4+U4*G4^2)+((V4+W4*G4)*Q4)+(X4+Y4*G4)*Q4^2)</f>
        <v>0.0003826925319152338</v>
      </c>
      <c r="AH4" s="14">
        <f>(P4^2/O4^2)*(Z4+AA4*Q4^2)</f>
        <v>2.0067259816607152E-06</v>
      </c>
    </row>
    <row r="5" spans="1:34" ht="12">
      <c r="A5" s="1">
        <v>0.0001</v>
      </c>
      <c r="B5" s="1">
        <v>-0.0001</v>
      </c>
      <c r="C5" s="6">
        <f>K5-J5</f>
        <v>2.4794929705196367E-05</v>
      </c>
      <c r="D5" s="6">
        <f>K5-I5</f>
        <v>-0.0026139730400311922</v>
      </c>
      <c r="F5" s="17">
        <f>110000/133.3224</f>
        <v>825.067655547755</v>
      </c>
      <c r="G5" s="18">
        <v>20</v>
      </c>
      <c r="H5" s="18">
        <v>10</v>
      </c>
      <c r="I5" s="10">
        <f>((0.46554*F5)-(H5*((G5*0.00252)-0.020582)))/(G5+273.16)</f>
        <v>1.3091957168907826</v>
      </c>
      <c r="J5" s="10">
        <f>(0.4646/(G5+273.15))*(F5-(0.003796*H5*(1314600000)*EXP(-5315.56/(G5+273.15))))</f>
        <v>1.3065569489210462</v>
      </c>
      <c r="K5" s="11">
        <f>((1-0.378*Q5)*(P5/(R5*N5*O5))*M5)/1000</f>
        <v>1.3065817438507514</v>
      </c>
      <c r="L5" s="12">
        <f>(1314600000)*EXP(-5315.56/(G5+273.15))</f>
        <v>17.53568856733564</v>
      </c>
      <c r="M5" s="6">
        <v>28.9635</v>
      </c>
      <c r="N5" s="6">
        <v>8.31451</v>
      </c>
      <c r="O5" s="6">
        <f>G5+273.15</f>
        <v>293.15</v>
      </c>
      <c r="P5" s="6">
        <f>133.3224*F5</f>
        <v>110000</v>
      </c>
      <c r="Q5" s="13">
        <f>0.01*(H5*AC5*AD5)</f>
        <v>0.002135651776145613</v>
      </c>
      <c r="R5" s="10">
        <f>$AF5-$AG5+$AH5</f>
        <v>0.999608280963787</v>
      </c>
      <c r="S5" s="14">
        <v>1.58123E-06</v>
      </c>
      <c r="T5" s="14">
        <v>-2.9331E-08</v>
      </c>
      <c r="U5" s="14">
        <v>1.1043E-10</v>
      </c>
      <c r="V5" s="14">
        <v>5.707E-06</v>
      </c>
      <c r="W5" s="14">
        <v>-2.051E-08</v>
      </c>
      <c r="X5" s="14">
        <v>0.00019898</v>
      </c>
      <c r="Y5" s="14">
        <v>-2.376E-06</v>
      </c>
      <c r="Z5" s="14">
        <v>1.83E-11</v>
      </c>
      <c r="AA5" s="14">
        <v>-7.65E-09</v>
      </c>
      <c r="AB5" s="15">
        <f>1*EXP(0.000012378847*O5^2-0.019121316*O5+33.93711047-6343.1645/O5)</f>
        <v>2339.1632301967884</v>
      </c>
      <c r="AC5" s="16">
        <f>AB5/P5</f>
        <v>0.02126512027451626</v>
      </c>
      <c r="AD5" s="6">
        <f>1.00062+0.0000000314*P5+0.00000056*G5^2</f>
        <v>1.0042980000000001</v>
      </c>
      <c r="AE5" s="16">
        <f>AD5*AC5</f>
        <v>0.021356517761456133</v>
      </c>
      <c r="AF5" s="6">
        <v>1</v>
      </c>
      <c r="AG5" s="14">
        <f>(P5/O5)*((S5+T5*G5+U5*G5^2)+((V5+W5*G5)*Q5)+(X5+Y5*G5)*Q5^2)</f>
        <v>0.00039429078074170896</v>
      </c>
      <c r="AH5" s="14">
        <f>(P5^2/O5^2)*(Z5+AA5*Q5^2)</f>
        <v>2.5717445286380683E-06</v>
      </c>
    </row>
    <row r="6" spans="1:34" ht="12">
      <c r="A6" s="1">
        <v>0.0001</v>
      </c>
      <c r="B6" s="1">
        <v>-0.0001</v>
      </c>
      <c r="C6" s="6">
        <f>K6-J6</f>
        <v>9.461965100232561E-05</v>
      </c>
      <c r="D6" s="6">
        <f>K6-I6</f>
        <v>-0.003984442822218659</v>
      </c>
      <c r="F6" s="7">
        <v>750.0615050434136</v>
      </c>
      <c r="G6" s="18">
        <v>15</v>
      </c>
      <c r="H6" s="18">
        <v>90</v>
      </c>
      <c r="I6" s="10">
        <f>((0.46554*F6)-(H6*((G6*0.00252)-0.020582)))/(G6+273.16)</f>
        <v>1.206392327380312</v>
      </c>
      <c r="J6" s="10">
        <f>(0.4646/(G6+273.15))*(F6-(0.003796*H6*(1314600000)*EXP(-5315.56/(G6+273.15))))</f>
        <v>1.2023132649070911</v>
      </c>
      <c r="K6" s="11">
        <f>((1-0.378*Q6)*(P6/(R6*N6*O6))*M6)/1000</f>
        <v>1.2024078845580934</v>
      </c>
      <c r="L6" s="12">
        <f>(1314600000)*EXP(-5315.56/(G6+273.15))</f>
        <v>12.801990077889785</v>
      </c>
      <c r="M6" s="6">
        <v>28.9635</v>
      </c>
      <c r="N6" s="6">
        <v>8.31451</v>
      </c>
      <c r="O6" s="6">
        <f>G6+273.15</f>
        <v>288.15</v>
      </c>
      <c r="P6" s="6">
        <f>133.3224*F6</f>
        <v>100000</v>
      </c>
      <c r="Q6" s="13">
        <f>0.01*(H6*AC6*AD6)</f>
        <v>0.015410675919559708</v>
      </c>
      <c r="R6" s="10">
        <f>$AF6-$AG6+$AH6</f>
        <v>0.9995549573250424</v>
      </c>
      <c r="S6" s="14">
        <v>1.58123E-06</v>
      </c>
      <c r="T6" s="14">
        <v>-2.9331E-08</v>
      </c>
      <c r="U6" s="14">
        <v>1.1043E-10</v>
      </c>
      <c r="V6" s="14">
        <v>5.707E-06</v>
      </c>
      <c r="W6" s="14">
        <v>-2.051E-08</v>
      </c>
      <c r="X6" s="14">
        <v>0.00019898</v>
      </c>
      <c r="Y6" s="14">
        <v>-2.376E-06</v>
      </c>
      <c r="Z6" s="14">
        <v>1.83E-11</v>
      </c>
      <c r="AA6" s="14">
        <v>-7.65E-09</v>
      </c>
      <c r="AB6" s="15">
        <f>1*EXP(0.000012378847*O6^2-0.019121316*O6+33.93711047-6343.1645/O6)</f>
        <v>1705.669094295092</v>
      </c>
      <c r="AC6" s="16">
        <f>AB6/P6</f>
        <v>0.01705669094295092</v>
      </c>
      <c r="AD6" s="6">
        <f>1.00062+0.0000000314*P6+0.00000056*G6^2</f>
        <v>1.003886</v>
      </c>
      <c r="AE6" s="16">
        <f>AD6*AC6</f>
        <v>0.01712297324395523</v>
      </c>
      <c r="AF6" s="6">
        <v>1</v>
      </c>
      <c r="AG6" s="14">
        <f>(P6/O6)*((S6+T6*G6+U6*G6^2)+((V6+W6*G6)*Q6)+(X6+Y6*G6)*Q6^2)</f>
        <v>0.00044702787618524406</v>
      </c>
      <c r="AH6" s="14">
        <f>(P6^2/O6^2)*(Z6+AA6*Q6^2)</f>
        <v>1.9852012276491326E-06</v>
      </c>
    </row>
    <row r="7" spans="1:34" ht="12">
      <c r="A7" s="1">
        <v>0.0001</v>
      </c>
      <c r="B7" s="1">
        <v>-0.0001</v>
      </c>
      <c r="C7" s="6">
        <f>K7-J7</f>
        <v>-9.038581904374787E-05</v>
      </c>
      <c r="D7" s="6">
        <f>K7-I7</f>
        <v>-0.0014019080695797381</v>
      </c>
      <c r="E7" s="4"/>
      <c r="F7" s="7">
        <f>60000/133.3224</f>
        <v>450.03690302604815</v>
      </c>
      <c r="G7" s="8">
        <v>25</v>
      </c>
      <c r="H7" s="9">
        <v>50</v>
      </c>
      <c r="I7" s="10">
        <f>((0.46554*F7)-(H7*((G7*0.00252)-0.020582)))/(G7+273.16)</f>
        <v>0.6955637236206951</v>
      </c>
      <c r="J7" s="10">
        <f>(0.4646/(G7+273.15))*(F7-(0.003796*H7*(1314600000)*EXP(-5315.56/(G7+273.15))))</f>
        <v>0.6942522013701591</v>
      </c>
      <c r="K7" s="11">
        <f>((1-0.378*Q7)*(P7/(R7*N7*O7))*M7)/1000</f>
        <v>0.6941618155511153</v>
      </c>
      <c r="L7" s="12">
        <f>(1314600000)*EXP(-5315.56/(G7+273.15))</f>
        <v>23.76758492172067</v>
      </c>
      <c r="M7" s="6">
        <v>28.9635</v>
      </c>
      <c r="N7" s="6">
        <v>8.31451</v>
      </c>
      <c r="O7" s="6">
        <f>G7+273.15</f>
        <v>298.15</v>
      </c>
      <c r="P7" s="6">
        <f>133.3224*F7</f>
        <v>60000</v>
      </c>
      <c r="Q7" s="13">
        <f>0.01*(H7*AC7*AD7)</f>
        <v>0.02649002885186648</v>
      </c>
      <c r="R7" s="10">
        <f>$AF7-$AG7+$AH7</f>
        <v>0.9997685902787554</v>
      </c>
      <c r="S7" s="14">
        <v>1.58123E-06</v>
      </c>
      <c r="T7" s="14">
        <v>-2.9331E-08</v>
      </c>
      <c r="U7" s="14">
        <v>1.1043E-10</v>
      </c>
      <c r="V7" s="14">
        <v>5.707E-06</v>
      </c>
      <c r="W7" s="14">
        <v>-2.051E-08</v>
      </c>
      <c r="X7" s="14">
        <v>0.00019898</v>
      </c>
      <c r="Y7" s="14">
        <v>-2.376E-06</v>
      </c>
      <c r="Z7" s="14">
        <v>1.83E-11</v>
      </c>
      <c r="AA7" s="14">
        <v>-7.65E-09</v>
      </c>
      <c r="AB7" s="15">
        <f>1*EXP(0.000012378847*O7^2-0.019121316*O7+33.93711047-6343.1645/O7)</f>
        <v>3169.7569758150007</v>
      </c>
      <c r="AC7" s="16">
        <f>AB7/P7</f>
        <v>0.052829282930250014</v>
      </c>
      <c r="AD7" s="6">
        <f>1.00062+0.0000000314*P7+0.00000056*G7^2</f>
        <v>1.0028540000000001</v>
      </c>
      <c r="AE7" s="16">
        <f>AD7*AC7</f>
        <v>0.05298005770373296</v>
      </c>
      <c r="AF7" s="6">
        <v>1</v>
      </c>
      <c r="AG7" s="14">
        <f>(P7/O7)*((S7+T7*G7+U7*G7^2)+((V7+W7*G7)*Q7)+(X7+Y7*G7)*Q7^2)</f>
        <v>0.0002319334336300495</v>
      </c>
      <c r="AH7" s="14">
        <f>(P7^2/O7^2)*(Z7+AA7*Q7^2)</f>
        <v>5.23712385459198E-07</v>
      </c>
    </row>
    <row r="8" spans="1:34" ht="12">
      <c r="A8" s="1">
        <v>0.0001</v>
      </c>
      <c r="B8" s="1">
        <v>-0.0001</v>
      </c>
      <c r="C8" s="6"/>
      <c r="D8" s="6"/>
      <c r="E8" s="4"/>
      <c r="F8" s="18"/>
      <c r="G8" s="18"/>
      <c r="H8" s="18"/>
      <c r="I8" s="10"/>
      <c r="J8" s="10"/>
      <c r="K8" s="11"/>
      <c r="L8" s="12"/>
      <c r="M8" s="6"/>
      <c r="N8" s="6"/>
      <c r="O8" s="6"/>
      <c r="P8" s="6"/>
      <c r="Q8" s="13"/>
      <c r="R8" s="10"/>
      <c r="S8" s="14"/>
      <c r="T8" s="14"/>
      <c r="U8" s="14"/>
      <c r="V8" s="14"/>
      <c r="W8" s="14"/>
      <c r="X8" s="14"/>
      <c r="Y8" s="14"/>
      <c r="Z8" s="14"/>
      <c r="AA8" s="14"/>
      <c r="AB8" s="15"/>
      <c r="AC8" s="16"/>
      <c r="AD8" s="6"/>
      <c r="AE8" s="16"/>
      <c r="AF8" s="6"/>
      <c r="AG8" s="14"/>
      <c r="AH8" s="14"/>
    </row>
    <row r="9" spans="1:34" ht="12">
      <c r="A9" s="1">
        <v>0.0001</v>
      </c>
      <c r="B9" s="1">
        <v>-0.0001</v>
      </c>
      <c r="C9" s="6">
        <f>K9-J9</f>
        <v>6.284713611082182E-06</v>
      </c>
      <c r="D9" s="6">
        <f>K9-I9</f>
        <v>-0.002539321638051595</v>
      </c>
      <c r="F9" s="18">
        <f>+'3-1 Design, SOP 5'!D10</f>
        <v>753.5</v>
      </c>
      <c r="G9" s="18">
        <f>+'3-1 Design, SOP 5'!D9</f>
        <v>20</v>
      </c>
      <c r="H9" s="18">
        <f>+'3-1 Design, SOP 5'!D11</f>
        <v>45</v>
      </c>
      <c r="I9" s="10">
        <f>((0.46554*F9)-(H9*((G9*0.00252)-0.020582)))/(G9+273.16)</f>
        <v>1.1919858780188293</v>
      </c>
      <c r="J9" s="10">
        <f>(0.4646/(G9+273.15))*(F9-(0.003796*H9*(1314600000)*EXP(-5315.56/(G9+273.15))))</f>
        <v>1.1894402716671666</v>
      </c>
      <c r="K9" s="10">
        <f>((1-0.378*Q9)*(P9/(R9*N9*O9))*M9)/1000</f>
        <v>1.1894465563807777</v>
      </c>
      <c r="L9" s="12">
        <f>(1314600000)*EXP(-5315.56/(G9+273.15))</f>
        <v>17.53568856733564</v>
      </c>
      <c r="M9" s="6">
        <v>28.9635</v>
      </c>
      <c r="N9" s="6">
        <v>8.31451</v>
      </c>
      <c r="O9" s="6">
        <f>G9+273.15</f>
        <v>293.15</v>
      </c>
      <c r="P9" s="6">
        <f>133.3224*F9</f>
        <v>100458.42839999999</v>
      </c>
      <c r="Q9" s="13">
        <f>0.01*(H9*AC9*AD9)</f>
        <v>0.010520095470413516</v>
      </c>
      <c r="R9" s="10">
        <f>$AF9-$AG9+$AH9</f>
        <v>0.9996212337682342</v>
      </c>
      <c r="S9" s="14">
        <v>1.58123E-06</v>
      </c>
      <c r="T9" s="14">
        <v>-2.9331E-08</v>
      </c>
      <c r="U9" s="14">
        <v>1.1043E-10</v>
      </c>
      <c r="V9" s="14">
        <v>5.707E-06</v>
      </c>
      <c r="W9" s="14">
        <v>-2.051E-08</v>
      </c>
      <c r="X9" s="14">
        <v>0.00019898</v>
      </c>
      <c r="Y9" s="14">
        <v>-2.376E-06</v>
      </c>
      <c r="Z9" s="14">
        <v>1.83E-11</v>
      </c>
      <c r="AA9" s="14">
        <v>-7.65E-09</v>
      </c>
      <c r="AB9" s="15">
        <f>1*EXP(0.000012378847*O9^2-0.019121316*O9+33.93711047-6343.1645/O9)</f>
        <v>2339.1632301967884</v>
      </c>
      <c r="AC9" s="16">
        <f>AB9/P9</f>
        <v>0.02328488776355164</v>
      </c>
      <c r="AD9" s="6">
        <f>1.00062+0.0000000314*P9+0.00000056*G9^2</f>
        <v>1.00399839465176</v>
      </c>
      <c r="AE9" s="16">
        <f>AD9*AC9</f>
        <v>0.023377989934252257</v>
      </c>
      <c r="AF9" s="6">
        <v>1</v>
      </c>
      <c r="AG9" s="14">
        <f>(P9/O9)*((S9+T9*G9+U9*G9^2)+((V9+W9*G9)*Q9)+(X9+Y9*G9)*Q9^2)</f>
        <v>0.00038081584497472675</v>
      </c>
      <c r="AH9" s="14">
        <f>(P9^2/O9^2)*(Z9+AA9*Q9^2)</f>
        <v>2.049613208941128E-06</v>
      </c>
    </row>
    <row r="10" spans="1:34" s="19" customFormat="1" ht="12" hidden="1">
      <c r="A10" s="19">
        <v>0.0001</v>
      </c>
      <c r="B10" s="19">
        <v>-0.0001</v>
      </c>
      <c r="C10" s="19">
        <f>K10-J10</f>
        <v>-6.401145177159506E-05</v>
      </c>
      <c r="D10" s="19">
        <f>K10-I10</f>
        <v>-0.002022656232220865</v>
      </c>
      <c r="F10" s="20">
        <v>620</v>
      </c>
      <c r="G10" s="20">
        <v>22</v>
      </c>
      <c r="H10" s="20">
        <v>45</v>
      </c>
      <c r="I10" s="21">
        <f>((0.46554*F10)-(H10*((G10*0.00252)-0.020582)))/(G10+273.16)</f>
        <v>0.9725782287572842</v>
      </c>
      <c r="J10" s="21">
        <f>(0.4646/(G10+273.15))*(F10-(0.003796*H10*(1314600000)*EXP(-5315.56/(G10+273.15))))</f>
        <v>0.9706195839768349</v>
      </c>
      <c r="K10" s="21">
        <f>((1-0.378*Q10)*(P10/(R10*N10*O10))*M10)/1000</f>
        <v>0.9705555725250633</v>
      </c>
      <c r="L10" s="22">
        <f>(1314600000)*EXP(-5315.56/(G10+273.15))</f>
        <v>19.828261840259838</v>
      </c>
      <c r="M10" s="19">
        <v>28.9635</v>
      </c>
      <c r="N10" s="19">
        <v>8.31451</v>
      </c>
      <c r="O10" s="19">
        <f>G10+273.15</f>
        <v>295.15</v>
      </c>
      <c r="P10" s="19">
        <f>133.3224*F10</f>
        <v>82659.88799999999</v>
      </c>
      <c r="Q10" s="23">
        <f>0.01*(H10*AC10*AD10)</f>
        <v>0.014450552011274478</v>
      </c>
      <c r="R10" s="21">
        <f>$AF10-$AG10+$AH10</f>
        <v>0.9996943691161038</v>
      </c>
      <c r="S10" s="24">
        <v>1.58123E-06</v>
      </c>
      <c r="T10" s="24">
        <v>-2.9331E-08</v>
      </c>
      <c r="U10" s="24">
        <v>1.1043E-10</v>
      </c>
      <c r="V10" s="24">
        <v>5.707E-06</v>
      </c>
      <c r="W10" s="24">
        <v>-2.051E-08</v>
      </c>
      <c r="X10" s="24">
        <v>0.00019898</v>
      </c>
      <c r="Y10" s="24">
        <v>-2.376E-06</v>
      </c>
      <c r="Z10" s="24">
        <v>1.83E-11</v>
      </c>
      <c r="AA10" s="24">
        <v>-7.65E-09</v>
      </c>
      <c r="AB10" s="25">
        <f>1*EXP(0.000012378847*O10^2-0.019121316*O10+33.93711047-6343.1645/O10)</f>
        <v>2645.1796673012964</v>
      </c>
      <c r="AC10" s="26">
        <f>AB10/P10</f>
        <v>0.03200076519945559</v>
      </c>
      <c r="AD10" s="19">
        <f>1.00062+0.0000000314*P10+0.00000056*G10^2</f>
        <v>1.0034865604832</v>
      </c>
      <c r="AE10" s="26">
        <f>AD10*AC10</f>
        <v>0.032112337802832173</v>
      </c>
      <c r="AF10" s="19">
        <v>1</v>
      </c>
      <c r="AG10" s="24">
        <f>(P10/O10)*((S10+T10*G10+U10*G10^2)+((V10+W10*G10)*Q10)+(X10+Y10*G10)*Q10^2)</f>
        <v>0.00030694092987982257</v>
      </c>
      <c r="AH10" s="24">
        <f>(P10^2/O10^2)*(Z10+AA10*Q10^2)</f>
        <v>1.310045983607773E-06</v>
      </c>
    </row>
    <row r="11" spans="1:34" s="19" customFormat="1" ht="12" hidden="1">
      <c r="A11" s="19">
        <v>0.0001</v>
      </c>
      <c r="B11" s="19">
        <v>-0.0001</v>
      </c>
      <c r="C11" s="19">
        <f>K11-J11</f>
        <v>-5.471891543273877E-05</v>
      </c>
      <c r="D11" s="19">
        <f>K11-I11</f>
        <v>-0.0021073051701432366</v>
      </c>
      <c r="F11" s="20">
        <v>650</v>
      </c>
      <c r="G11" s="20">
        <v>22</v>
      </c>
      <c r="H11" s="20">
        <v>45</v>
      </c>
      <c r="I11" s="21">
        <f>((0.46554*F11)-(H11*((G11*0.00252)-0.020582)))/(G11+273.16)</f>
        <v>1.0198956159371189</v>
      </c>
      <c r="J11" s="21">
        <f>(0.4646/(G11+273.15))*(F11-(0.003796*H11*(1314600000)*EXP(-5315.56/(G11+273.15))))</f>
        <v>1.0178430296824084</v>
      </c>
      <c r="K11" s="21">
        <f>((1-0.378*Q11)*(P11/(R11*N11*O11))*M11)/1000</f>
        <v>1.0177883107669756</v>
      </c>
      <c r="L11" s="22">
        <f>(1314600000)*EXP(-5315.56/(G11+273.15))</f>
        <v>19.828261840259838</v>
      </c>
      <c r="M11" s="19">
        <v>28.9635</v>
      </c>
      <c r="N11" s="19">
        <v>8.31451</v>
      </c>
      <c r="O11" s="19">
        <f>G11+273.15</f>
        <v>295.15</v>
      </c>
      <c r="P11" s="19">
        <f>133.3224*F11</f>
        <v>86659.56</v>
      </c>
      <c r="Q11" s="23">
        <f>0.01*(H11*AC11*AD11)</f>
        <v>0.01378532852100176</v>
      </c>
      <c r="R11" s="21">
        <f>$AF11-$AG11+$AH11</f>
        <v>0.9996814950040939</v>
      </c>
      <c r="S11" s="24">
        <v>1.58123E-06</v>
      </c>
      <c r="T11" s="24">
        <v>-2.9331E-08</v>
      </c>
      <c r="U11" s="24">
        <v>1.1043E-10</v>
      </c>
      <c r="V11" s="24">
        <v>5.707E-06</v>
      </c>
      <c r="W11" s="24">
        <v>-2.051E-08</v>
      </c>
      <c r="X11" s="24">
        <v>0.00019898</v>
      </c>
      <c r="Y11" s="24">
        <v>-2.376E-06</v>
      </c>
      <c r="Z11" s="24">
        <v>1.83E-11</v>
      </c>
      <c r="AA11" s="24">
        <v>-7.65E-09</v>
      </c>
      <c r="AB11" s="25">
        <f>1*EXP(0.000012378847*O11^2-0.019121316*O11+33.93711047-6343.1645/O11)</f>
        <v>2645.1796673012964</v>
      </c>
      <c r="AC11" s="26">
        <f>AB11/P11</f>
        <v>0.03052380680563456</v>
      </c>
      <c r="AD11" s="19">
        <f>1.00062+0.0000000314*P11+0.00000056*G11^2</f>
        <v>1.0036121501839999</v>
      </c>
      <c r="AE11" s="26">
        <f>AD11*AC11</f>
        <v>0.03063406338000391</v>
      </c>
      <c r="AF11" s="19">
        <v>1</v>
      </c>
      <c r="AG11" s="24">
        <f>(P11/O11)*((S11+T11*G11+U11*G11^2)+((V11+W11*G11)*Q11)+(X11+Y11*G11)*Q11^2)</f>
        <v>0.00031995727508926745</v>
      </c>
      <c r="AH11" s="24">
        <f>(P11^2/O11^2)*(Z11+AA11*Q11^2)</f>
        <v>1.4522791831201982E-06</v>
      </c>
    </row>
    <row r="12" spans="1:34" s="19" customFormat="1" ht="12" hidden="1">
      <c r="A12" s="19">
        <v>0.0001</v>
      </c>
      <c r="B12" s="19">
        <v>-0.0001</v>
      </c>
      <c r="C12" s="19">
        <f>K12-J12</f>
        <v>-4.03901219061531E-05</v>
      </c>
      <c r="D12" s="19">
        <f>K12-I12</f>
        <v>-0.002218231675631621</v>
      </c>
      <c r="E12" s="27"/>
      <c r="F12" s="20">
        <v>690</v>
      </c>
      <c r="G12" s="20">
        <v>22</v>
      </c>
      <c r="H12" s="20">
        <v>45</v>
      </c>
      <c r="I12" s="21">
        <f>((0.46554*F12)-(H12*((G12*0.00252)-0.020582)))/(G12+273.16)</f>
        <v>1.0829854655102318</v>
      </c>
      <c r="J12" s="21">
        <f>(0.4646/(G12+273.15))*(F12-(0.003796*H12*(1314600000)*EXP(-5315.56/(G12+273.15))))</f>
        <v>1.0808076239565063</v>
      </c>
      <c r="K12" s="21">
        <f>((1-0.378*Q12)*(P12/(R12*N12*O12))*M12)/1000</f>
        <v>1.0807672338346002</v>
      </c>
      <c r="L12" s="22">
        <f>(1314600000)*EXP(-5315.56/(G12+273.15))</f>
        <v>19.828261840259838</v>
      </c>
      <c r="M12" s="19">
        <v>28.9635</v>
      </c>
      <c r="N12" s="19">
        <v>8.31451</v>
      </c>
      <c r="O12" s="19">
        <f>G12+273.15</f>
        <v>295.15</v>
      </c>
      <c r="P12" s="19">
        <f>133.3224*F12</f>
        <v>91992.45599999999</v>
      </c>
      <c r="Q12" s="23">
        <f>0.01*(H12*AC12*AD12)</f>
        <v>0.012988345788694351</v>
      </c>
      <c r="R12" s="21">
        <f>$AF12-$AG12+$AH12</f>
        <v>0.9996642866896087</v>
      </c>
      <c r="S12" s="24">
        <v>1.58123E-06</v>
      </c>
      <c r="T12" s="24">
        <v>-2.9331E-08</v>
      </c>
      <c r="U12" s="24">
        <v>1.1043E-10</v>
      </c>
      <c r="V12" s="24">
        <v>5.707E-06</v>
      </c>
      <c r="W12" s="24">
        <v>-2.051E-08</v>
      </c>
      <c r="X12" s="24">
        <v>0.00019898</v>
      </c>
      <c r="Y12" s="24">
        <v>-2.376E-06</v>
      </c>
      <c r="Z12" s="24">
        <v>1.83E-11</v>
      </c>
      <c r="AA12" s="24">
        <v>-7.65E-09</v>
      </c>
      <c r="AB12" s="25">
        <f>1*EXP(0.000012378847*O12^2-0.019121316*O12+33.93711047-6343.1645/O12)</f>
        <v>2645.1796673012964</v>
      </c>
      <c r="AC12" s="26">
        <f>AB12/P12</f>
        <v>0.028754310758931107</v>
      </c>
      <c r="AD12" s="19">
        <f>1.00062+0.0000000314*P12+0.00000056*G12^2</f>
        <v>1.0037796031183999</v>
      </c>
      <c r="AE12" s="26">
        <f>AD12*AC12</f>
        <v>0.028862990641543</v>
      </c>
      <c r="AF12" s="19">
        <v>1</v>
      </c>
      <c r="AG12" s="24">
        <f>(P12/O12)*((S12+T12*G12+U12*G12^2)+((V12+W12*G12)*Q12)+(X12+Y12*G12)*Q12^2)</f>
        <v>0.00033736568897284536</v>
      </c>
      <c r="AH12" s="24">
        <f>(P12^2/O12^2)*(Z12+AA12*Q12^2)</f>
        <v>1.6523785815704637E-06</v>
      </c>
    </row>
    <row r="13" spans="1:34" s="19" customFormat="1" ht="12" hidden="1">
      <c r="A13" s="19">
        <v>0.0001</v>
      </c>
      <c r="B13" s="19">
        <v>-0.0001</v>
      </c>
      <c r="F13" s="20"/>
      <c r="G13" s="20"/>
      <c r="H13" s="20"/>
      <c r="I13" s="21"/>
      <c r="J13" s="21"/>
      <c r="K13" s="21"/>
      <c r="L13" s="22"/>
      <c r="Q13" s="23"/>
      <c r="R13" s="21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26"/>
      <c r="AE13" s="26"/>
      <c r="AH13" s="24"/>
    </row>
    <row r="14" spans="1:34" s="19" customFormat="1" ht="12" hidden="1">
      <c r="A14" s="19">
        <v>0.0001</v>
      </c>
      <c r="B14" s="19">
        <v>-0.0001</v>
      </c>
      <c r="C14" s="19">
        <f>K14-J14</f>
        <v>9.805980873744957E-06</v>
      </c>
      <c r="D14" s="19">
        <f>K14-I14</f>
        <v>-0.0025562908349687774</v>
      </c>
      <c r="F14" s="20">
        <v>760</v>
      </c>
      <c r="G14" s="20">
        <v>20</v>
      </c>
      <c r="H14" s="20">
        <v>45</v>
      </c>
      <c r="I14" s="21">
        <f>((0.46554*F14)-(H14*((G14*0.00252)-0.020582)))/(G14+273.16)</f>
        <v>1.2023079205894391</v>
      </c>
      <c r="J14" s="21">
        <f>(0.4646/(G14+273.15))*(F14-(0.003796*H14*(1314600000)*EXP(-5315.56/(G14+273.15))))</f>
        <v>1.1997418237735966</v>
      </c>
      <c r="K14" s="21">
        <f>((1-0.378*Q14)*(P14/(R14*N14*O14))*M14)/1000</f>
        <v>1.1997516297544704</v>
      </c>
      <c r="L14" s="22">
        <f>(1314600000)*EXP(-5315.56/(G14+273.15))</f>
        <v>17.53568856733564</v>
      </c>
      <c r="M14" s="19">
        <v>28.9635</v>
      </c>
      <c r="N14" s="19">
        <v>8.31451</v>
      </c>
      <c r="O14" s="19">
        <f>G14+273.15</f>
        <v>293.15</v>
      </c>
      <c r="P14" s="19">
        <f>133.3224*F14</f>
        <v>101325.02399999999</v>
      </c>
      <c r="Q14" s="23">
        <f>0.01*(H14*AC14*AD14)</f>
        <v>0.01043040365447824</v>
      </c>
      <c r="R14" s="21">
        <f>$AF14-$AG14+$AH14</f>
        <v>0.9996182485057687</v>
      </c>
      <c r="S14" s="24">
        <v>1.58123E-06</v>
      </c>
      <c r="T14" s="24">
        <v>-2.9331E-08</v>
      </c>
      <c r="U14" s="24">
        <v>1.1043E-10</v>
      </c>
      <c r="V14" s="24">
        <v>5.707E-06</v>
      </c>
      <c r="W14" s="24">
        <v>-2.051E-08</v>
      </c>
      <c r="X14" s="24">
        <v>0.00019898</v>
      </c>
      <c r="Y14" s="24">
        <v>-2.376E-06</v>
      </c>
      <c r="Z14" s="24">
        <v>1.83E-11</v>
      </c>
      <c r="AA14" s="24">
        <v>-7.65E-09</v>
      </c>
      <c r="AB14" s="25">
        <f>1*EXP(0.000012378847*O14^2-0.019121316*O14+33.93711047-6343.1645/O14)</f>
        <v>2339.1632301967884</v>
      </c>
      <c r="AC14" s="26">
        <f>AB14/P14</f>
        <v>0.023085740697152843</v>
      </c>
      <c r="AD14" s="19">
        <f>1.00062+0.0000000314*P14+0.00000056*G14^2</f>
        <v>1.0040256057536001</v>
      </c>
      <c r="AE14" s="26">
        <f>AD14*AC14</f>
        <v>0.023178674787729423</v>
      </c>
      <c r="AF14" s="19">
        <v>1</v>
      </c>
      <c r="AG14" s="24">
        <f>(P14/O14)*((S14+T14*G14+U14*G14^2)+((V14+W14*G14)*Q14)+(X14+Y14*G14)*Q14^2)</f>
        <v>0.0003838383389338338</v>
      </c>
      <c r="AH14" s="24">
        <f>(P14^2/O14^2)*(Z14+AA14*Q14^2)</f>
        <v>2.0868447025486828E-06</v>
      </c>
    </row>
    <row r="15" spans="1:34" s="19" customFormat="1" ht="12" hidden="1">
      <c r="A15" s="19">
        <v>0.0001</v>
      </c>
      <c r="B15" s="19">
        <v>-0.0001</v>
      </c>
      <c r="C15" s="19">
        <f>K15-J15</f>
        <v>-3.950138178776541E-07</v>
      </c>
      <c r="D15" s="19">
        <f>K15-I15</f>
        <v>-0.0024732294711620195</v>
      </c>
      <c r="F15" s="20">
        <v>760</v>
      </c>
      <c r="G15" s="20">
        <v>21</v>
      </c>
      <c r="H15" s="20">
        <v>45</v>
      </c>
      <c r="I15" s="21">
        <f>((0.46554*F15)-(H15*((G15*0.00252)-0.020582)))/(G15+273.16)</f>
        <v>1.1978351577372857</v>
      </c>
      <c r="J15" s="21">
        <f>(0.4646/(G15+273.15))*(F15-(0.003796*H15*(1314600000)*EXP(-5315.56/(G15+273.15))))</f>
        <v>1.1953623232799415</v>
      </c>
      <c r="K15" s="21">
        <f>((1-0.378*Q15)*(P15/(R15*N15*O15))*M15)/1000</f>
        <v>1.1953619282661236</v>
      </c>
      <c r="L15" s="22">
        <f>(1314600000)*EXP(-5315.56/(G15+273.15))</f>
        <v>18.650670078298216</v>
      </c>
      <c r="M15" s="19">
        <v>28.9635</v>
      </c>
      <c r="N15" s="19">
        <v>8.31451</v>
      </c>
      <c r="O15" s="19">
        <f>G15+273.15</f>
        <v>294.15</v>
      </c>
      <c r="P15" s="19">
        <f>133.3224*F15</f>
        <v>101325.02399999999</v>
      </c>
      <c r="Q15" s="23">
        <f>0.01*(H15*AC15*AD15)</f>
        <v>0.011094589422712884</v>
      </c>
      <c r="R15" s="21">
        <f>$AF15-$AG15+$AH15</f>
        <v>0.9996262915922135</v>
      </c>
      <c r="S15" s="24">
        <v>1.58123E-06</v>
      </c>
      <c r="T15" s="24">
        <v>-2.9331E-08</v>
      </c>
      <c r="U15" s="24">
        <v>1.1043E-10</v>
      </c>
      <c r="V15" s="24">
        <v>5.707E-06</v>
      </c>
      <c r="W15" s="24">
        <v>-2.051E-08</v>
      </c>
      <c r="X15" s="24">
        <v>0.00019898</v>
      </c>
      <c r="Y15" s="24">
        <v>-2.376E-06</v>
      </c>
      <c r="Z15" s="24">
        <v>1.83E-11</v>
      </c>
      <c r="AA15" s="24">
        <v>-7.65E-09</v>
      </c>
      <c r="AB15" s="25">
        <f>1*EXP(0.000012378847*O15^2-0.019121316*O15+33.93711047-6343.1645/O15)</f>
        <v>2488.059238632498</v>
      </c>
      <c r="AC15" s="26">
        <f>AB15/P15</f>
        <v>0.024555229699550804</v>
      </c>
      <c r="AD15" s="19">
        <f>1.00062+0.0000000314*P15+0.00000056*G15^2</f>
        <v>1.0040485657536</v>
      </c>
      <c r="AE15" s="26">
        <f>AD15*AC15</f>
        <v>0.024654643161584187</v>
      </c>
      <c r="AF15" s="19">
        <v>1</v>
      </c>
      <c r="AG15" s="24">
        <f>(P15/O15)*((S15+T15*G15+U15*G15^2)+((V15+W15*G15)*Q15)+(X15+Y15*G15)*Q15^2)</f>
        <v>0.0003757681101630014</v>
      </c>
      <c r="AH15" s="24">
        <f>(P15^2/O15^2)*(Z15+AA15*Q15^2)</f>
        <v>2.0597023765631703E-06</v>
      </c>
    </row>
    <row r="16" spans="1:34" s="19" customFormat="1" ht="12" hidden="1">
      <c r="A16" s="19">
        <v>0.0001</v>
      </c>
      <c r="B16" s="19">
        <v>-0.0001</v>
      </c>
      <c r="C16" s="19">
        <f>K16-J16</f>
        <v>-9.989050923087106E-06</v>
      </c>
      <c r="D16" s="19">
        <f>K16-I16</f>
        <v>-0.002407027377924864</v>
      </c>
      <c r="F16" s="20">
        <v>760</v>
      </c>
      <c r="G16" s="20">
        <v>22</v>
      </c>
      <c r="H16" s="20">
        <v>45</v>
      </c>
      <c r="I16" s="21">
        <f>((0.46554*F16)-(H16*((G16*0.00252)-0.020582)))/(G16+273.16)</f>
        <v>1.1933927022631794</v>
      </c>
      <c r="J16" s="21">
        <f>(0.4646/(G16+273.15))*(F16-(0.003796*H16*(1314600000)*EXP(-5315.56/(G16+273.15))))</f>
        <v>1.1909956639361776</v>
      </c>
      <c r="K16" s="21">
        <f>((1-0.378*Q16)*(P16/(R16*N16*O16))*M16)/1000</f>
        <v>1.1909856748852545</v>
      </c>
      <c r="L16" s="22">
        <f>(1314600000)*EXP(-5315.56/(G16+273.15))</f>
        <v>19.828261840259838</v>
      </c>
      <c r="M16" s="19">
        <v>28.9635</v>
      </c>
      <c r="N16" s="19">
        <v>8.31451</v>
      </c>
      <c r="O16" s="19">
        <f>G16+273.15</f>
        <v>295.15</v>
      </c>
      <c r="P16" s="19">
        <f>133.3224*F16</f>
        <v>101325.02399999999</v>
      </c>
      <c r="Q16" s="23">
        <f>0.01*(H16*AC16*AD16)</f>
        <v>0.011795493343957937</v>
      </c>
      <c r="R16" s="21">
        <f>$AF16-$AG16+$AH16</f>
        <v>0.9996340813458361</v>
      </c>
      <c r="S16" s="24">
        <v>1.58123E-06</v>
      </c>
      <c r="T16" s="24">
        <v>-2.9331E-08</v>
      </c>
      <c r="U16" s="24">
        <v>1.1043E-10</v>
      </c>
      <c r="V16" s="24">
        <v>5.707E-06</v>
      </c>
      <c r="W16" s="24">
        <v>-2.051E-08</v>
      </c>
      <c r="X16" s="24">
        <v>0.00019898</v>
      </c>
      <c r="Y16" s="24">
        <v>-2.376E-06</v>
      </c>
      <c r="Z16" s="24">
        <v>1.83E-11</v>
      </c>
      <c r="AA16" s="24">
        <v>-7.65E-09</v>
      </c>
      <c r="AB16" s="25">
        <f>1*EXP(0.000012378847*O16^2-0.019121316*O16+33.93711047-6343.1645/O16)</f>
        <v>2645.1796673012964</v>
      </c>
      <c r="AC16" s="26">
        <f>AB16/P16</f>
        <v>0.026105887399555876</v>
      </c>
      <c r="AD16" s="19">
        <f>1.00062+0.0000000314*P16+0.00000056*G16^2</f>
        <v>1.0040726457536</v>
      </c>
      <c r="AE16" s="26">
        <f>AD16*AC16</f>
        <v>0.026212207431017636</v>
      </c>
      <c r="AF16" s="19">
        <v>1</v>
      </c>
      <c r="AG16" s="24">
        <f>(P16/O16)*((S16+T16*G16+U16*G16^2)+((V16+W16*G16)*Q16)+(X16+Y16*G16)*Q16^2)</f>
        <v>0.000367949958306864</v>
      </c>
      <c r="AH16" s="24">
        <f>(P16^2/O16^2)*(Z16+AA16*Q16^2)</f>
        <v>2.031304143051102E-06</v>
      </c>
    </row>
    <row r="17" spans="1:34" s="19" customFormat="1" ht="12" hidden="1">
      <c r="A17" s="19">
        <v>0.0001</v>
      </c>
      <c r="B17" s="19">
        <v>-0.0001</v>
      </c>
      <c r="C17" s="19">
        <f>K17-J17</f>
        <v>-1.4544361484292168E-05</v>
      </c>
      <c r="D17" s="19">
        <f>K17-I17</f>
        <v>-0.0023804318005946623</v>
      </c>
      <c r="F17" s="20">
        <v>760</v>
      </c>
      <c r="G17" s="20">
        <v>22.5</v>
      </c>
      <c r="H17" s="20">
        <v>45</v>
      </c>
      <c r="I17" s="21">
        <f>((0.46554*F17)-(H17*((G17*0.00252)-0.020582)))/(G17+273.16)</f>
        <v>1.1911827436920785</v>
      </c>
      <c r="J17" s="21">
        <f>(0.4646/(G17+273.15))*(F17-(0.003796*H17*(1314600000)*EXP(-5315.56/(G17+273.15))))</f>
        <v>1.1888168562529682</v>
      </c>
      <c r="K17" s="21">
        <f>((1-0.378*Q17)*(P17/(R17*N17*O17))*M17)/1000</f>
        <v>1.1888023118914839</v>
      </c>
      <c r="L17" s="22">
        <f>(1314600000)*EXP(-5315.56/(G17+273.15))</f>
        <v>20.441478033483335</v>
      </c>
      <c r="M17" s="19">
        <v>28.9635</v>
      </c>
      <c r="N17" s="19">
        <v>8.31451</v>
      </c>
      <c r="O17" s="19">
        <f>G17+273.15</f>
        <v>295.65</v>
      </c>
      <c r="P17" s="19">
        <f>133.3224*F17</f>
        <v>101325.02399999999</v>
      </c>
      <c r="Q17" s="23">
        <f>0.01*(H17*AC17*AD17)</f>
        <v>0.012160243381866827</v>
      </c>
      <c r="R17" s="21">
        <f>$AF17-$AG17+$AH17</f>
        <v>0.9996378795690711</v>
      </c>
      <c r="S17" s="24">
        <v>1.58123E-06</v>
      </c>
      <c r="T17" s="24">
        <v>-2.9331E-08</v>
      </c>
      <c r="U17" s="24">
        <v>1.1043E-10</v>
      </c>
      <c r="V17" s="24">
        <v>5.707E-06</v>
      </c>
      <c r="W17" s="24">
        <v>-2.051E-08</v>
      </c>
      <c r="X17" s="24">
        <v>0.00019898</v>
      </c>
      <c r="Y17" s="24">
        <v>-2.376E-06</v>
      </c>
      <c r="Z17" s="24">
        <v>1.83E-11</v>
      </c>
      <c r="AA17" s="24">
        <v>-7.65E-09</v>
      </c>
      <c r="AB17" s="25">
        <f>1*EXP(0.000012378847*O17^2-0.019121316*O17+33.93711047-6343.1645/O17)</f>
        <v>2726.942269143248</v>
      </c>
      <c r="AC17" s="26">
        <f>AB17/P17</f>
        <v>0.026912821349474817</v>
      </c>
      <c r="AD17" s="19">
        <f>1.00062+0.0000000314*P17+0.00000056*G17^2</f>
        <v>1.0040851057536002</v>
      </c>
      <c r="AE17" s="26">
        <f>AD17*AC17</f>
        <v>0.02702276307081517</v>
      </c>
      <c r="AF17" s="19">
        <v>1</v>
      </c>
      <c r="AG17" s="24">
        <f>(P17/O17)*((S17+T17*G17+U17*G17^2)+((V17+W17*G17)*Q17)+(X17+Y17*G17)*Q17^2)</f>
        <v>0.000364137018900161</v>
      </c>
      <c r="AH17" s="24">
        <f>(P17^2/O17^2)*(Z17+AA17*Q17^2)</f>
        <v>2.01658797130017E-06</v>
      </c>
    </row>
    <row r="18" spans="1:34" s="19" customFormat="1" ht="12" hidden="1">
      <c r="A18" s="19">
        <v>0.0001</v>
      </c>
      <c r="B18" s="19">
        <v>-0.0001</v>
      </c>
      <c r="C18" s="19">
        <f>K18-J18</f>
        <v>-1.5435320206202974E-05</v>
      </c>
      <c r="D18" s="19">
        <f>K18-I18</f>
        <v>-0.0023756427050913853</v>
      </c>
      <c r="F18" s="20">
        <v>760</v>
      </c>
      <c r="G18" s="20">
        <v>22.6</v>
      </c>
      <c r="H18" s="20">
        <v>45</v>
      </c>
      <c r="I18" s="21">
        <f>((0.46554*F18)-(H18*((G18*0.00252)-0.020582)))/(G18+273.16)</f>
        <v>1.1907416486340274</v>
      </c>
      <c r="J18" s="21">
        <f>(0.4646/(G18+273.15))*(F18-(0.003796*H18*(1314600000)*EXP(-5315.56/(G18+273.15))))</f>
        <v>1.1883814412491422</v>
      </c>
      <c r="K18" s="21">
        <f>((1-0.378*Q18)*(P18/(R18*N18*O18))*M18)/1000</f>
        <v>1.188366005928936</v>
      </c>
      <c r="L18" s="22">
        <f>(1314600000)*EXP(-5315.56/(G18+273.15))</f>
        <v>20.566124345320755</v>
      </c>
      <c r="M18" s="19">
        <v>28.9635</v>
      </c>
      <c r="N18" s="19">
        <v>8.31451</v>
      </c>
      <c r="O18" s="19">
        <f>G18+273.15</f>
        <v>295.75</v>
      </c>
      <c r="P18" s="19">
        <f>133.3224*F18</f>
        <v>101325.02399999999</v>
      </c>
      <c r="Q18" s="23">
        <f>0.01*(H18*AC18*AD18)</f>
        <v>0.0122343649447883</v>
      </c>
      <c r="R18" s="21">
        <f>$AF18-$AG18+$AH18</f>
        <v>0.9996386313931331</v>
      </c>
      <c r="S18" s="24">
        <v>1.58123E-06</v>
      </c>
      <c r="T18" s="24">
        <v>-2.9331E-08</v>
      </c>
      <c r="U18" s="24">
        <v>1.1043E-10</v>
      </c>
      <c r="V18" s="24">
        <v>5.707E-06</v>
      </c>
      <c r="W18" s="24">
        <v>-2.051E-08</v>
      </c>
      <c r="X18" s="24">
        <v>0.00019898</v>
      </c>
      <c r="Y18" s="24">
        <v>-2.376E-06</v>
      </c>
      <c r="Z18" s="24">
        <v>1.83E-11</v>
      </c>
      <c r="AA18" s="24">
        <v>-7.65E-09</v>
      </c>
      <c r="AB18" s="25">
        <f>1*EXP(0.000012378847*O18^2-0.019121316*O18+33.93711047-6343.1645/O18)</f>
        <v>2743.5571755697097</v>
      </c>
      <c r="AC18" s="26">
        <f>AB18/P18</f>
        <v>0.027076797687900965</v>
      </c>
      <c r="AD18" s="19">
        <f>1.00062+0.0000000314*P18+0.00000056*G18^2</f>
        <v>1.0040876313536</v>
      </c>
      <c r="AE18" s="26">
        <f>AD18*AC18</f>
        <v>0.027187477655085113</v>
      </c>
      <c r="AF18" s="19">
        <v>1</v>
      </c>
      <c r="AG18" s="24">
        <f>(P18/O18)*((S18+T18*G18+U18*G18^2)+((V18+W18*G18)*Q18)+(X18+Y18*G18)*Q18^2)</f>
        <v>0.00036338220773977356</v>
      </c>
      <c r="AH18" s="24">
        <f>(P18^2/O18^2)*(Z18+AA18*Q18^2)</f>
        <v>2.0136008729291476E-06</v>
      </c>
    </row>
    <row r="19" spans="1:34" s="19" customFormat="1" ht="12" hidden="1">
      <c r="A19" s="19">
        <v>0.0001</v>
      </c>
      <c r="B19" s="19">
        <v>-0.0001</v>
      </c>
      <c r="F19" s="20"/>
      <c r="H19" s="20"/>
      <c r="I19" s="21"/>
      <c r="J19" s="21"/>
      <c r="K19" s="21"/>
      <c r="L19" s="22"/>
      <c r="Q19" s="23"/>
      <c r="R19" s="21"/>
      <c r="S19" s="24"/>
      <c r="T19" s="24"/>
      <c r="U19" s="24"/>
      <c r="V19" s="24"/>
      <c r="W19" s="24"/>
      <c r="X19" s="24"/>
      <c r="Y19" s="24"/>
      <c r="Z19" s="24"/>
      <c r="AA19" s="24"/>
      <c r="AB19" s="25"/>
      <c r="AC19" s="26"/>
      <c r="AE19" s="26"/>
      <c r="AH19" s="24"/>
    </row>
    <row r="20" spans="1:34" s="19" customFormat="1" ht="12" hidden="1">
      <c r="A20" s="19">
        <v>0.0001</v>
      </c>
      <c r="B20" s="19">
        <v>-0.0001</v>
      </c>
      <c r="C20" s="19">
        <f>K20-J20</f>
        <v>-3.6019703860912244E-05</v>
      </c>
      <c r="D20" s="19">
        <f>K20-I20</f>
        <v>-0.0024196898619712748</v>
      </c>
      <c r="F20" s="20">
        <v>760</v>
      </c>
      <c r="G20" s="20">
        <v>22</v>
      </c>
      <c r="H20" s="20">
        <v>10</v>
      </c>
      <c r="I20" s="21">
        <f>((0.46554*F20)-(H20*((G20*0.00252)-0.020582)))/(G20+273.16)</f>
        <v>1.197526155305597</v>
      </c>
      <c r="J20" s="21">
        <f>(0.4646/(G20+273.15))*(F20-(0.003796*H20*(1314600000)*EXP(-5315.56/(G20+273.15))))</f>
        <v>1.1951424851474866</v>
      </c>
      <c r="K20" s="21">
        <f>((1-0.378*Q20)*(P20/(R20*N20*O20))*M20)/1000</f>
        <v>1.1951064654436256</v>
      </c>
      <c r="L20" s="22">
        <f>(1314600000)*EXP(-5315.56/(G20+273.15))</f>
        <v>19.828261840259838</v>
      </c>
      <c r="M20" s="19">
        <v>28.9635</v>
      </c>
      <c r="N20" s="19">
        <v>8.31451</v>
      </c>
      <c r="O20" s="19">
        <f>G20+273.15</f>
        <v>295.15</v>
      </c>
      <c r="P20" s="19">
        <f>133.3224*F20</f>
        <v>101325.02399999999</v>
      </c>
      <c r="Q20" s="23">
        <f>0.01*(H20*AC20*AD20)</f>
        <v>0.0026212207431017638</v>
      </c>
      <c r="R20" s="21">
        <f>$AF20-$AG20+$AH20</f>
        <v>0.9996574152247539</v>
      </c>
      <c r="S20" s="24">
        <v>1.58123E-06</v>
      </c>
      <c r="T20" s="24">
        <v>-2.9331E-08</v>
      </c>
      <c r="U20" s="24">
        <v>1.1043E-10</v>
      </c>
      <c r="V20" s="24">
        <v>5.707E-06</v>
      </c>
      <c r="W20" s="24">
        <v>-2.051E-08</v>
      </c>
      <c r="X20" s="24">
        <v>0.00019898</v>
      </c>
      <c r="Y20" s="24">
        <v>-2.376E-06</v>
      </c>
      <c r="Z20" s="24">
        <v>1.83E-11</v>
      </c>
      <c r="AA20" s="24">
        <v>-7.65E-09</v>
      </c>
      <c r="AB20" s="25">
        <f>1*EXP(0.000012378847*O20^2-0.019121316*O20+33.93711047-6343.1645/O20)</f>
        <v>2645.1796673012964</v>
      </c>
      <c r="AC20" s="26">
        <f>AB20/P20</f>
        <v>0.026105887399555876</v>
      </c>
      <c r="AD20" s="19">
        <f>1.00062+0.0000000314*P20+0.00000056*G20^2</f>
        <v>1.0040726457536</v>
      </c>
      <c r="AE20" s="26">
        <f>AD20*AC20</f>
        <v>0.026212207431017636</v>
      </c>
      <c r="AF20" s="19">
        <v>1</v>
      </c>
      <c r="AG20" s="24">
        <f>(P20/O20)*((S20+T20*G20+U20*G20^2)+((V20+W20*G20)*Q20)+(X20+Y20*G20)*Q20^2)</f>
        <v>0.00034473532632177135</v>
      </c>
      <c r="AH20" s="24">
        <f>(P20^2/O20^2)*(Z20+AA20*Q20^2)</f>
        <v>2.150551075702195E-06</v>
      </c>
    </row>
    <row r="21" spans="1:34" s="19" customFormat="1" ht="12" hidden="1">
      <c r="A21" s="19">
        <v>0.0001</v>
      </c>
      <c r="B21" s="19">
        <v>-0.0001</v>
      </c>
      <c r="C21" s="19">
        <f>K21-J21</f>
        <v>-2.961448920424381E-05</v>
      </c>
      <c r="D21" s="19">
        <f>K21-I21</f>
        <v>-0.0024171041241405344</v>
      </c>
      <c r="F21" s="20">
        <v>760</v>
      </c>
      <c r="G21" s="20">
        <v>22</v>
      </c>
      <c r="H21" s="20">
        <v>20</v>
      </c>
      <c r="I21" s="21">
        <f>((0.46554*F21)-(H21*((G21*0.00252)-0.020582)))/(G21+273.16)</f>
        <v>1.196345168722049</v>
      </c>
      <c r="J21" s="21">
        <f>(0.4646/(G21+273.15))*(F21-(0.003796*H21*(1314600000)*EXP(-5315.56/(G21+273.15))))</f>
        <v>1.1939576790871127</v>
      </c>
      <c r="K21" s="21">
        <f>((1-0.378*Q21)*(P21/(R21*N21*O21))*M21)/1000</f>
        <v>1.1939280645979085</v>
      </c>
      <c r="L21" s="22">
        <f>(1314600000)*EXP(-5315.56/(G21+273.15))</f>
        <v>19.828261840259838</v>
      </c>
      <c r="M21" s="19">
        <v>28.9635</v>
      </c>
      <c r="N21" s="19">
        <v>8.31451</v>
      </c>
      <c r="O21" s="19">
        <f>G21+273.15</f>
        <v>295.15</v>
      </c>
      <c r="P21" s="19">
        <f>133.3224*F21</f>
        <v>101325.02399999999</v>
      </c>
      <c r="Q21" s="23">
        <f>0.01*(H21*AC21*AD21)</f>
        <v>0.0052424414862035276</v>
      </c>
      <c r="R21" s="21">
        <f>$AF21-$AG21+$AH21</f>
        <v>0.999651629005978</v>
      </c>
      <c r="S21" s="24">
        <v>1.58123E-06</v>
      </c>
      <c r="T21" s="24">
        <v>-2.9331E-08</v>
      </c>
      <c r="U21" s="24">
        <v>1.1043E-10</v>
      </c>
      <c r="V21" s="24">
        <v>5.707E-06</v>
      </c>
      <c r="W21" s="24">
        <v>-2.051E-08</v>
      </c>
      <c r="X21" s="24">
        <v>0.00019898</v>
      </c>
      <c r="Y21" s="24">
        <v>-2.376E-06</v>
      </c>
      <c r="Z21" s="24">
        <v>1.83E-11</v>
      </c>
      <c r="AA21" s="24">
        <v>-7.65E-09</v>
      </c>
      <c r="AB21" s="25">
        <f>1*EXP(0.000012378847*O21^2-0.019121316*O21+33.93711047-6343.1645/O21)</f>
        <v>2645.1796673012964</v>
      </c>
      <c r="AC21" s="26">
        <f>AB21/P21</f>
        <v>0.026105887399555876</v>
      </c>
      <c r="AD21" s="19">
        <f>1.00062+0.0000000314*P21+0.00000056*G21^2</f>
        <v>1.0040726457536</v>
      </c>
      <c r="AE21" s="26">
        <f>AD21*AC21</f>
        <v>0.026212207431017636</v>
      </c>
      <c r="AF21" s="19">
        <v>1</v>
      </c>
      <c r="AG21" s="24">
        <f>(P21/O21)*((S21+T21*G21+U21*G21^2)+((V21+W21*G21)*Q21)+(X21+Y21*G21)*Q21^2)</f>
        <v>0.00035050296116017417</v>
      </c>
      <c r="AH21" s="24">
        <f>(P21^2/O21^2)*(Z21+AA21*Q21^2)</f>
        <v>2.1319671381461806E-06</v>
      </c>
    </row>
    <row r="22" spans="1:34" s="19" customFormat="1" ht="12" hidden="1">
      <c r="A22" s="19">
        <v>0.0001</v>
      </c>
      <c r="B22" s="19">
        <v>-0.0001</v>
      </c>
      <c r="C22" s="19">
        <f>K22-J22</f>
        <v>-1.4325748354249157E-05</v>
      </c>
      <c r="D22" s="19">
        <f>K22-I22</f>
        <v>-0.002409454336942618</v>
      </c>
      <c r="F22" s="20">
        <v>760</v>
      </c>
      <c r="G22" s="20">
        <v>22</v>
      </c>
      <c r="H22" s="20">
        <v>40</v>
      </c>
      <c r="I22" s="21">
        <f>((0.46554*F22)-(H22*((G22*0.00252)-0.020582)))/(G22+273.16)</f>
        <v>1.1939831955549531</v>
      </c>
      <c r="J22" s="21">
        <f>(0.4646/(G22+273.15))*(F22-(0.003796*H22*(1314600000)*EXP(-5315.56/(G22+273.15))))</f>
        <v>1.1915880669663648</v>
      </c>
      <c r="K22" s="21">
        <f>((1-0.378*Q22)*(P22/(R22*N22*O22))*M22)/1000</f>
        <v>1.1915737412180105</v>
      </c>
      <c r="L22" s="22">
        <f>(1314600000)*EXP(-5315.56/(G22+273.15))</f>
        <v>19.828261840259838</v>
      </c>
      <c r="M22" s="19">
        <v>28.9635</v>
      </c>
      <c r="N22" s="19">
        <v>8.31451</v>
      </c>
      <c r="O22" s="19">
        <f>G22+273.15</f>
        <v>295.15</v>
      </c>
      <c r="P22" s="19">
        <f>133.3224*F22</f>
        <v>101325.02399999999</v>
      </c>
      <c r="Q22" s="23">
        <f>0.01*(H22*AC22*AD22)</f>
        <v>0.010484882972407055</v>
      </c>
      <c r="R22" s="21">
        <f>$AF22-$AG22+$AH22</f>
        <v>0.9996379431193734</v>
      </c>
      <c r="S22" s="24">
        <v>1.58123E-06</v>
      </c>
      <c r="T22" s="24">
        <v>-2.9331E-08</v>
      </c>
      <c r="U22" s="24">
        <v>1.1043E-10</v>
      </c>
      <c r="V22" s="24">
        <v>5.707E-06</v>
      </c>
      <c r="W22" s="24">
        <v>-2.051E-08</v>
      </c>
      <c r="X22" s="24">
        <v>0.00019898</v>
      </c>
      <c r="Y22" s="24">
        <v>-2.376E-06</v>
      </c>
      <c r="Z22" s="24">
        <v>1.83E-11</v>
      </c>
      <c r="AA22" s="24">
        <v>-7.65E-09</v>
      </c>
      <c r="AB22" s="25">
        <f>1*EXP(0.000012378847*O22^2-0.019121316*O22+33.93711047-6343.1645/O22)</f>
        <v>2645.1796673012964</v>
      </c>
      <c r="AC22" s="26">
        <f>AB22/P22</f>
        <v>0.026105887399555876</v>
      </c>
      <c r="AD22" s="19">
        <f>1.00062+0.0000000314*P22+0.00000056*G22^2</f>
        <v>1.0040726457536</v>
      </c>
      <c r="AE22" s="26">
        <f>AD22*AC22</f>
        <v>0.026212207431017636</v>
      </c>
      <c r="AF22" s="19">
        <v>1</v>
      </c>
      <c r="AG22" s="24">
        <f>(P22/O22)*((S22+T22*G22+U22*G22^2)+((V22+W22*G22)*Q22)+(X22+Y22*G22)*Q22^2)</f>
        <v>0.00036411451201459095</v>
      </c>
      <c r="AH22" s="24">
        <f>(P22^2/O22^2)*(Z22+AA22*Q22^2)</f>
        <v>2.057631387922123E-06</v>
      </c>
    </row>
    <row r="23" spans="1:34" s="19" customFormat="1" ht="12" hidden="1">
      <c r="A23" s="19">
        <v>0.0001</v>
      </c>
      <c r="B23" s="19">
        <v>-0.0001</v>
      </c>
      <c r="C23" s="19">
        <f>K23-J23</f>
        <v>4.250934712013432E-06</v>
      </c>
      <c r="D23" s="19">
        <f>K23-I23</f>
        <v>-0.0023985166075288777</v>
      </c>
      <c r="F23" s="20">
        <v>760</v>
      </c>
      <c r="G23" s="20">
        <v>22</v>
      </c>
      <c r="H23" s="20">
        <v>60</v>
      </c>
      <c r="I23" s="21">
        <f>((0.46554*F23)-(H23*((G23*0.00252)-0.020582)))/(G23+273.16)</f>
        <v>1.1916212223878575</v>
      </c>
      <c r="J23" s="21">
        <f>(0.4646/(G23+273.15))*(F23-(0.003796*H23*(1314600000)*EXP(-5315.56/(G23+273.15))))</f>
        <v>1.1892184548456166</v>
      </c>
      <c r="K23" s="21">
        <f>((1-0.378*Q23)*(P23/(R23*N23*O23))*M23)/1000</f>
        <v>1.1892227057803286</v>
      </c>
      <c r="L23" s="22">
        <f>(1314600000)*EXP(-5315.56/(G23+273.15))</f>
        <v>19.828261840259838</v>
      </c>
      <c r="M23" s="19">
        <v>28.9635</v>
      </c>
      <c r="N23" s="19">
        <v>8.31451</v>
      </c>
      <c r="O23" s="19">
        <f>G23+273.15</f>
        <v>295.15</v>
      </c>
      <c r="P23" s="19">
        <f>133.3224*F23</f>
        <v>101325.02399999999</v>
      </c>
      <c r="Q23" s="23">
        <f>0.01*(H23*AC23*AD23)</f>
        <v>0.01572732445861058</v>
      </c>
      <c r="R23" s="21">
        <f>$AF23-$AG23+$AH23</f>
        <v>0.9996214393006985</v>
      </c>
      <c r="S23" s="24">
        <v>1.58123E-06</v>
      </c>
      <c r="T23" s="24">
        <v>-2.9331E-08</v>
      </c>
      <c r="U23" s="24">
        <v>1.1043E-10</v>
      </c>
      <c r="V23" s="24">
        <v>5.707E-06</v>
      </c>
      <c r="W23" s="24">
        <v>-2.051E-08</v>
      </c>
      <c r="X23" s="24">
        <v>0.00019898</v>
      </c>
      <c r="Y23" s="24">
        <v>-2.376E-06</v>
      </c>
      <c r="Z23" s="24">
        <v>1.83E-11</v>
      </c>
      <c r="AA23" s="24">
        <v>-7.65E-09</v>
      </c>
      <c r="AB23" s="25">
        <f>1*EXP(0.000012378847*O23^2-0.019121316*O23+33.93711047-6343.1645/O23)</f>
        <v>2645.1796673012964</v>
      </c>
      <c r="AC23" s="26">
        <f>AB23/P23</f>
        <v>0.026105887399555876</v>
      </c>
      <c r="AD23" s="19">
        <f>1.00062+0.0000000314*P23+0.00000056*G23^2</f>
        <v>1.0040726457536</v>
      </c>
      <c r="AE23" s="26">
        <f>AD23*AC23</f>
        <v>0.026212207431017636</v>
      </c>
      <c r="AF23" s="19">
        <v>1</v>
      </c>
      <c r="AG23" s="24">
        <f>(P23/O23)*((S23+T23*G23+U23*G23^2)+((V23+W23*G23)*Q23)+(X23+Y23*G23)*Q23^2)</f>
        <v>0.0003804944377724891</v>
      </c>
      <c r="AH23" s="24">
        <f>(P23^2/O23^2)*(Z23+AA23*Q23^2)</f>
        <v>1.9337384708820262E-06</v>
      </c>
    </row>
    <row r="24" spans="1:34" s="19" customFormat="1" ht="12" hidden="1">
      <c r="A24" s="19">
        <v>0.0001</v>
      </c>
      <c r="B24" s="19">
        <v>-0.0001</v>
      </c>
      <c r="C24" s="19">
        <f>K24-J24</f>
        <v>2.032929411011075E-05</v>
      </c>
      <c r="D24" s="19">
        <f>K24-I24</f>
        <v>-0.0023881674633698946</v>
      </c>
      <c r="E24" s="27"/>
      <c r="F24" s="20">
        <v>760</v>
      </c>
      <c r="G24" s="20">
        <v>22</v>
      </c>
      <c r="H24" s="20">
        <v>75</v>
      </c>
      <c r="I24" s="21">
        <f>((0.46554*F24)-(H24*((G24*0.00252)-0.020582)))/(G24+273.16)</f>
        <v>1.1898497425125356</v>
      </c>
      <c r="J24" s="21">
        <f>(0.4646/(G24+273.15))*(F24-(0.003796*H24*(1314600000)*EXP(-5315.56/(G24+273.15))))</f>
        <v>1.1874412457550556</v>
      </c>
      <c r="K24" s="21">
        <f>((1-0.378*Q24)*(P24/(R24*N24*O24))*M24)/1000</f>
        <v>1.1874615750491657</v>
      </c>
      <c r="L24" s="22">
        <f>(1314600000)*EXP(-5315.56/(G24+273.15))</f>
        <v>19.828261840259838</v>
      </c>
      <c r="M24" s="19">
        <v>28.9635</v>
      </c>
      <c r="N24" s="19">
        <v>8.31451</v>
      </c>
      <c r="O24" s="19">
        <f>G24+273.15</f>
        <v>295.15</v>
      </c>
      <c r="P24" s="19">
        <f>133.3224*F24</f>
        <v>101325.02399999999</v>
      </c>
      <c r="Q24" s="23">
        <f>0.01*(H24*AC24*AD24)</f>
        <v>0.019659155573263226</v>
      </c>
      <c r="R24" s="21">
        <f>$AF24-$AG24+$AH24</f>
        <v>0.999607212168771</v>
      </c>
      <c r="S24" s="24">
        <v>1.58123E-06</v>
      </c>
      <c r="T24" s="24">
        <v>-2.9331E-08</v>
      </c>
      <c r="U24" s="24">
        <v>1.1043E-10</v>
      </c>
      <c r="V24" s="24">
        <v>5.707E-06</v>
      </c>
      <c r="W24" s="24">
        <v>-2.051E-08</v>
      </c>
      <c r="X24" s="24">
        <v>0.00019898</v>
      </c>
      <c r="Y24" s="24">
        <v>-2.376E-06</v>
      </c>
      <c r="Z24" s="24">
        <v>1.83E-11</v>
      </c>
      <c r="AA24" s="24">
        <v>-7.65E-09</v>
      </c>
      <c r="AB24" s="25">
        <f>1*EXP(0.000012378847*O24^2-0.019121316*O24+33.93711047-6343.1645/O24)</f>
        <v>2645.1796673012964</v>
      </c>
      <c r="AC24" s="26">
        <f>AB24/P24</f>
        <v>0.026105887399555876</v>
      </c>
      <c r="AD24" s="19">
        <f>1.00062+0.0000000314*P24+0.00000056*G24^2</f>
        <v>1.0040726457536</v>
      </c>
      <c r="AE24" s="26">
        <f>AD24*AC24</f>
        <v>0.026212207431017636</v>
      </c>
      <c r="AF24" s="19">
        <v>1</v>
      </c>
      <c r="AG24" s="24">
        <f>(P24/O24)*((S24+T24*G24+U24*G24^2)+((V24+W24*G24)*Q24)+(X24+Y24*G24)*Q24^2)</f>
        <v>0.0003945961281213224</v>
      </c>
      <c r="AH24" s="24">
        <f>(P24^2/O24^2)*(Z24+AA24*Q24^2)</f>
        <v>1.808296892378929E-06</v>
      </c>
    </row>
    <row r="25" spans="1:34" s="19" customFormat="1" ht="12" hidden="1">
      <c r="A25" s="19">
        <v>0.0001</v>
      </c>
      <c r="B25" s="19">
        <v>-0.0001</v>
      </c>
      <c r="F25" s="20"/>
      <c r="G25" s="20"/>
      <c r="H25" s="20"/>
      <c r="I25" s="21"/>
      <c r="J25" s="21"/>
      <c r="K25" s="21"/>
      <c r="L25" s="22"/>
      <c r="Q25" s="23"/>
      <c r="R25" s="21"/>
      <c r="S25" s="24"/>
      <c r="T25" s="24"/>
      <c r="U25" s="24"/>
      <c r="V25" s="24"/>
      <c r="W25" s="24"/>
      <c r="X25" s="24"/>
      <c r="Y25" s="24"/>
      <c r="Z25" s="24"/>
      <c r="AA25" s="24"/>
      <c r="AB25" s="25"/>
      <c r="AC25" s="26"/>
      <c r="AE25" s="26"/>
      <c r="AH25" s="24"/>
    </row>
    <row r="26" spans="1:34" s="19" customFormat="1" ht="12" hidden="1">
      <c r="A26" s="19">
        <v>0.0001</v>
      </c>
      <c r="B26" s="19">
        <v>-0.0001</v>
      </c>
      <c r="F26" s="20"/>
      <c r="G26" s="20"/>
      <c r="H26" s="20"/>
      <c r="I26" s="21"/>
      <c r="J26" s="21"/>
      <c r="K26" s="21"/>
      <c r="L26" s="22"/>
      <c r="Q26" s="23"/>
      <c r="R26" s="21"/>
      <c r="S26" s="24"/>
      <c r="T26" s="24"/>
      <c r="U26" s="24"/>
      <c r="V26" s="24"/>
      <c r="W26" s="24"/>
      <c r="X26" s="24"/>
      <c r="Y26" s="24"/>
      <c r="Z26" s="24"/>
      <c r="AA26" s="24"/>
      <c r="AB26" s="25"/>
      <c r="AC26" s="26"/>
      <c r="AE26" s="26"/>
      <c r="AH26" s="24"/>
    </row>
    <row r="27" spans="1:34" s="19" customFormat="1" ht="12" hidden="1">
      <c r="A27" s="19">
        <v>0.0001</v>
      </c>
      <c r="B27" s="19">
        <v>-0.0001</v>
      </c>
      <c r="F27" s="20"/>
      <c r="G27" s="20"/>
      <c r="H27" s="20"/>
      <c r="I27" s="21"/>
      <c r="J27" s="21"/>
      <c r="K27" s="21"/>
      <c r="L27" s="22"/>
      <c r="Q27" s="23"/>
      <c r="R27" s="21"/>
      <c r="S27" s="24"/>
      <c r="T27" s="24"/>
      <c r="U27" s="24"/>
      <c r="V27" s="24"/>
      <c r="W27" s="24"/>
      <c r="X27" s="24"/>
      <c r="Y27" s="24"/>
      <c r="Z27" s="24"/>
      <c r="AA27" s="24"/>
      <c r="AB27" s="25"/>
      <c r="AC27" s="26"/>
      <c r="AE27" s="26"/>
      <c r="AH27" s="24"/>
    </row>
    <row r="28" spans="1:34" s="19" customFormat="1" ht="12" hidden="1">
      <c r="A28" s="19">
        <v>0.0001</v>
      </c>
      <c r="B28" s="19">
        <v>-0.0001</v>
      </c>
      <c r="F28" s="20"/>
      <c r="G28" s="20"/>
      <c r="H28" s="20"/>
      <c r="I28" s="21"/>
      <c r="J28" s="21"/>
      <c r="K28" s="21"/>
      <c r="L28" s="22"/>
      <c r="Q28" s="23"/>
      <c r="R28" s="21"/>
      <c r="S28" s="24"/>
      <c r="T28" s="24"/>
      <c r="U28" s="24"/>
      <c r="V28" s="24"/>
      <c r="W28" s="24"/>
      <c r="X28" s="24"/>
      <c r="Y28" s="24"/>
      <c r="Z28" s="24"/>
      <c r="AA28" s="24"/>
      <c r="AB28" s="25"/>
      <c r="AC28" s="26"/>
      <c r="AE28" s="26"/>
      <c r="AH28" s="24"/>
    </row>
    <row r="29" spans="6:34" s="19" customFormat="1" ht="12" hidden="1">
      <c r="F29" s="20"/>
      <c r="G29" s="20"/>
      <c r="H29" s="20"/>
      <c r="I29" s="21"/>
      <c r="J29" s="21"/>
      <c r="K29" s="21"/>
      <c r="L29" s="22"/>
      <c r="Q29" s="23"/>
      <c r="R29" s="21"/>
      <c r="S29" s="24"/>
      <c r="T29" s="24"/>
      <c r="U29" s="24"/>
      <c r="V29" s="24"/>
      <c r="W29" s="24"/>
      <c r="X29" s="24"/>
      <c r="Y29" s="24"/>
      <c r="Z29" s="24"/>
      <c r="AA29" s="24"/>
      <c r="AB29" s="25"/>
      <c r="AC29" s="26"/>
      <c r="AE29" s="26"/>
      <c r="AH29" s="24"/>
    </row>
    <row r="30" spans="6:34" s="19" customFormat="1" ht="12" hidden="1">
      <c r="F30" s="20"/>
      <c r="G30" s="20"/>
      <c r="H30" s="20"/>
      <c r="I30" s="21"/>
      <c r="J30" s="21"/>
      <c r="K30" s="21"/>
      <c r="L30" s="22"/>
      <c r="Q30" s="23"/>
      <c r="R30" s="21"/>
      <c r="S30" s="24"/>
      <c r="T30" s="24"/>
      <c r="U30" s="24"/>
      <c r="V30" s="24"/>
      <c r="W30" s="24"/>
      <c r="X30" s="24"/>
      <c r="Y30" s="24"/>
      <c r="Z30" s="24"/>
      <c r="AA30" s="24"/>
      <c r="AB30" s="25"/>
      <c r="AC30" s="26"/>
      <c r="AE30" s="26"/>
      <c r="AH30" s="24"/>
    </row>
    <row r="31" spans="6:34" s="19" customFormat="1" ht="12" hidden="1">
      <c r="F31" s="20"/>
      <c r="G31" s="20"/>
      <c r="H31" s="20"/>
      <c r="I31" s="21"/>
      <c r="J31" s="21"/>
      <c r="K31" s="21"/>
      <c r="L31" s="22"/>
      <c r="Q31" s="23"/>
      <c r="R31" s="21"/>
      <c r="S31" s="24"/>
      <c r="T31" s="24"/>
      <c r="U31" s="24"/>
      <c r="V31" s="24"/>
      <c r="W31" s="24"/>
      <c r="X31" s="24"/>
      <c r="Y31" s="24"/>
      <c r="Z31" s="24"/>
      <c r="AA31" s="24"/>
      <c r="AB31" s="25"/>
      <c r="AC31" s="26"/>
      <c r="AE31" s="26"/>
      <c r="AH31" s="24"/>
    </row>
    <row r="32" spans="6:34" s="19" customFormat="1" ht="12" hidden="1">
      <c r="F32" s="20"/>
      <c r="G32" s="20"/>
      <c r="H32" s="20"/>
      <c r="I32" s="21"/>
      <c r="J32" s="21"/>
      <c r="K32" s="21"/>
      <c r="L32" s="22"/>
      <c r="Q32" s="23"/>
      <c r="R32" s="21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26"/>
      <c r="AE32" s="26"/>
      <c r="AH32" s="24"/>
    </row>
    <row r="33" spans="6:34" s="19" customFormat="1" ht="12" hidden="1">
      <c r="F33" s="20"/>
      <c r="G33" s="20"/>
      <c r="H33" s="20"/>
      <c r="I33" s="21"/>
      <c r="J33" s="21"/>
      <c r="K33" s="21"/>
      <c r="L33" s="22"/>
      <c r="Q33" s="23"/>
      <c r="R33" s="21"/>
      <c r="S33" s="24"/>
      <c r="T33" s="24"/>
      <c r="U33" s="24"/>
      <c r="V33" s="24"/>
      <c r="W33" s="24"/>
      <c r="X33" s="24"/>
      <c r="Y33" s="24"/>
      <c r="Z33" s="24"/>
      <c r="AA33" s="24"/>
      <c r="AB33" s="25"/>
      <c r="AC33" s="26"/>
      <c r="AE33" s="26"/>
      <c r="AH33" s="24"/>
    </row>
    <row r="34" spans="3:34" ht="12" hidden="1">
      <c r="C34" s="6"/>
      <c r="D34" s="6"/>
      <c r="F34" s="18"/>
      <c r="G34" s="18"/>
      <c r="H34" s="18"/>
      <c r="I34" s="10"/>
      <c r="J34" s="10"/>
      <c r="K34" s="10"/>
      <c r="L34" s="12"/>
      <c r="M34" s="6"/>
      <c r="N34" s="6"/>
      <c r="O34" s="6"/>
      <c r="P34" s="6"/>
      <c r="Q34" s="13"/>
      <c r="R34" s="10"/>
      <c r="S34" s="14"/>
      <c r="T34" s="14"/>
      <c r="U34" s="14"/>
      <c r="V34" s="14"/>
      <c r="W34" s="14"/>
      <c r="X34" s="14"/>
      <c r="Y34" s="14"/>
      <c r="Z34" s="14"/>
      <c r="AA34" s="14"/>
      <c r="AB34" s="15"/>
      <c r="AC34" s="16"/>
      <c r="AD34" s="6"/>
      <c r="AE34" s="16"/>
      <c r="AF34" s="6"/>
      <c r="AG34" s="6"/>
      <c r="AH34" s="14"/>
    </row>
    <row r="35" spans="6:34" ht="12" hidden="1">
      <c r="F35" s="18"/>
      <c r="G35" s="18"/>
      <c r="H35" s="18"/>
      <c r="I35" s="10"/>
      <c r="J35" s="10"/>
      <c r="K35" s="10"/>
      <c r="L35" s="12"/>
      <c r="Q35" s="13"/>
      <c r="R35" s="10"/>
      <c r="S35" s="14"/>
      <c r="T35" s="14"/>
      <c r="U35" s="14"/>
      <c r="V35" s="14"/>
      <c r="W35" s="14"/>
      <c r="X35" s="14"/>
      <c r="Y35" s="14"/>
      <c r="Z35" s="14"/>
      <c r="AA35" s="14"/>
      <c r="AB35" s="15"/>
      <c r="AC35" s="16"/>
      <c r="AE35" s="16"/>
      <c r="AH35" s="14"/>
    </row>
    <row r="36" spans="3:34" ht="12" hidden="1">
      <c r="C36" s="6"/>
      <c r="D36" s="6"/>
      <c r="E36" s="2"/>
      <c r="F36" s="18"/>
      <c r="G36" s="18"/>
      <c r="H36" s="18"/>
      <c r="I36" s="10"/>
      <c r="J36" s="10"/>
      <c r="K36" s="10"/>
      <c r="L36" s="12"/>
      <c r="M36" s="6"/>
      <c r="N36" s="6"/>
      <c r="O36" s="6"/>
      <c r="P36" s="6"/>
      <c r="Q36" s="13"/>
      <c r="R36" s="10"/>
      <c r="S36" s="14"/>
      <c r="T36" s="14"/>
      <c r="U36" s="14"/>
      <c r="V36" s="14"/>
      <c r="W36" s="14"/>
      <c r="X36" s="14"/>
      <c r="Y36" s="14"/>
      <c r="Z36" s="14"/>
      <c r="AA36" s="14"/>
      <c r="AB36" s="15"/>
      <c r="AC36" s="16"/>
      <c r="AD36" s="6"/>
      <c r="AE36" s="16"/>
      <c r="AF36" s="6"/>
      <c r="AG36" s="6"/>
      <c r="AH36" s="14"/>
    </row>
    <row r="37" spans="3:34" ht="12">
      <c r="C37" s="6"/>
      <c r="D37" s="6"/>
      <c r="F37" s="18"/>
      <c r="G37" s="18"/>
      <c r="H37" s="18"/>
      <c r="I37" s="10"/>
      <c r="J37" s="10"/>
      <c r="K37" s="10"/>
      <c r="L37" s="12"/>
      <c r="M37" s="6"/>
      <c r="N37" s="6"/>
      <c r="O37" s="6"/>
      <c r="P37" s="6"/>
      <c r="Q37" s="13"/>
      <c r="R37" s="10"/>
      <c r="S37" s="14"/>
      <c r="T37" s="14"/>
      <c r="U37" s="14"/>
      <c r="V37" s="14"/>
      <c r="W37" s="14"/>
      <c r="X37" s="14"/>
      <c r="Y37" s="14"/>
      <c r="Z37" s="14"/>
      <c r="AA37" s="14"/>
      <c r="AB37" s="15"/>
      <c r="AC37" s="16"/>
      <c r="AD37" s="6"/>
      <c r="AE37" s="16"/>
      <c r="AF37" s="6"/>
      <c r="AG37" s="6"/>
      <c r="AH37" s="14"/>
    </row>
    <row r="38" spans="3:34" ht="12">
      <c r="C38" s="6"/>
      <c r="D38" s="6"/>
      <c r="F38" s="18"/>
      <c r="G38" s="18"/>
      <c r="H38" s="18"/>
      <c r="I38" s="10"/>
      <c r="J38" s="10"/>
      <c r="K38" s="10"/>
      <c r="L38" s="12"/>
      <c r="M38" s="6"/>
      <c r="N38" s="6"/>
      <c r="O38" s="6"/>
      <c r="P38" s="6"/>
      <c r="Q38" s="13"/>
      <c r="R38" s="10"/>
      <c r="S38" s="14"/>
      <c r="T38" s="14"/>
      <c r="U38" s="14"/>
      <c r="V38" s="14"/>
      <c r="W38" s="14"/>
      <c r="X38" s="14"/>
      <c r="Y38" s="14"/>
      <c r="Z38" s="14"/>
      <c r="AA38" s="14"/>
      <c r="AB38" s="15"/>
      <c r="AC38" s="16"/>
      <c r="AD38" s="6"/>
      <c r="AE38" s="16"/>
      <c r="AF38" s="6"/>
      <c r="AG38" s="6"/>
      <c r="AH38" s="14"/>
    </row>
    <row r="39" spans="3:34" ht="12">
      <c r="C39" s="6"/>
      <c r="D39" s="6"/>
      <c r="F39" s="18"/>
      <c r="G39" s="18"/>
      <c r="H39" s="18"/>
      <c r="I39" s="10"/>
      <c r="J39" s="10"/>
      <c r="K39" s="10"/>
      <c r="L39" s="12"/>
      <c r="M39" s="6"/>
      <c r="N39" s="6"/>
      <c r="O39" s="6"/>
      <c r="P39" s="6"/>
      <c r="Q39" s="13"/>
      <c r="R39" s="10"/>
      <c r="S39" s="14"/>
      <c r="T39" s="14"/>
      <c r="U39" s="14"/>
      <c r="V39" s="14"/>
      <c r="W39" s="14"/>
      <c r="X39" s="14"/>
      <c r="Y39" s="14"/>
      <c r="Z39" s="14"/>
      <c r="AA39" s="14"/>
      <c r="AB39" s="15"/>
      <c r="AC39" s="16"/>
      <c r="AD39" s="6"/>
      <c r="AE39" s="16"/>
      <c r="AF39" s="6"/>
      <c r="AG39" s="6"/>
      <c r="AH39" s="14"/>
    </row>
    <row r="40" spans="3:34" ht="12">
      <c r="C40" s="6"/>
      <c r="D40" s="6"/>
      <c r="F40" s="18"/>
      <c r="G40" s="18"/>
      <c r="H40" s="18"/>
      <c r="I40" s="10"/>
      <c r="J40" s="10"/>
      <c r="K40" s="10"/>
      <c r="L40" s="12"/>
      <c r="M40" s="6"/>
      <c r="N40" s="6"/>
      <c r="O40" s="6"/>
      <c r="P40" s="6"/>
      <c r="Q40" s="13"/>
      <c r="R40" s="10"/>
      <c r="S40" s="14"/>
      <c r="T40" s="14"/>
      <c r="U40" s="14"/>
      <c r="V40" s="14"/>
      <c r="W40" s="14"/>
      <c r="X40" s="14"/>
      <c r="Y40" s="14"/>
      <c r="Z40" s="14"/>
      <c r="AA40" s="14"/>
      <c r="AB40" s="15"/>
      <c r="AC40" s="16"/>
      <c r="AD40" s="6"/>
      <c r="AE40" s="16"/>
      <c r="AF40" s="6"/>
      <c r="AG40" s="6"/>
      <c r="AH40" s="14"/>
    </row>
    <row r="41" spans="3:34" ht="12">
      <c r="C41" s="6"/>
      <c r="D41" s="6"/>
      <c r="F41" s="18"/>
      <c r="G41" s="18"/>
      <c r="H41" s="18"/>
      <c r="I41" s="10"/>
      <c r="J41" s="10"/>
      <c r="K41" s="10"/>
      <c r="L41" s="12"/>
      <c r="M41" s="6"/>
      <c r="N41" s="6"/>
      <c r="O41" s="6"/>
      <c r="P41" s="6"/>
      <c r="Q41" s="13"/>
      <c r="R41" s="10"/>
      <c r="S41" s="14"/>
      <c r="T41" s="14"/>
      <c r="U41" s="14"/>
      <c r="V41" s="14"/>
      <c r="W41" s="14"/>
      <c r="X41" s="14"/>
      <c r="Y41" s="14"/>
      <c r="Z41" s="14"/>
      <c r="AA41" s="14"/>
      <c r="AB41" s="15"/>
      <c r="AC41" s="16"/>
      <c r="AD41" s="6"/>
      <c r="AE41" s="16"/>
      <c r="AF41" s="6"/>
      <c r="AG41" s="6"/>
      <c r="AH41" s="14"/>
    </row>
    <row r="42" spans="3:34" ht="12">
      <c r="C42" s="6"/>
      <c r="D42" s="6"/>
      <c r="F42" s="18"/>
      <c r="G42" s="18"/>
      <c r="H42" s="18"/>
      <c r="I42" s="10"/>
      <c r="J42" s="10"/>
      <c r="K42" s="10"/>
      <c r="L42" s="12"/>
      <c r="M42" s="6"/>
      <c r="N42" s="6"/>
      <c r="O42" s="6"/>
      <c r="P42" s="6"/>
      <c r="Q42" s="13"/>
      <c r="R42" s="10"/>
      <c r="S42" s="14"/>
      <c r="T42" s="14"/>
      <c r="U42" s="14"/>
      <c r="V42" s="14"/>
      <c r="W42" s="14"/>
      <c r="X42" s="14"/>
      <c r="Y42" s="14"/>
      <c r="Z42" s="14"/>
      <c r="AA42" s="14"/>
      <c r="AB42" s="15"/>
      <c r="AC42" s="16"/>
      <c r="AD42" s="6"/>
      <c r="AE42" s="16"/>
      <c r="AF42" s="6"/>
      <c r="AG42" s="6"/>
      <c r="AH42" s="14"/>
    </row>
    <row r="43" spans="3:34" ht="12">
      <c r="C43" s="6"/>
      <c r="D43" s="6"/>
      <c r="F43" s="18"/>
      <c r="G43" s="18"/>
      <c r="H43" s="18"/>
      <c r="I43" s="10"/>
      <c r="J43" s="10"/>
      <c r="K43" s="10"/>
      <c r="L43" s="12"/>
      <c r="M43" s="6"/>
      <c r="N43" s="6"/>
      <c r="O43" s="6"/>
      <c r="P43" s="6"/>
      <c r="Q43" s="13"/>
      <c r="R43" s="10"/>
      <c r="S43" s="14"/>
      <c r="T43" s="14"/>
      <c r="U43" s="14"/>
      <c r="V43" s="14"/>
      <c r="W43" s="14"/>
      <c r="X43" s="14"/>
      <c r="Y43" s="14"/>
      <c r="Z43" s="14"/>
      <c r="AA43" s="14"/>
      <c r="AB43" s="15"/>
      <c r="AC43" s="16"/>
      <c r="AD43" s="6"/>
      <c r="AE43" s="16"/>
      <c r="AF43" s="6"/>
      <c r="AG43" s="6"/>
      <c r="AH43" s="14"/>
    </row>
    <row r="44" spans="3:34" ht="12">
      <c r="C44" s="6"/>
      <c r="D44" s="6"/>
      <c r="F44" s="18"/>
      <c r="G44" s="18"/>
      <c r="H44" s="18"/>
      <c r="I44" s="10"/>
      <c r="J44" s="10"/>
      <c r="K44" s="10"/>
      <c r="L44" s="12"/>
      <c r="M44" s="6"/>
      <c r="N44" s="6"/>
      <c r="O44" s="6"/>
      <c r="P44" s="6"/>
      <c r="Q44" s="13"/>
      <c r="R44" s="10"/>
      <c r="S44" s="14"/>
      <c r="T44" s="14"/>
      <c r="U44" s="14"/>
      <c r="V44" s="14"/>
      <c r="W44" s="14"/>
      <c r="X44" s="14"/>
      <c r="Y44" s="14"/>
      <c r="Z44" s="14"/>
      <c r="AA44" s="14"/>
      <c r="AB44" s="15"/>
      <c r="AC44" s="16"/>
      <c r="AD44" s="6"/>
      <c r="AE44" s="16"/>
      <c r="AF44" s="6"/>
      <c r="AG44" s="6"/>
      <c r="AH44" s="14"/>
    </row>
    <row r="45" spans="3:34" ht="12">
      <c r="C45" s="6"/>
      <c r="D45" s="6"/>
      <c r="F45" s="18"/>
      <c r="G45" s="18"/>
      <c r="H45" s="18"/>
      <c r="I45" s="10"/>
      <c r="J45" s="10"/>
      <c r="K45" s="10"/>
      <c r="L45" s="12"/>
      <c r="M45" s="6"/>
      <c r="N45" s="6"/>
      <c r="O45" s="6"/>
      <c r="P45" s="6"/>
      <c r="Q45" s="13"/>
      <c r="R45" s="10"/>
      <c r="S45" s="14"/>
      <c r="T45" s="14"/>
      <c r="U45" s="14"/>
      <c r="V45" s="14"/>
      <c r="W45" s="14"/>
      <c r="X45" s="14"/>
      <c r="Y45" s="14"/>
      <c r="Z45" s="14"/>
      <c r="AA45" s="14"/>
      <c r="AB45" s="15"/>
      <c r="AC45" s="16"/>
      <c r="AD45" s="6"/>
      <c r="AE45" s="16"/>
      <c r="AF45" s="6"/>
      <c r="AG45" s="6"/>
      <c r="AH45" s="14"/>
    </row>
    <row r="46" spans="3:34" ht="12">
      <c r="C46" s="6"/>
      <c r="D46" s="6"/>
      <c r="F46" s="18"/>
      <c r="G46" s="18"/>
      <c r="H46" s="18"/>
      <c r="I46" s="10"/>
      <c r="J46" s="10"/>
      <c r="K46" s="10"/>
      <c r="L46" s="12"/>
      <c r="M46" s="6"/>
      <c r="N46" s="6"/>
      <c r="O46" s="6"/>
      <c r="P46" s="6"/>
      <c r="Q46" s="13"/>
      <c r="R46" s="10"/>
      <c r="S46" s="14"/>
      <c r="T46" s="14"/>
      <c r="U46" s="14"/>
      <c r="V46" s="14"/>
      <c r="W46" s="14"/>
      <c r="X46" s="14"/>
      <c r="Y46" s="14"/>
      <c r="Z46" s="14"/>
      <c r="AA46" s="14"/>
      <c r="AB46" s="15"/>
      <c r="AC46" s="16"/>
      <c r="AD46" s="6"/>
      <c r="AE46" s="16"/>
      <c r="AF46" s="6"/>
      <c r="AG46" s="6"/>
      <c r="AH46" s="14"/>
    </row>
    <row r="47" spans="9:34" ht="12">
      <c r="I47" s="10"/>
      <c r="J47" s="10"/>
      <c r="K47" s="10"/>
      <c r="L47" s="12"/>
      <c r="Q47" s="13"/>
      <c r="R47" s="10"/>
      <c r="S47" s="14"/>
      <c r="T47" s="14"/>
      <c r="U47" s="14"/>
      <c r="V47" s="14"/>
      <c r="W47" s="14"/>
      <c r="X47" s="14"/>
      <c r="Y47" s="14"/>
      <c r="Z47" s="14"/>
      <c r="AA47" s="14"/>
      <c r="AB47" s="15"/>
      <c r="AC47" s="16"/>
      <c r="AE47" s="16"/>
      <c r="AH47" s="14"/>
    </row>
    <row r="48" spans="3:34" ht="12">
      <c r="C48" s="6"/>
      <c r="D48" s="6"/>
      <c r="E48" s="2"/>
      <c r="F48" s="18"/>
      <c r="G48" s="18"/>
      <c r="H48" s="18"/>
      <c r="I48" s="10"/>
      <c r="J48" s="10"/>
      <c r="K48" s="10"/>
      <c r="L48" s="12"/>
      <c r="M48" s="6"/>
      <c r="N48" s="6"/>
      <c r="O48" s="6"/>
      <c r="P48" s="6"/>
      <c r="Q48" s="13"/>
      <c r="R48" s="10"/>
      <c r="S48" s="14"/>
      <c r="T48" s="14"/>
      <c r="U48" s="14"/>
      <c r="V48" s="14"/>
      <c r="W48" s="14"/>
      <c r="X48" s="14"/>
      <c r="Y48" s="14"/>
      <c r="Z48" s="14"/>
      <c r="AA48" s="14"/>
      <c r="AB48" s="15"/>
      <c r="AC48" s="16"/>
      <c r="AD48" s="6"/>
      <c r="AE48" s="16"/>
      <c r="AF48" s="6"/>
      <c r="AG48" s="6"/>
      <c r="AH48" s="14"/>
    </row>
    <row r="49" spans="3:34" ht="12">
      <c r="C49" s="6"/>
      <c r="D49" s="6"/>
      <c r="F49" s="18"/>
      <c r="G49" s="18"/>
      <c r="H49" s="18"/>
      <c r="I49" s="10"/>
      <c r="J49" s="10"/>
      <c r="K49" s="10"/>
      <c r="L49" s="12"/>
      <c r="M49" s="6"/>
      <c r="N49" s="6"/>
      <c r="O49" s="6"/>
      <c r="P49" s="6"/>
      <c r="Q49" s="13"/>
      <c r="R49" s="10"/>
      <c r="S49" s="14"/>
      <c r="T49" s="14"/>
      <c r="U49" s="14"/>
      <c r="V49" s="14"/>
      <c r="W49" s="14"/>
      <c r="X49" s="14"/>
      <c r="Y49" s="14"/>
      <c r="Z49" s="14"/>
      <c r="AA49" s="14"/>
      <c r="AB49" s="15"/>
      <c r="AC49" s="16"/>
      <c r="AD49" s="6"/>
      <c r="AE49" s="16"/>
      <c r="AF49" s="6"/>
      <c r="AG49" s="6"/>
      <c r="AH49" s="14"/>
    </row>
    <row r="50" spans="3:34" ht="12">
      <c r="C50" s="6"/>
      <c r="D50" s="6"/>
      <c r="F50" s="18"/>
      <c r="G50" s="18"/>
      <c r="H50" s="18"/>
      <c r="I50" s="10"/>
      <c r="J50" s="10"/>
      <c r="K50" s="10"/>
      <c r="L50" s="12"/>
      <c r="M50" s="6"/>
      <c r="N50" s="6"/>
      <c r="O50" s="6"/>
      <c r="P50" s="6"/>
      <c r="Q50" s="13"/>
      <c r="R50" s="10"/>
      <c r="S50" s="14"/>
      <c r="T50" s="14"/>
      <c r="U50" s="14"/>
      <c r="V50" s="14"/>
      <c r="W50" s="14"/>
      <c r="X50" s="14"/>
      <c r="Y50" s="14"/>
      <c r="Z50" s="14"/>
      <c r="AA50" s="14"/>
      <c r="AB50" s="15"/>
      <c r="AC50" s="16"/>
      <c r="AD50" s="6"/>
      <c r="AE50" s="16"/>
      <c r="AF50" s="6"/>
      <c r="AG50" s="6"/>
      <c r="AH50" s="14"/>
    </row>
    <row r="51" spans="3:34" ht="12">
      <c r="C51" s="6"/>
      <c r="D51" s="6"/>
      <c r="F51" s="18"/>
      <c r="G51" s="18"/>
      <c r="H51" s="18"/>
      <c r="I51" s="10"/>
      <c r="J51" s="10"/>
      <c r="K51" s="10"/>
      <c r="L51" s="12"/>
      <c r="M51" s="6"/>
      <c r="N51" s="6"/>
      <c r="O51" s="6"/>
      <c r="P51" s="6"/>
      <c r="Q51" s="13"/>
      <c r="R51" s="10"/>
      <c r="S51" s="14"/>
      <c r="T51" s="14"/>
      <c r="U51" s="14"/>
      <c r="V51" s="14"/>
      <c r="W51" s="14"/>
      <c r="X51" s="14"/>
      <c r="Y51" s="14"/>
      <c r="Z51" s="14"/>
      <c r="AA51" s="14"/>
      <c r="AB51" s="15"/>
      <c r="AC51" s="16"/>
      <c r="AD51" s="6"/>
      <c r="AE51" s="16"/>
      <c r="AF51" s="6"/>
      <c r="AG51" s="6"/>
      <c r="AH51" s="14"/>
    </row>
    <row r="52" spans="3:34" ht="12">
      <c r="C52" s="6"/>
      <c r="D52" s="6"/>
      <c r="F52" s="18"/>
      <c r="G52" s="18"/>
      <c r="H52" s="18"/>
      <c r="I52" s="10"/>
      <c r="J52" s="10"/>
      <c r="K52" s="10"/>
      <c r="L52" s="12"/>
      <c r="M52" s="6"/>
      <c r="N52" s="6"/>
      <c r="O52" s="6"/>
      <c r="P52" s="6"/>
      <c r="Q52" s="13"/>
      <c r="R52" s="10"/>
      <c r="S52" s="14"/>
      <c r="T52" s="14"/>
      <c r="U52" s="14"/>
      <c r="V52" s="14"/>
      <c r="W52" s="14"/>
      <c r="X52" s="14"/>
      <c r="Y52" s="14"/>
      <c r="Z52" s="14"/>
      <c r="AA52" s="14"/>
      <c r="AB52" s="15"/>
      <c r="AC52" s="16"/>
      <c r="AD52" s="6"/>
      <c r="AE52" s="16"/>
      <c r="AF52" s="6"/>
      <c r="AG52" s="6"/>
      <c r="AH52" s="14"/>
    </row>
    <row r="53" spans="3:34" ht="12">
      <c r="C53" s="6"/>
      <c r="D53" s="6"/>
      <c r="F53" s="18"/>
      <c r="G53" s="18"/>
      <c r="H53" s="18"/>
      <c r="I53" s="10"/>
      <c r="J53" s="10"/>
      <c r="K53" s="10"/>
      <c r="L53" s="12"/>
      <c r="M53" s="6"/>
      <c r="N53" s="6"/>
      <c r="O53" s="6"/>
      <c r="P53" s="6"/>
      <c r="Q53" s="13"/>
      <c r="R53" s="10"/>
      <c r="S53" s="14"/>
      <c r="T53" s="14"/>
      <c r="U53" s="14"/>
      <c r="V53" s="14"/>
      <c r="W53" s="14"/>
      <c r="X53" s="14"/>
      <c r="Y53" s="14"/>
      <c r="Z53" s="14"/>
      <c r="AA53" s="14"/>
      <c r="AB53" s="15"/>
      <c r="AC53" s="16"/>
      <c r="AD53" s="6"/>
      <c r="AE53" s="16"/>
      <c r="AF53" s="6"/>
      <c r="AG53" s="6"/>
      <c r="AH53" s="14"/>
    </row>
    <row r="54" spans="3:34" ht="12">
      <c r="C54" s="6"/>
      <c r="D54" s="6"/>
      <c r="F54" s="18"/>
      <c r="G54" s="18"/>
      <c r="H54" s="18"/>
      <c r="I54" s="10"/>
      <c r="J54" s="10"/>
      <c r="K54" s="10"/>
      <c r="L54" s="12"/>
      <c r="M54" s="6"/>
      <c r="N54" s="6"/>
      <c r="O54" s="6"/>
      <c r="P54" s="6"/>
      <c r="Q54" s="13"/>
      <c r="R54" s="10"/>
      <c r="S54" s="14"/>
      <c r="T54" s="14"/>
      <c r="U54" s="14"/>
      <c r="V54" s="14"/>
      <c r="W54" s="14"/>
      <c r="X54" s="14"/>
      <c r="Y54" s="14"/>
      <c r="Z54" s="14"/>
      <c r="AA54" s="14"/>
      <c r="AB54" s="15"/>
      <c r="AC54" s="16"/>
      <c r="AD54" s="6"/>
      <c r="AE54" s="16"/>
      <c r="AF54" s="6"/>
      <c r="AG54" s="6"/>
      <c r="AH54" s="14"/>
    </row>
    <row r="55" spans="3:34" ht="12">
      <c r="C55" s="6"/>
      <c r="D55" s="6"/>
      <c r="F55" s="18"/>
      <c r="G55" s="18"/>
      <c r="H55" s="18"/>
      <c r="I55" s="10"/>
      <c r="J55" s="10"/>
      <c r="K55" s="10"/>
      <c r="L55" s="12"/>
      <c r="M55" s="6"/>
      <c r="N55" s="6"/>
      <c r="O55" s="6"/>
      <c r="P55" s="6"/>
      <c r="Q55" s="13"/>
      <c r="R55" s="10"/>
      <c r="S55" s="14"/>
      <c r="T55" s="14"/>
      <c r="U55" s="14"/>
      <c r="V55" s="14"/>
      <c r="W55" s="14"/>
      <c r="X55" s="14"/>
      <c r="Y55" s="14"/>
      <c r="Z55" s="14"/>
      <c r="AA55" s="14"/>
      <c r="AB55" s="15"/>
      <c r="AC55" s="16"/>
      <c r="AD55" s="6"/>
      <c r="AE55" s="16"/>
      <c r="AF55" s="6"/>
      <c r="AG55" s="6"/>
      <c r="AH55" s="14"/>
    </row>
    <row r="56" spans="3:34" ht="12">
      <c r="C56" s="6"/>
      <c r="D56" s="6"/>
      <c r="F56" s="18"/>
      <c r="G56" s="18"/>
      <c r="H56" s="18"/>
      <c r="I56" s="10"/>
      <c r="J56" s="10"/>
      <c r="K56" s="10"/>
      <c r="L56" s="12"/>
      <c r="M56" s="6"/>
      <c r="N56" s="6"/>
      <c r="O56" s="6"/>
      <c r="P56" s="6"/>
      <c r="Q56" s="13"/>
      <c r="R56" s="10"/>
      <c r="S56" s="14"/>
      <c r="T56" s="14"/>
      <c r="U56" s="14"/>
      <c r="V56" s="14"/>
      <c r="W56" s="14"/>
      <c r="X56" s="14"/>
      <c r="Y56" s="14"/>
      <c r="Z56" s="14"/>
      <c r="AA56" s="14"/>
      <c r="AB56" s="15"/>
      <c r="AC56" s="16"/>
      <c r="AD56" s="6"/>
      <c r="AE56" s="16"/>
      <c r="AF56" s="6"/>
      <c r="AG56" s="6"/>
      <c r="AH56" s="14"/>
    </row>
    <row r="57" spans="3:34" ht="12">
      <c r="C57" s="6"/>
      <c r="D57" s="6"/>
      <c r="F57" s="18"/>
      <c r="G57" s="18"/>
      <c r="H57" s="18"/>
      <c r="I57" s="10"/>
      <c r="J57" s="10"/>
      <c r="K57" s="10"/>
      <c r="L57" s="12"/>
      <c r="M57" s="6"/>
      <c r="N57" s="6"/>
      <c r="O57" s="6"/>
      <c r="P57" s="6"/>
      <c r="Q57" s="13"/>
      <c r="R57" s="10"/>
      <c r="S57" s="14"/>
      <c r="T57" s="14"/>
      <c r="U57" s="14"/>
      <c r="V57" s="14"/>
      <c r="W57" s="14"/>
      <c r="X57" s="14"/>
      <c r="Y57" s="14"/>
      <c r="Z57" s="14"/>
      <c r="AA57" s="14"/>
      <c r="AB57" s="15"/>
      <c r="AC57" s="16"/>
      <c r="AD57" s="6"/>
      <c r="AE57" s="16"/>
      <c r="AF57" s="6"/>
      <c r="AG57" s="6"/>
      <c r="AH57" s="14"/>
    </row>
    <row r="58" spans="3:34" ht="12">
      <c r="C58" s="6"/>
      <c r="D58" s="6"/>
      <c r="F58" s="18"/>
      <c r="G58" s="18"/>
      <c r="H58" s="18"/>
      <c r="I58" s="10"/>
      <c r="J58" s="10"/>
      <c r="K58" s="10"/>
      <c r="L58" s="12"/>
      <c r="M58" s="6"/>
      <c r="N58" s="6"/>
      <c r="O58" s="6"/>
      <c r="P58" s="6"/>
      <c r="Q58" s="13"/>
      <c r="R58" s="10"/>
      <c r="S58" s="14"/>
      <c r="T58" s="14"/>
      <c r="U58" s="14"/>
      <c r="V58" s="14"/>
      <c r="W58" s="14"/>
      <c r="X58" s="14"/>
      <c r="Y58" s="14"/>
      <c r="Z58" s="14"/>
      <c r="AA58" s="14"/>
      <c r="AB58" s="15"/>
      <c r="AC58" s="16"/>
      <c r="AD58" s="6"/>
      <c r="AE58" s="16"/>
      <c r="AF58" s="6"/>
      <c r="AG58" s="6"/>
      <c r="AH58" s="14"/>
    </row>
    <row r="60" spans="2:34" ht="12">
      <c r="B60" s="6"/>
      <c r="C60" s="6"/>
      <c r="D60" s="6"/>
      <c r="F60" s="6"/>
      <c r="G60" s="6"/>
      <c r="H60" s="6"/>
      <c r="I60" s="10"/>
      <c r="J60" s="10"/>
      <c r="K60" s="10"/>
      <c r="L60" s="12"/>
      <c r="M60" s="6"/>
      <c r="N60" s="6"/>
      <c r="O60" s="6"/>
      <c r="P60" s="6"/>
      <c r="Q60" s="13"/>
      <c r="R60" s="10"/>
      <c r="S60" s="14"/>
      <c r="T60" s="14"/>
      <c r="U60" s="14"/>
      <c r="V60" s="14"/>
      <c r="W60" s="14"/>
      <c r="X60" s="14"/>
      <c r="Y60" s="14"/>
      <c r="Z60" s="14"/>
      <c r="AA60" s="14"/>
      <c r="AB60" s="15"/>
      <c r="AC60" s="16"/>
      <c r="AD60" s="6"/>
      <c r="AE60" s="16"/>
      <c r="AF60" s="6"/>
      <c r="AG60" s="6"/>
      <c r="AH60" s="14"/>
    </row>
    <row r="61" spans="2:34" ht="12">
      <c r="B61" s="6"/>
      <c r="C61" s="6"/>
      <c r="D61" s="6"/>
      <c r="F61" s="6"/>
      <c r="G61" s="6"/>
      <c r="H61" s="6"/>
      <c r="I61" s="10"/>
      <c r="J61" s="10"/>
      <c r="K61" s="10"/>
      <c r="L61" s="12"/>
      <c r="M61" s="6"/>
      <c r="N61" s="6"/>
      <c r="O61" s="6"/>
      <c r="P61" s="6"/>
      <c r="Q61" s="13"/>
      <c r="R61" s="10"/>
      <c r="S61" s="14"/>
      <c r="T61" s="14"/>
      <c r="U61" s="14"/>
      <c r="V61" s="14"/>
      <c r="W61" s="14"/>
      <c r="X61" s="14"/>
      <c r="Y61" s="14"/>
      <c r="Z61" s="14"/>
      <c r="AA61" s="14"/>
      <c r="AB61" s="15"/>
      <c r="AC61" s="16"/>
      <c r="AD61" s="6"/>
      <c r="AE61" s="16"/>
      <c r="AF61" s="6"/>
      <c r="AG61" s="6"/>
      <c r="AH61" s="14"/>
    </row>
    <row r="62" spans="2:34" ht="12">
      <c r="B62" s="6"/>
      <c r="C62" s="6"/>
      <c r="D62" s="6"/>
      <c r="F62" s="6"/>
      <c r="G62" s="6"/>
      <c r="H62" s="6"/>
      <c r="I62" s="10"/>
      <c r="J62" s="10"/>
      <c r="K62" s="10"/>
      <c r="L62" s="12"/>
      <c r="M62" s="6"/>
      <c r="N62" s="6"/>
      <c r="O62" s="6"/>
      <c r="P62" s="6"/>
      <c r="Q62" s="13"/>
      <c r="R62" s="10"/>
      <c r="S62" s="14"/>
      <c r="T62" s="14"/>
      <c r="U62" s="14"/>
      <c r="V62" s="14"/>
      <c r="W62" s="14"/>
      <c r="X62" s="14"/>
      <c r="Y62" s="14"/>
      <c r="Z62" s="14"/>
      <c r="AA62" s="14"/>
      <c r="AB62" s="15"/>
      <c r="AC62" s="16"/>
      <c r="AD62" s="6"/>
      <c r="AE62" s="16"/>
      <c r="AF62" s="6"/>
      <c r="AG62" s="6"/>
      <c r="AH62" s="14"/>
    </row>
    <row r="63" spans="2:34" ht="12">
      <c r="B63" s="6"/>
      <c r="C63" s="6"/>
      <c r="D63" s="6"/>
      <c r="E63" s="4"/>
      <c r="F63" s="6"/>
      <c r="G63" s="6"/>
      <c r="H63" s="6"/>
      <c r="I63" s="10"/>
      <c r="J63" s="10"/>
      <c r="K63" s="10"/>
      <c r="L63" s="12"/>
      <c r="M63" s="6"/>
      <c r="N63" s="6"/>
      <c r="O63" s="6"/>
      <c r="P63" s="6"/>
      <c r="Q63" s="13"/>
      <c r="R63" s="10"/>
      <c r="S63" s="14"/>
      <c r="T63" s="14"/>
      <c r="U63" s="14"/>
      <c r="V63" s="14"/>
      <c r="W63" s="14"/>
      <c r="X63" s="14"/>
      <c r="Y63" s="14"/>
      <c r="Z63" s="14"/>
      <c r="AA63" s="14"/>
      <c r="AB63" s="15"/>
      <c r="AC63" s="16"/>
      <c r="AD63" s="6"/>
      <c r="AE63" s="16"/>
      <c r="AF63" s="6"/>
      <c r="AG63" s="6"/>
      <c r="AH63" s="14"/>
    </row>
    <row r="64" spans="2:34" ht="12">
      <c r="B64" s="6"/>
      <c r="C64" s="6"/>
      <c r="D64" s="6"/>
      <c r="F64" s="6"/>
      <c r="G64" s="6"/>
      <c r="H64" s="6"/>
      <c r="I64" s="10"/>
      <c r="J64" s="10"/>
      <c r="K64" s="10"/>
      <c r="L64" s="12"/>
      <c r="M64" s="6"/>
      <c r="N64" s="6"/>
      <c r="O64" s="6"/>
      <c r="P64" s="6"/>
      <c r="Q64" s="13"/>
      <c r="R64" s="10"/>
      <c r="S64" s="14"/>
      <c r="T64" s="14"/>
      <c r="U64" s="14"/>
      <c r="V64" s="14"/>
      <c r="W64" s="14"/>
      <c r="X64" s="14"/>
      <c r="Y64" s="14"/>
      <c r="Z64" s="14"/>
      <c r="AA64" s="14"/>
      <c r="AB64" s="15"/>
      <c r="AC64" s="16"/>
      <c r="AD64" s="6"/>
      <c r="AE64" s="16"/>
      <c r="AF64" s="6"/>
      <c r="AG64" s="6"/>
      <c r="AH64" s="14"/>
    </row>
    <row r="65" spans="2:34" ht="12">
      <c r="B65" s="6"/>
      <c r="C65" s="6"/>
      <c r="D65" s="6"/>
      <c r="F65" s="6"/>
      <c r="G65" s="6"/>
      <c r="H65" s="6"/>
      <c r="I65" s="10"/>
      <c r="J65" s="10"/>
      <c r="K65" s="10"/>
      <c r="L65" s="12"/>
      <c r="M65" s="6"/>
      <c r="N65" s="6"/>
      <c r="O65" s="6"/>
      <c r="P65" s="6"/>
      <c r="Q65" s="13"/>
      <c r="R65" s="10"/>
      <c r="S65" s="14"/>
      <c r="T65" s="14"/>
      <c r="U65" s="14"/>
      <c r="V65" s="14"/>
      <c r="W65" s="14"/>
      <c r="X65" s="14"/>
      <c r="Y65" s="14"/>
      <c r="Z65" s="14"/>
      <c r="AA65" s="14"/>
      <c r="AB65" s="15"/>
      <c r="AC65" s="16"/>
      <c r="AD65" s="6"/>
      <c r="AE65" s="16"/>
      <c r="AF65" s="6"/>
      <c r="AG65" s="6"/>
      <c r="AH65" s="14"/>
    </row>
    <row r="66" spans="9:34" ht="12">
      <c r="I66" s="10"/>
      <c r="J66" s="10"/>
      <c r="K66" s="10"/>
      <c r="L66" s="12"/>
      <c r="Q66" s="13"/>
      <c r="R66" s="10"/>
      <c r="S66" s="14"/>
      <c r="T66" s="14"/>
      <c r="U66" s="14"/>
      <c r="V66" s="14"/>
      <c r="W66" s="14"/>
      <c r="X66" s="14"/>
      <c r="Y66" s="14"/>
      <c r="Z66" s="14"/>
      <c r="AA66" s="14"/>
      <c r="AB66" s="15"/>
      <c r="AC66" s="16"/>
      <c r="AE66" s="16"/>
      <c r="AH66" s="14"/>
    </row>
    <row r="67" spans="2:34" ht="12">
      <c r="B67" s="6"/>
      <c r="C67" s="6"/>
      <c r="D67" s="6"/>
      <c r="F67" s="6"/>
      <c r="G67" s="6"/>
      <c r="H67" s="6"/>
      <c r="I67" s="10"/>
      <c r="J67" s="10"/>
      <c r="K67" s="10"/>
      <c r="L67" s="12"/>
      <c r="M67" s="6"/>
      <c r="N67" s="6"/>
      <c r="O67" s="6"/>
      <c r="P67" s="6"/>
      <c r="Q67" s="13"/>
      <c r="R67" s="10"/>
      <c r="S67" s="14"/>
      <c r="T67" s="14"/>
      <c r="U67" s="14"/>
      <c r="V67" s="14"/>
      <c r="W67" s="14"/>
      <c r="X67" s="14"/>
      <c r="Y67" s="14"/>
      <c r="Z67" s="14"/>
      <c r="AA67" s="14"/>
      <c r="AB67" s="15"/>
      <c r="AC67" s="16"/>
      <c r="AD67" s="6"/>
      <c r="AE67" s="16"/>
      <c r="AF67" s="6"/>
      <c r="AG67" s="6"/>
      <c r="AH67" s="14"/>
    </row>
    <row r="68" spans="2:34" ht="12">
      <c r="B68" s="6"/>
      <c r="C68" s="6"/>
      <c r="D68" s="6"/>
      <c r="F68" s="6"/>
      <c r="G68" s="6"/>
      <c r="H68" s="6"/>
      <c r="I68" s="10"/>
      <c r="J68" s="10"/>
      <c r="K68" s="10"/>
      <c r="L68" s="12"/>
      <c r="M68" s="6"/>
      <c r="N68" s="6"/>
      <c r="O68" s="6"/>
      <c r="P68" s="6"/>
      <c r="Q68" s="13"/>
      <c r="R68" s="10"/>
      <c r="S68" s="14"/>
      <c r="T68" s="14"/>
      <c r="U68" s="14"/>
      <c r="V68" s="14"/>
      <c r="W68" s="14"/>
      <c r="X68" s="14"/>
      <c r="Y68" s="14"/>
      <c r="Z68" s="14"/>
      <c r="AA68" s="14"/>
      <c r="AB68" s="15"/>
      <c r="AC68" s="16"/>
      <c r="AD68" s="6"/>
      <c r="AE68" s="16"/>
      <c r="AF68" s="6"/>
      <c r="AG68" s="6"/>
      <c r="AH68" s="14"/>
    </row>
    <row r="69" spans="2:34" ht="12">
      <c r="B69" s="6"/>
      <c r="C69" s="6"/>
      <c r="D69" s="6"/>
      <c r="F69" s="6"/>
      <c r="G69" s="6"/>
      <c r="H69" s="6"/>
      <c r="I69" s="10"/>
      <c r="J69" s="10"/>
      <c r="K69" s="10"/>
      <c r="L69" s="12"/>
      <c r="M69" s="6"/>
      <c r="N69" s="6"/>
      <c r="O69" s="6"/>
      <c r="P69" s="6"/>
      <c r="Q69" s="13"/>
      <c r="R69" s="10"/>
      <c r="S69" s="14"/>
      <c r="T69" s="14"/>
      <c r="U69" s="14"/>
      <c r="V69" s="14"/>
      <c r="W69" s="14"/>
      <c r="X69" s="14"/>
      <c r="Y69" s="14"/>
      <c r="Z69" s="14"/>
      <c r="AA69" s="14"/>
      <c r="AB69" s="15"/>
      <c r="AC69" s="16"/>
      <c r="AD69" s="6"/>
      <c r="AE69" s="16"/>
      <c r="AF69" s="6"/>
      <c r="AG69" s="6"/>
      <c r="AH69" s="14"/>
    </row>
    <row r="70" spans="2:34" ht="12">
      <c r="B70" s="6"/>
      <c r="C70" s="6"/>
      <c r="D70" s="6"/>
      <c r="E70" s="4"/>
      <c r="F70" s="6"/>
      <c r="G70" s="6"/>
      <c r="H70" s="6"/>
      <c r="I70" s="10"/>
      <c r="J70" s="10"/>
      <c r="K70" s="10"/>
      <c r="L70" s="12"/>
      <c r="M70" s="6"/>
      <c r="N70" s="6"/>
      <c r="O70" s="6"/>
      <c r="P70" s="6"/>
      <c r="Q70" s="13"/>
      <c r="R70" s="10"/>
      <c r="S70" s="14"/>
      <c r="T70" s="14"/>
      <c r="U70" s="14"/>
      <c r="V70" s="14"/>
      <c r="W70" s="14"/>
      <c r="X70" s="14"/>
      <c r="Y70" s="14"/>
      <c r="Z70" s="14"/>
      <c r="AA70" s="14"/>
      <c r="AB70" s="15"/>
      <c r="AC70" s="16"/>
      <c r="AD70" s="6"/>
      <c r="AE70" s="16"/>
      <c r="AF70" s="6"/>
      <c r="AG70" s="6"/>
      <c r="AH70" s="14"/>
    </row>
    <row r="71" spans="2:34" ht="12">
      <c r="B71" s="6"/>
      <c r="C71" s="6"/>
      <c r="D71" s="6"/>
      <c r="F71" s="6"/>
      <c r="G71" s="6"/>
      <c r="H71" s="6"/>
      <c r="I71" s="10"/>
      <c r="J71" s="10"/>
      <c r="K71" s="10"/>
      <c r="L71" s="12"/>
      <c r="M71" s="6"/>
      <c r="N71" s="6"/>
      <c r="O71" s="6"/>
      <c r="P71" s="6"/>
      <c r="Q71" s="13"/>
      <c r="R71" s="10"/>
      <c r="S71" s="14"/>
      <c r="T71" s="14"/>
      <c r="U71" s="14"/>
      <c r="V71" s="14"/>
      <c r="W71" s="14"/>
      <c r="X71" s="14"/>
      <c r="Y71" s="14"/>
      <c r="Z71" s="14"/>
      <c r="AA71" s="14"/>
      <c r="AB71" s="15"/>
      <c r="AC71" s="16"/>
      <c r="AD71" s="6"/>
      <c r="AE71" s="16"/>
      <c r="AF71" s="6"/>
      <c r="AG71" s="6"/>
      <c r="AH71" s="14"/>
    </row>
    <row r="72" spans="2:34" ht="12">
      <c r="B72" s="6"/>
      <c r="C72" s="6"/>
      <c r="D72" s="6"/>
      <c r="F72" s="6"/>
      <c r="G72" s="6"/>
      <c r="H72" s="6"/>
      <c r="I72" s="10"/>
      <c r="J72" s="10"/>
      <c r="K72" s="10"/>
      <c r="L72" s="12"/>
      <c r="M72" s="6"/>
      <c r="N72" s="6"/>
      <c r="O72" s="6"/>
      <c r="P72" s="6"/>
      <c r="Q72" s="13"/>
      <c r="R72" s="10"/>
      <c r="S72" s="14"/>
      <c r="T72" s="14"/>
      <c r="U72" s="14"/>
      <c r="V72" s="14"/>
      <c r="W72" s="14"/>
      <c r="X72" s="14"/>
      <c r="Y72" s="14"/>
      <c r="Z72" s="14"/>
      <c r="AA72" s="14"/>
      <c r="AB72" s="15"/>
      <c r="AC72" s="16"/>
      <c r="AD72" s="6"/>
      <c r="AE72" s="16"/>
      <c r="AF72" s="6"/>
      <c r="AG72" s="6"/>
      <c r="AH72" s="14"/>
    </row>
    <row r="73" spans="9:34" ht="12">
      <c r="I73" s="10"/>
      <c r="J73" s="10"/>
      <c r="K73" s="10"/>
      <c r="L73" s="12"/>
      <c r="Q73" s="13"/>
      <c r="R73" s="10"/>
      <c r="S73" s="14"/>
      <c r="T73" s="14"/>
      <c r="U73" s="14"/>
      <c r="V73" s="14"/>
      <c r="W73" s="14"/>
      <c r="X73" s="14"/>
      <c r="Y73" s="14"/>
      <c r="Z73" s="14"/>
      <c r="AA73" s="14"/>
      <c r="AB73" s="15"/>
      <c r="AC73" s="16"/>
      <c r="AE73" s="16"/>
      <c r="AH73" s="14"/>
    </row>
    <row r="74" spans="2:34" ht="12">
      <c r="B74" s="6"/>
      <c r="C74" s="6"/>
      <c r="D74" s="6"/>
      <c r="F74" s="6"/>
      <c r="G74" s="6"/>
      <c r="H74" s="6"/>
      <c r="I74" s="10"/>
      <c r="J74" s="10"/>
      <c r="K74" s="10"/>
      <c r="L74" s="12"/>
      <c r="M74" s="6"/>
      <c r="N74" s="6"/>
      <c r="O74" s="6"/>
      <c r="P74" s="6"/>
      <c r="Q74" s="13"/>
      <c r="R74" s="10"/>
      <c r="S74" s="14"/>
      <c r="T74" s="14"/>
      <c r="U74" s="14"/>
      <c r="V74" s="14"/>
      <c r="W74" s="14"/>
      <c r="X74" s="14"/>
      <c r="Y74" s="14"/>
      <c r="Z74" s="14"/>
      <c r="AA74" s="14"/>
      <c r="AB74" s="15"/>
      <c r="AC74" s="16"/>
      <c r="AD74" s="6"/>
      <c r="AE74" s="16"/>
      <c r="AF74" s="6"/>
      <c r="AG74" s="6"/>
      <c r="AH74" s="14"/>
    </row>
    <row r="75" spans="2:34" ht="12">
      <c r="B75" s="6"/>
      <c r="C75" s="6"/>
      <c r="D75" s="6"/>
      <c r="F75" s="6"/>
      <c r="G75" s="6"/>
      <c r="H75" s="6"/>
      <c r="I75" s="10"/>
      <c r="J75" s="10"/>
      <c r="K75" s="10"/>
      <c r="L75" s="12"/>
      <c r="M75" s="6"/>
      <c r="N75" s="6"/>
      <c r="O75" s="6"/>
      <c r="P75" s="6"/>
      <c r="Q75" s="13"/>
      <c r="R75" s="10"/>
      <c r="S75" s="14"/>
      <c r="T75" s="14"/>
      <c r="U75" s="14"/>
      <c r="V75" s="14"/>
      <c r="W75" s="14"/>
      <c r="X75" s="14"/>
      <c r="Y75" s="14"/>
      <c r="Z75" s="14"/>
      <c r="AA75" s="14"/>
      <c r="AB75" s="15"/>
      <c r="AC75" s="16"/>
      <c r="AD75" s="6"/>
      <c r="AE75" s="16"/>
      <c r="AF75" s="6"/>
      <c r="AG75" s="6"/>
      <c r="AH75" s="14"/>
    </row>
    <row r="76" spans="2:34" ht="12">
      <c r="B76" s="6"/>
      <c r="C76" s="6"/>
      <c r="D76" s="6"/>
      <c r="F76" s="6"/>
      <c r="G76" s="6"/>
      <c r="H76" s="6"/>
      <c r="I76" s="10"/>
      <c r="J76" s="10"/>
      <c r="K76" s="10"/>
      <c r="L76" s="12"/>
      <c r="M76" s="6"/>
      <c r="N76" s="6"/>
      <c r="O76" s="6"/>
      <c r="P76" s="6"/>
      <c r="Q76" s="13"/>
      <c r="R76" s="10"/>
      <c r="S76" s="14"/>
      <c r="T76" s="14"/>
      <c r="U76" s="14"/>
      <c r="V76" s="14"/>
      <c r="W76" s="14"/>
      <c r="X76" s="14"/>
      <c r="Y76" s="14"/>
      <c r="Z76" s="14"/>
      <c r="AA76" s="14"/>
      <c r="AB76" s="15"/>
      <c r="AC76" s="16"/>
      <c r="AD76" s="6"/>
      <c r="AE76" s="16"/>
      <c r="AF76" s="6"/>
      <c r="AG76" s="6"/>
      <c r="AH76" s="14"/>
    </row>
    <row r="77" spans="2:34" ht="12">
      <c r="B77" s="6"/>
      <c r="C77" s="6"/>
      <c r="D77" s="6"/>
      <c r="E77" s="4"/>
      <c r="F77" s="6"/>
      <c r="G77" s="6"/>
      <c r="H77" s="6"/>
      <c r="I77" s="10"/>
      <c r="J77" s="10"/>
      <c r="K77" s="10"/>
      <c r="L77" s="12"/>
      <c r="M77" s="6"/>
      <c r="N77" s="6"/>
      <c r="O77" s="6"/>
      <c r="P77" s="6"/>
      <c r="Q77" s="13"/>
      <c r="R77" s="10"/>
      <c r="S77" s="14"/>
      <c r="T77" s="14"/>
      <c r="U77" s="14"/>
      <c r="V77" s="14"/>
      <c r="W77" s="14"/>
      <c r="X77" s="14"/>
      <c r="Y77" s="14"/>
      <c r="Z77" s="14"/>
      <c r="AA77" s="14"/>
      <c r="AB77" s="15"/>
      <c r="AC77" s="16"/>
      <c r="AD77" s="6"/>
      <c r="AE77" s="16"/>
      <c r="AF77" s="6"/>
      <c r="AG77" s="6"/>
      <c r="AH77" s="14"/>
    </row>
    <row r="78" spans="2:34" ht="12">
      <c r="B78" s="6"/>
      <c r="C78" s="6"/>
      <c r="D78" s="6"/>
      <c r="F78" s="6"/>
      <c r="G78" s="6"/>
      <c r="H78" s="6"/>
      <c r="I78" s="10"/>
      <c r="J78" s="10"/>
      <c r="K78" s="10"/>
      <c r="L78" s="12"/>
      <c r="M78" s="6"/>
      <c r="N78" s="6"/>
      <c r="O78" s="6"/>
      <c r="P78" s="6"/>
      <c r="Q78" s="13"/>
      <c r="R78" s="10"/>
      <c r="S78" s="14"/>
      <c r="T78" s="14"/>
      <c r="U78" s="14"/>
      <c r="V78" s="14"/>
      <c r="W78" s="14"/>
      <c r="X78" s="14"/>
      <c r="Y78" s="14"/>
      <c r="Z78" s="14"/>
      <c r="AA78" s="14"/>
      <c r="AB78" s="15"/>
      <c r="AC78" s="16"/>
      <c r="AD78" s="6"/>
      <c r="AE78" s="16"/>
      <c r="AF78" s="6"/>
      <c r="AG78" s="6"/>
      <c r="AH78" s="14"/>
    </row>
    <row r="79" spans="2:34" ht="12">
      <c r="B79" s="6"/>
      <c r="C79" s="6"/>
      <c r="D79" s="6"/>
      <c r="F79" s="6"/>
      <c r="G79" s="6"/>
      <c r="H79" s="6"/>
      <c r="I79" s="10"/>
      <c r="J79" s="10"/>
      <c r="K79" s="10"/>
      <c r="L79" s="12"/>
      <c r="M79" s="6"/>
      <c r="N79" s="6"/>
      <c r="O79" s="6"/>
      <c r="P79" s="6"/>
      <c r="Q79" s="13"/>
      <c r="R79" s="10"/>
      <c r="S79" s="14"/>
      <c r="T79" s="14"/>
      <c r="U79" s="14"/>
      <c r="V79" s="14"/>
      <c r="W79" s="14"/>
      <c r="X79" s="14"/>
      <c r="Y79" s="14"/>
      <c r="Z79" s="14"/>
      <c r="AA79" s="14"/>
      <c r="AB79" s="15"/>
      <c r="AC79" s="16"/>
      <c r="AD79" s="6"/>
      <c r="AE79" s="16"/>
      <c r="AF79" s="6"/>
      <c r="AG79" s="6"/>
      <c r="AH79" s="14"/>
    </row>
  </sheetData>
  <sheetProtection password="CA7D" sheet="1" objects="1" scenarios="1"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Randy A. Motz</cp:lastModifiedBy>
  <cp:lastPrinted>2000-07-28T17:42:13Z</cp:lastPrinted>
  <dcterms:created xsi:type="dcterms:W3CDTF">2000-07-21T12:06:35Z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