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2270" activeTab="1"/>
  </bookViews>
  <sheets>
    <sheet name="User's Guide" sheetId="1" r:id="rId1"/>
    <sheet name="Project Description" sheetId="2" r:id="rId2"/>
    <sheet name="ERR &amp; Sensitivity Analysis" sheetId="3" r:id="rId3"/>
    <sheet name="ERR Simulation" sheetId="4" r:id="rId4"/>
    <sheet name="Survival Probabilities" sheetId="5" r:id="rId5"/>
    <sheet name="Enterprise Data" sheetId="6" r:id="rId6"/>
    <sheet name="Sample Size Calculation"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dopter_Expansion">'[4]Cost and Benefit Summary'!$D$76</definedName>
    <definedName name="adoption_rate">#REF!</definedName>
    <definedName name="AF">'[6]AGENT'!#REF!</definedName>
    <definedName name="affec">'[8].'!$A$38:$A$79</definedName>
    <definedName name="ALIAS">#REF!</definedName>
    <definedName name="as">#REF!</definedName>
    <definedName name="AUG">'[10].'!$A$38:$A$79</definedName>
    <definedName name="BaseReturn">#REF!</definedName>
    <definedName name="Basic_Assumptions_and_Info">'[1]Assumptions and Basic Info'!$B$2</definedName>
    <definedName name="CBWorkbookPriority" hidden="1">-1623304922</definedName>
    <definedName name="Charges_et_recettes">#REF!</definedName>
    <definedName name="Class1_wo_expt">#REF!</definedName>
    <definedName name="Class2_wo_expt">#REF!</definedName>
    <definedName name="Class3_wo_expt">#REF!</definedName>
    <definedName name="CR_10_ans">#REF!</definedName>
    <definedName name="dd">#REF!</definedName>
    <definedName name="death_rate_stage_III_T">'[2]Diabetes Costs &amp; Benefits'!$C$26</definedName>
    <definedName name="death_rate_stage_III_UT">'[2]Diabetes Costs &amp; Benefits'!$C$25</definedName>
    <definedName name="death_rate_stage_IV_T">'[2]Hypertension Costs &amp; Benefits'!$C$28</definedName>
    <definedName name="death_rate_stage_IV_UT">'[2]Hypertension Costs &amp; Benefits'!$C$27</definedName>
    <definedName name="DESAGRAFFEUSE">#REF!</definedName>
    <definedName name="df">#REF!</definedName>
    <definedName name="Discount_Rate">#REF!</definedName>
    <definedName name="drip_adoption_rate">#REF!</definedName>
    <definedName name="equity">#REF!</definedName>
    <definedName name="exrate">#REF!</definedName>
    <definedName name="farmIrrha">#REF!</definedName>
    <definedName name="farmsbenefiting">#REF!</definedName>
    <definedName name="FEUTRE">#REF!</definedName>
    <definedName name="gage_adoption_rate">#REF!</definedName>
    <definedName name="hva_only_rate">#REF!</definedName>
    <definedName name="HVATrainCost">#REF!</definedName>
    <definedName name="I_to_II_T_W">'[2]Hypertension Costs &amp; Benefits'!$J$82</definedName>
    <definedName name="I_to_II_T_WO">'[2]Hypertension Costs &amp; Benefits'!$J$32</definedName>
    <definedName name="I_to_II_UT">'[2]Hypertension Costs &amp; Benefits'!$E$32</definedName>
    <definedName name="II_t0_III_T_WO">'[2]Hypertension Costs &amp; Benefits'!$J$33</definedName>
    <definedName name="II_t0_III_UT">'[2]Hypertension Costs &amp; Benefits'!$E$33</definedName>
    <definedName name="II_to_III_T_W">'[2]Hypertension Costs &amp; Benefits'!$J$83</definedName>
    <definedName name="II_to_III_UT">'[2]Diabetes Costs &amp; Benefits'!$E$31</definedName>
    <definedName name="III_to_IV_T_W">'[2]Hypertension Costs &amp; Benefits'!$J$84</definedName>
    <definedName name="III_to_IV_T_WO">'[2]Hypertension Costs &amp; Benefits'!$J$34</definedName>
    <definedName name="III_to_IV_UT">'[2]Hypertension Costs &amp; Benefits'!$E$34</definedName>
    <definedName name="IMPRESSION">#REF!</definedName>
    <definedName name="income_p">'[2]Hypertension Costs &amp; Benefits'!$E$6</definedName>
    <definedName name="inte">#REF!</definedName>
    <definedName name="invest_drip">#REF!</definedName>
    <definedName name="invest_dripHVA">#REF!</definedName>
    <definedName name="invest_gage">#REF!</definedName>
    <definedName name="invest_gageHVA">#REF!</definedName>
    <definedName name="invest_HVA">#REF!</definedName>
    <definedName name="invest_monitor">#REF!</definedName>
    <definedName name="invest_monitorHVA">#REF!</definedName>
    <definedName name="InvestBase">#REF!</definedName>
    <definedName name="irrigation_and_HVA_rate">#REF!</definedName>
    <definedName name="irrigation_only_rate">#REF!</definedName>
    <definedName name="IrrTrainCost">#REF!</definedName>
    <definedName name="Land_Holding_Adj">'[4]Cost and Benefit Summary'!$D$78</definedName>
    <definedName name="lett">#REF!</definedName>
    <definedName name="MarketingMaturity">#REF!</definedName>
    <definedName name="MarketingReturn">#REF!</definedName>
    <definedName name="MLE">'[6]AGENT'!#REF!</definedName>
    <definedName name="monitor_adoption_rate">#REF!</definedName>
    <definedName name="nbre">#REF!</definedName>
    <definedName name="NEZHA">'[9]AGENT'!#REF!</definedName>
    <definedName name="ns">#REF!</definedName>
    <definedName name="OCC">'[4]Zone1'!$F$6</definedName>
    <definedName name="op_drip">#REF!</definedName>
    <definedName name="op_dripHVA">#REF!</definedName>
    <definedName name="op_gage">#REF!</definedName>
    <definedName name="op_gageHVA">#REF!</definedName>
    <definedName name="op_HVA">#REF!</definedName>
    <definedName name="op_monitor">#REF!</definedName>
    <definedName name="op_monitorHVA">#REF!</definedName>
    <definedName name="PAPIER_FORT">#REF!</definedName>
    <definedName name="photoA3">#REF!</definedName>
    <definedName name="photocopie">#REF!</definedName>
    <definedName name="pop_growth">'[2]Hypertension Costs &amp; Benefits'!$C$5</definedName>
    <definedName name="POUBELLE">#REF!</definedName>
    <definedName name="ProcessingMaturity">#REF!</definedName>
    <definedName name="projadmin">#REF!</definedName>
    <definedName name="REPERTOIRE">#REF!</definedName>
    <definedName name="Résultat">#REF!</definedName>
    <definedName name="Résultats">#REF!</definedName>
    <definedName name="rev_drip">#REF!</definedName>
    <definedName name="rev_dripHVA">#REF!</definedName>
    <definedName name="rev_gage">#REF!</definedName>
    <definedName name="rev_gageHVA">#REF!</definedName>
    <definedName name="rev_HVA">#REF!</definedName>
    <definedName name="rev_monitor">#REF!</definedName>
    <definedName name="rev_monitorHVA">#REF!</definedName>
    <definedName name="Sup1.1">#REF!</definedName>
    <definedName name="Sup1.2">#REF!</definedName>
    <definedName name="Sup1.3">#REF!</definedName>
    <definedName name="Sup1.4">#REF!</definedName>
    <definedName name="Sup1.5">#REF!</definedName>
    <definedName name="Sup1.6">#REF!</definedName>
    <definedName name="Sup1.7">#REF!</definedName>
    <definedName name="Sup1.8">#REF!</definedName>
    <definedName name="Tab_1">'[3]Scheme 01'!$B$2</definedName>
    <definedName name="Tab1">#REF!</definedName>
    <definedName name="Tab1a">#REF!</definedName>
    <definedName name="Tab2">#REF!</definedName>
    <definedName name="Tab2a">#REF!</definedName>
    <definedName name="Tab3">#REF!</definedName>
    <definedName name="Tab3a">#REF!</definedName>
    <definedName name="Tab4">#REF!</definedName>
    <definedName name="Tab4a">#REF!</definedName>
    <definedName name="TabA1">'[1]Irrigation Summary'!$B$2</definedName>
    <definedName name="TabA2">'[1]Irrigation Summary'!$B$488</definedName>
    <definedName name="TRANS_PHOTOC">#REF!</definedName>
    <definedName name="wrn.EXPANSION." hidden="1">{#N/A,#N/A,FALSE,"INVEST-SUP";#N/A,#N/A,FALSE,"GRILLEC";#N/A,#N/A,FALSE,"HYPER"}</definedName>
  </definedNames>
  <calcPr fullCalcOnLoad="1"/>
</workbook>
</file>

<file path=xl/comments4.xml><?xml version="1.0" encoding="utf-8"?>
<comments xmlns="http://schemas.openxmlformats.org/spreadsheetml/2006/main">
  <authors>
    <author>Andrew Warner</author>
  </authors>
  <commentList>
    <comment ref="C29" authorId="0">
      <text>
        <r>
          <rPr>
            <b/>
            <sz val="8"/>
            <rFont val="Tahoma"/>
            <family val="0"/>
          </rPr>
          <t>MCC:</t>
        </r>
        <r>
          <rPr>
            <sz val="8"/>
            <rFont val="Tahoma"/>
            <family val="0"/>
          </rPr>
          <t xml:space="preserve">
Assumption (Moroccans initialy estimated MAD 700000)</t>
        </r>
      </text>
    </comment>
  </commentList>
</comments>
</file>

<file path=xl/sharedStrings.xml><?xml version="1.0" encoding="utf-8"?>
<sst xmlns="http://schemas.openxmlformats.org/spreadsheetml/2006/main" count="154" uniqueCount="118">
  <si>
    <t>The Enterprise Support Project will measure and improve the outcomes of two existing high priority Government initiatives, Moukawalati and the National Initiative for Human Development ("INDH"). The Enterprise Support Project is structured in two phases: First, a set of three pilots will measure the impact of several training initiatives offered to current beneficiaries of these Government programs who would receive further training and technical assistance designed to increase their rate of survival. Second, if results reported by an independently conducted evaluation are promising, training initiatives will be expanded beginning in the third year of the Compact Term. In addition, the Government agency sponsors of the programs would receive support to help them better manage the selection and training processes for these entrepreneurs.</t>
  </si>
  <si>
    <t>Annual survival probability</t>
  </si>
  <si>
    <t>Mortality Rates 1</t>
  </si>
  <si>
    <t>Mortality Rates 2</t>
  </si>
  <si>
    <t>Cumulative Survival Probabilities 1</t>
  </si>
  <si>
    <t>Cumulative Survival Probabilities 2</t>
  </si>
  <si>
    <t>Moukawalati-OFPPT</t>
  </si>
  <si>
    <t>Moukawalati-ANPME</t>
  </si>
  <si>
    <t>AGR-INDH</t>
  </si>
  <si>
    <t>ERR Business Plans</t>
  </si>
  <si>
    <t>Exchange rate</t>
  </si>
  <si>
    <t>Number of Enterprises</t>
  </si>
  <si>
    <t>Unemployment rate</t>
  </si>
  <si>
    <t>Average monthly salary of graduate of OFPPT working at company</t>
  </si>
  <si>
    <t>Average Physical Investment (DHS '000)</t>
  </si>
  <si>
    <t>Average Investment in Training and TA</t>
  </si>
  <si>
    <t>Total Investment cost per enterprise</t>
  </si>
  <si>
    <t>Average annual sales (DHS '000)</t>
  </si>
  <si>
    <t>Increase in sales due to training</t>
  </si>
  <si>
    <t>Value added</t>
  </si>
  <si>
    <t>Increase in VA due to training</t>
  </si>
  <si>
    <t>Percentage change due to project</t>
  </si>
  <si>
    <t>Without project</t>
  </si>
  <si>
    <t>With project</t>
  </si>
  <si>
    <t>Difference</t>
  </si>
  <si>
    <t>Percentage reduction in annual failure rates due to training</t>
  </si>
  <si>
    <t>Failure Rates (without project)</t>
  </si>
  <si>
    <t>Failure Rates (with project)</t>
  </si>
  <si>
    <t>Cumulative Survival Probabilities (without)</t>
  </si>
  <si>
    <t>Cumulative Survival Probabilities (with)</t>
  </si>
  <si>
    <t>Value Added as percent of sales</t>
  </si>
  <si>
    <t>ERR</t>
  </si>
  <si>
    <t xml:space="preserve">Costs </t>
  </si>
  <si>
    <t>Employees per enterprise</t>
  </si>
  <si>
    <t>VA per employee</t>
  </si>
  <si>
    <t>no project</t>
  </si>
  <si>
    <t>project</t>
  </si>
  <si>
    <t>prob of enterprise</t>
  </si>
  <si>
    <t>earnings if enterprise</t>
  </si>
  <si>
    <t>earnings if laborer</t>
  </si>
  <si>
    <t>Expected Earnings</t>
  </si>
  <si>
    <t>('000 $US)</t>
  </si>
  <si>
    <t>True probability</t>
  </si>
  <si>
    <t>Sample size</t>
  </si>
  <si>
    <t>Variance</t>
  </si>
  <si>
    <t>Standard Deviation</t>
  </si>
  <si>
    <t>+1.96s</t>
  </si>
  <si>
    <t>-1.96s</t>
  </si>
  <si>
    <t>Expected Gross Value Added (one enterprise)</t>
  </si>
  <si>
    <t xml:space="preserve">Year </t>
  </si>
  <si>
    <t>Cumulative Survival Probabilities</t>
  </si>
  <si>
    <t>Total Benefits</t>
  </si>
  <si>
    <t>Total number of firms assisted</t>
  </si>
  <si>
    <t>Last updated: 7/12/2007</t>
  </si>
  <si>
    <t>Project name</t>
  </si>
  <si>
    <t>Spreadsheet version</t>
  </si>
  <si>
    <t>Date</t>
  </si>
  <si>
    <t>Amount of MCC funds</t>
  </si>
  <si>
    <t>Project Description</t>
  </si>
  <si>
    <t>Benefit streams included in ERR</t>
  </si>
  <si>
    <t>Costs included in ERR (other than costs borne by MCC)</t>
  </si>
  <si>
    <t>Estimated ERR and time horizon</t>
  </si>
  <si>
    <t>Worksheets in this file</t>
  </si>
  <si>
    <t>This sheet should be read first, as it offers a summary of the project, a list of components, and states the economic rationale for the activity.</t>
  </si>
  <si>
    <t>ERR &amp; Sensitivity Analysis</t>
  </si>
  <si>
    <t>This sheet contains brief summary of the activity's key parameters and ERR calculations, giving the user the opportunity to test the sensitivity to the ERR of various changes in parameters.</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</si>
  <si>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</si>
  <si>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</si>
  <si>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</si>
  <si>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</si>
  <si>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</si>
  <si>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</si>
  <si>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</si>
  <si>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</si>
  <si>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</si>
  <si>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</si>
  <si>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</si>
  <si>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</si>
  <si>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</si>
  <si>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</si>
  <si>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</si>
  <si>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</si>
  <si>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Summary</t>
  </si>
  <si>
    <t>Components</t>
  </si>
  <si>
    <t>0 - 50%</t>
  </si>
  <si>
    <r>
      <t xml:space="preserve">MCC Estimated ERR </t>
    </r>
    <r>
      <rPr>
        <b/>
        <sz val="8"/>
        <rFont val="Arial"/>
        <family val="2"/>
      </rPr>
      <t>(as of 7/12/2007)</t>
    </r>
    <r>
      <rPr>
        <b/>
        <sz val="10"/>
        <rFont val="Arial"/>
        <family val="2"/>
      </rPr>
      <t>:</t>
    </r>
  </si>
  <si>
    <r>
      <t xml:space="preserve">   </t>
    </r>
    <r>
      <rPr>
        <u val="single"/>
        <sz val="10"/>
        <color indexed="12"/>
        <rFont val="Arial"/>
        <family val="2"/>
      </rPr>
      <t>User's Guide</t>
    </r>
  </si>
  <si>
    <t>Morocco: Enterprise Support</t>
  </si>
  <si>
    <t>Enterprise Support Project</t>
  </si>
  <si>
    <t>$33.9 million</t>
  </si>
  <si>
    <t>Investment memo, final</t>
  </si>
  <si>
    <t>The Enterprise Support Project will measure and improve the outcomes of two existing high priority Government initiatives, Moukawalati and INDH. The Enterprise Support Project is structured in two phases: First, a set of three pilots will measure the impact of several training initiatives offered to current beneficiaries of these Government programs who would receive further training and technical assistance designed to increase their rate of survival. Second, if results reported by an independently conducted evaluation are promising, training initiatives will be expanded beginning in the third year of the Compact Term. In addition, the Government agency sponsors of the programs would receive support to help them better manage the selection and training processes for these entrepreneurs.</t>
  </si>
  <si>
    <t>Incremental value added by new enterprises</t>
  </si>
  <si>
    <t>Foregone wages of trainees</t>
  </si>
  <si>
    <t>13.5% over 10 years</t>
  </si>
  <si>
    <t>ERR Simulation</t>
  </si>
  <si>
    <t>Survival Probabilities</t>
  </si>
  <si>
    <t>Enterprise Data</t>
  </si>
  <si>
    <t>Sample Size Calculation</t>
  </si>
  <si>
    <t>The Enterprise Support Project consists of the following Project Activities:</t>
  </si>
  <si>
    <t>Business Survival</t>
  </si>
  <si>
    <t>Percentage reduction in annual business failure rates due to training</t>
  </si>
  <si>
    <t>25 - 50%</t>
  </si>
  <si>
    <t>0 - 10%</t>
  </si>
  <si>
    <t>Percentage increase in sales due to training and technical assistance</t>
  </si>
  <si>
    <t>Percentage increase in sales due to training and TA</t>
  </si>
  <si>
    <t>Calculates the sample sizes necessary to reach 95% and 90% confidence intervals on the evaluation survey.</t>
  </si>
  <si>
    <t>(In dirhams)</t>
  </si>
  <si>
    <r>
      <t xml:space="preserve">   </t>
    </r>
    <r>
      <rPr>
        <u val="single"/>
        <sz val="10"/>
        <color indexed="12"/>
        <rFont val="Arial"/>
        <family val="0"/>
      </rPr>
      <t>Project Description</t>
    </r>
  </si>
  <si>
    <t>Economic Rationale</t>
  </si>
  <si>
    <t>Estimates the annual costs and benefits of the project and computes the resulting ERR over a 10-year time period.</t>
  </si>
  <si>
    <t>Projects the probability of survival for businesses with and without the project.</t>
  </si>
  <si>
    <t>Calculates the revenues and expenses of enterprises participating in the project.</t>
  </si>
  <si>
    <t xml:space="preserve">     Since many of the assumptions underlying this analysis are in question, funding is initially requested for a pilot. The analysis of the pilot should obtain better estimates of the key parameters. To determine whether justification exists for scaling-up the pilot program, the economic simulation model described here will be used again once the new data from the pilot studies are available. Any program that has an acceptable economic rate of return based on the best available data after the pilot programs are completed will be scaled up.</t>
  </si>
  <si>
    <t xml:space="preserve">     However, there is scant evidence that a lack of training is the binding constraint to employment generation rather than slow economic growth at the macro level.  What remains unresolved is the extent to which training would raise productivity, incomes and increase survival rates of new enterprises, and whether such benefits would exceed the costs of the program. The models showed that the important factors governing the economic impact were, first, the magnitude of the value-added generated by new enterprises, second, the extent to which the training increased the value-added of the enterprises and third, the extent to which the training increased survival rates of new enterprises.</t>
  </si>
  <si>
    <t>1.   Moukawalati and INDH.  Moukawalati is a program to create a more entrepreneurial culture and to address high unemployment rates for Morocco’s youth, particularly among new graduates. Under the Moukawalati program, Government funds will be used to help entrepreneurs develop business plans and to get bank funding. MCC Funding will support additional business skills training to an enterprise, but only after the entrepreneur has satisfied all other registration requirements and has been approved for a bank loan. Two pilot programs will be run, one by the National Office for Professional Training and Work Promotion (L’Office de la Formation Professionnelle et de la Promotion du Travail, or “OFPPT”) and one by the National Agency for the Promotion of Small and Medium Enterprises (Agence Nationale pour la Promotion de la Petite et Moyenne Entreprise, or “ANPME”). A third pilot will test whether the training provided to INDH beneficiaries (typically cooperatives and other forms of income generating associations) helps them to increase sales and be more sustainable. The educational background of target groups under each of the pilots is different and the form of the training provided, e.g. group vs. individual training, will also vary from pilot to pilot.</t>
  </si>
  <si>
    <r>
      <t xml:space="preserve">2.   </t>
    </r>
    <r>
      <rPr>
        <i/>
        <sz val="10"/>
        <rFont val="Arial"/>
        <family val="2"/>
      </rPr>
      <t>Training Scale-Up</t>
    </r>
    <r>
      <rPr>
        <sz val="10"/>
        <rFont val="Arial"/>
        <family val="0"/>
      </rPr>
      <t>.  During the pilot phases, independent evaluations will be conducted to compare firms who receive technical support and those that do not and assess variations in key indicators of firms’ health – survival rates and revenues. At the end of the pilot, MCC will consult with MCA-Morocco to determine whether the results merit a scaling-up of the training activity to include up to 6,000 enterprises and associations over the remaining Compact Term.</t>
    </r>
  </si>
  <si>
    <t xml:space="preserve">     The key objective of this Project is to gain a better understanding of whether government-sponsored enterprise support services have an impact on loan recipients and whether additional training can improve the outcomes in a cost-effective way. The Government is concerned by high rates of non-employment among urban youth, and especially among those with some form of higher education (beyond high school). They believe that training in business planning and business plan development, management and business skills can raise productivity and enable this group of individuals to start sustainable businesses, generating employment if the businesses grow.</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</si>
</sst>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
    <numFmt numFmtId="171" formatCode="_(&quot;$&quot;* #,##0.0000_);_(&quot;$&quot;* \(#,##0.0000\);_(&quot;$&quot;* &quot;-&quot;??_);_(@_)"/>
    <numFmt numFmtId="172" formatCode="&quot;$&quot;#,##0"/>
    <numFmt numFmtId="173" formatCode="_(* #,##0.000_);_(* \(#,##0.000\);_(* &quot;-&quot;???_);_(@_)"/>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0"/>
    <numFmt numFmtId="179" formatCode="General_)"/>
    <numFmt numFmtId="180" formatCode="_-* #,##0.00\ [$€]_-;\-* #,##0.00\ [$€]_-;_-* &quot;-&quot;??\ [$€]_-;_-@_-"/>
    <numFmt numFmtId="181" formatCode="#,##0.0_);\(#,##0.0\)"/>
    <numFmt numFmtId="182" formatCode="#,##0\ &quot;Dh&quot;"/>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h:mm:ss\ AM/PM"/>
  </numFmts>
  <fonts count="29">
    <font>
      <sz val="10"/>
      <name val="Arial"/>
      <family val="0"/>
    </font>
    <font>
      <sz val="8"/>
      <name val="Arial"/>
      <family val="0"/>
    </font>
    <font>
      <sz val="10"/>
      <color indexed="10"/>
      <name val="Arial"/>
      <family val="0"/>
    </font>
    <font>
      <b/>
      <sz val="8"/>
      <color indexed="18"/>
      <name val="Arial"/>
      <family val="2"/>
    </font>
    <font>
      <b/>
      <sz val="8"/>
      <name val="Arial"/>
      <family val="2"/>
    </font>
    <font>
      <b/>
      <sz val="8"/>
      <color indexed="20"/>
      <name val="Arial"/>
      <family val="2"/>
    </font>
    <font>
      <b/>
      <sz val="8"/>
      <color indexed="10"/>
      <name val="Arial"/>
      <family val="2"/>
    </font>
    <font>
      <b/>
      <sz val="8"/>
      <color indexed="58"/>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0"/>
      <name val="Arial"/>
      <family val="2"/>
    </font>
    <font>
      <sz val="8"/>
      <color indexed="17"/>
      <name val="Arial"/>
      <family val="2"/>
    </font>
    <font>
      <b/>
      <sz val="16"/>
      <name val="Arial"/>
      <family val="2"/>
    </font>
    <font>
      <sz val="10"/>
      <color indexed="63"/>
      <name val="Arial"/>
      <family val="0"/>
    </font>
    <font>
      <b/>
      <sz val="10"/>
      <color indexed="12"/>
      <name val="Arial"/>
      <family val="2"/>
    </font>
    <font>
      <sz val="14"/>
      <name val="Arial"/>
      <family val="2"/>
    </font>
    <font>
      <b/>
      <sz val="12"/>
      <name val="Arial"/>
      <family val="2"/>
    </font>
    <font>
      <sz val="10"/>
      <color indexed="23"/>
      <name val="Arial"/>
      <family val="2"/>
    </font>
    <font>
      <b/>
      <sz val="10"/>
      <color indexed="55"/>
      <name val="Arial"/>
      <family val="2"/>
    </font>
    <font>
      <sz val="10"/>
      <color indexed="9"/>
      <name val="Arial"/>
      <family val="2"/>
    </font>
    <font>
      <sz val="9"/>
      <color indexed="55"/>
      <name val="Arial"/>
      <family val="0"/>
    </font>
    <font>
      <sz val="10"/>
      <color indexed="12"/>
      <name val="Arial"/>
      <family val="2"/>
    </font>
    <font>
      <b/>
      <sz val="10"/>
      <color indexed="9"/>
      <name val="Arial"/>
      <family val="2"/>
    </font>
    <font>
      <i/>
      <sz val="10"/>
      <name val="Arial"/>
      <family val="2"/>
    </font>
    <font>
      <b/>
      <sz val="11.5"/>
      <name val="Arial"/>
      <family val="0"/>
    </font>
    <font>
      <b/>
      <sz val="9.75"/>
      <name val="Arial"/>
      <family val="0"/>
    </font>
    <font>
      <sz val="9.75"/>
      <name val="Arial"/>
      <family val="0"/>
    </font>
  </fonts>
  <fills count="5">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2"/>
        <bgColor indexed="64"/>
      </patternFill>
    </fill>
  </fills>
  <borders count="5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style="double"/>
      <right style="thin"/>
      <top style="thin"/>
      <bottom>
        <color indexed="63"/>
      </bottom>
    </border>
    <border>
      <left style="double"/>
      <right style="thin"/>
      <top>
        <color indexed="63"/>
      </top>
      <bottom style="double"/>
    </border>
    <border>
      <left>
        <color indexed="63"/>
      </left>
      <right style="double"/>
      <top>
        <color indexed="63"/>
      </top>
      <bottom style="double"/>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double"/>
      <right style="thin"/>
      <top style="double"/>
      <bottom style="double"/>
    </border>
    <border>
      <left>
        <color indexed="63"/>
      </left>
      <right style="double"/>
      <top style="double"/>
      <bottom style="double"/>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8">
    <xf numFmtId="0" fontId="0" fillId="0" borderId="0" xfId="0" applyAlignment="1">
      <alignment/>
    </xf>
    <xf numFmtId="9" fontId="0" fillId="0" borderId="0" xfId="22" applyAlignment="1">
      <alignment/>
    </xf>
    <xf numFmtId="10" fontId="0" fillId="0" borderId="0" xfId="22" applyNumberFormat="1" applyAlignment="1">
      <alignment/>
    </xf>
    <xf numFmtId="10" fontId="0" fillId="0" borderId="0" xfId="0" applyNumberFormat="1" applyAlignment="1">
      <alignment/>
    </xf>
    <xf numFmtId="166" fontId="0" fillId="0" borderId="0" xfId="17" applyNumberFormat="1" applyAlignment="1">
      <alignment/>
    </xf>
    <xf numFmtId="168" fontId="0" fillId="0" borderId="0" xfId="15" applyNumberForma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37" fontId="0" fillId="0" borderId="0" xfId="17" applyNumberFormat="1" applyBorder="1" applyAlignment="1">
      <alignment/>
    </xf>
    <xf numFmtId="37" fontId="0" fillId="0" borderId="2" xfId="17" applyNumberFormat="1" applyBorder="1" applyAlignment="1">
      <alignment/>
    </xf>
    <xf numFmtId="37" fontId="0" fillId="0" borderId="0" xfId="17" applyNumberFormat="1" applyFont="1" applyBorder="1" applyAlignment="1">
      <alignment/>
    </xf>
    <xf numFmtId="37" fontId="0" fillId="0" borderId="2" xfId="17" applyNumberFormat="1" applyFont="1" applyBorder="1" applyAlignment="1">
      <alignment/>
    </xf>
    <xf numFmtId="166" fontId="0" fillId="0" borderId="1" xfId="17" applyNumberFormat="1" applyBorder="1" applyAlignment="1">
      <alignment/>
    </xf>
    <xf numFmtId="166" fontId="0" fillId="0" borderId="0" xfId="17" applyNumberFormat="1" applyBorder="1" applyAlignment="1">
      <alignment/>
    </xf>
    <xf numFmtId="10" fontId="0" fillId="0" borderId="0" xfId="22" applyNumberFormat="1" applyBorder="1" applyAlignment="1">
      <alignment/>
    </xf>
    <xf numFmtId="10" fontId="0" fillId="0" borderId="0" xfId="0" applyNumberFormat="1" applyBorder="1" applyAlignment="1">
      <alignment/>
    </xf>
    <xf numFmtId="9" fontId="0" fillId="0" borderId="0" xfId="22" applyBorder="1" applyAlignment="1">
      <alignment/>
    </xf>
    <xf numFmtId="168" fontId="0" fillId="0" borderId="0" xfId="15" applyNumberFormat="1" applyBorder="1" applyAlignment="1">
      <alignment/>
    </xf>
    <xf numFmtId="168" fontId="0" fillId="0" borderId="0" xfId="0" applyNumberFormat="1" applyBorder="1" applyAlignment="1">
      <alignment/>
    </xf>
    <xf numFmtId="169" fontId="0" fillId="0" borderId="0" xfId="0" applyNumberFormat="1" applyBorder="1" applyAlignment="1">
      <alignment/>
    </xf>
    <xf numFmtId="0" fontId="0" fillId="0" borderId="0" xfId="0" applyFill="1" applyBorder="1" applyAlignment="1">
      <alignment/>
    </xf>
    <xf numFmtId="1" fontId="0" fillId="0" borderId="0" xfId="0" applyNumberFormat="1" applyFill="1" applyBorder="1" applyAlignment="1">
      <alignment/>
    </xf>
    <xf numFmtId="166" fontId="2" fillId="0" borderId="1" xfId="17" applyNumberFormat="1" applyFont="1" applyBorder="1" applyAlignment="1">
      <alignment/>
    </xf>
    <xf numFmtId="43" fontId="0" fillId="0" borderId="0" xfId="0" applyNumberFormat="1" applyAlignment="1">
      <alignment/>
    </xf>
    <xf numFmtId="166" fontId="2" fillId="0" borderId="0" xfId="17" applyNumberFormat="1" applyFont="1" applyAlignment="1">
      <alignment/>
    </xf>
    <xf numFmtId="0" fontId="2" fillId="0" borderId="0" xfId="0" applyFont="1" applyBorder="1" applyAlignment="1">
      <alignment/>
    </xf>
    <xf numFmtId="44" fontId="0" fillId="0" borderId="0" xfId="17" applyNumberFormat="1" applyBorder="1" applyAlignment="1">
      <alignment/>
    </xf>
    <xf numFmtId="44" fontId="0" fillId="0" borderId="0" xfId="17" applyNumberFormat="1" applyFont="1" applyBorder="1" applyAlignment="1">
      <alignment/>
    </xf>
    <xf numFmtId="0" fontId="0" fillId="0" borderId="0" xfId="0" applyAlignment="1">
      <alignment vertical="center" wrapText="1"/>
    </xf>
    <xf numFmtId="0" fontId="13" fillId="0" borderId="0" xfId="0" applyFont="1" applyAlignment="1">
      <alignment horizontal="right" vertical="center" wrapText="1"/>
    </xf>
    <xf numFmtId="14" fontId="13" fillId="0" borderId="0" xfId="0" applyNumberFormat="1" applyFont="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14" fontId="0" fillId="0" borderId="6" xfId="0" applyNumberFormat="1"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justify" vertical="center" wrapText="1"/>
    </xf>
    <xf numFmtId="0" fontId="0" fillId="0" borderId="7" xfId="0" applyFont="1" applyBorder="1" applyAlignment="1">
      <alignment vertical="center" wrapText="1"/>
    </xf>
    <xf numFmtId="0" fontId="0" fillId="0" borderId="8" xfId="0" applyFont="1" applyBorder="1" applyAlignment="1">
      <alignment horizontal="left" vertical="center" wrapText="1"/>
    </xf>
    <xf numFmtId="0" fontId="0" fillId="0" borderId="6" xfId="0" applyFont="1" applyBorder="1" applyAlignment="1">
      <alignment vertical="center" wrapText="1"/>
    </xf>
    <xf numFmtId="0" fontId="0" fillId="0" borderId="5" xfId="0" applyFont="1" applyFill="1" applyBorder="1" applyAlignment="1">
      <alignment horizontal="left" vertical="center" wrapText="1"/>
    </xf>
    <xf numFmtId="0" fontId="0" fillId="0" borderId="9" xfId="0" applyFont="1" applyBorder="1" applyAlignment="1">
      <alignment horizontal="left" vertical="center" wrapText="1"/>
    </xf>
    <xf numFmtId="0" fontId="8" fillId="0" borderId="8" xfId="20" applyBorder="1" applyAlignment="1">
      <alignment vertical="center" wrapText="1"/>
    </xf>
    <xf numFmtId="0" fontId="0" fillId="0" borderId="8" xfId="0" applyFont="1" applyBorder="1" applyAlignment="1">
      <alignment vertical="center" wrapText="1"/>
    </xf>
    <xf numFmtId="0" fontId="8" fillId="0" borderId="8" xfId="20" applyFill="1" applyBorder="1" applyAlignment="1">
      <alignment horizontal="justify" vertical="center" wrapText="1"/>
    </xf>
    <xf numFmtId="0" fontId="0" fillId="0" borderId="8" xfId="0" applyBorder="1" applyAlignment="1">
      <alignment vertical="center" wrapText="1"/>
    </xf>
    <xf numFmtId="0" fontId="0" fillId="0" borderId="8" xfId="0" applyNumberForma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5" fillId="0" borderId="0" xfId="0" applyFont="1" applyAlignment="1">
      <alignment vertical="center" wrapText="1"/>
    </xf>
    <xf numFmtId="0" fontId="16"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0" xfId="0" applyBorder="1" applyAlignment="1">
      <alignment vertical="center" wrapText="1"/>
    </xf>
    <xf numFmtId="0" fontId="20" fillId="0" borderId="15" xfId="0" applyFont="1" applyFill="1" applyBorder="1" applyAlignment="1">
      <alignment horizontal="center" vertical="center" wrapText="1"/>
    </xf>
    <xf numFmtId="0" fontId="0" fillId="0" borderId="16" xfId="0" applyBorder="1" applyAlignment="1">
      <alignmen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2" fillId="0" borderId="0" xfId="0" applyFont="1" applyFill="1" applyAlignment="1">
      <alignment horizontal="left" vertical="center" wrapText="1"/>
    </xf>
    <xf numFmtId="164" fontId="24" fillId="2" borderId="19" xfId="22" applyNumberFormat="1" applyFont="1" applyFill="1" applyBorder="1" applyAlignment="1">
      <alignment horizontal="center" vertical="center" wrapText="1"/>
    </xf>
    <xf numFmtId="0" fontId="0" fillId="0" borderId="20" xfId="0" applyFont="1" applyBorder="1" applyAlignment="1">
      <alignment horizontal="left" vertical="center" wrapText="1"/>
    </xf>
    <xf numFmtId="0" fontId="12" fillId="0" borderId="21" xfId="0" applyFont="1" applyBorder="1" applyAlignment="1">
      <alignment horizontal="center" vertical="center" wrapText="1"/>
    </xf>
    <xf numFmtId="0" fontId="24" fillId="2" borderId="22" xfId="0" applyFont="1" applyFill="1" applyBorder="1" applyAlignment="1">
      <alignment/>
    </xf>
    <xf numFmtId="10" fontId="24" fillId="2" borderId="23" xfId="0" applyNumberFormat="1" applyFont="1" applyFill="1" applyBorder="1" applyAlignment="1">
      <alignment/>
    </xf>
    <xf numFmtId="0" fontId="0" fillId="0" borderId="0" xfId="0" applyFont="1" applyBorder="1" applyAlignment="1">
      <alignment horizontal="justify" vertical="center" wrapText="1"/>
    </xf>
    <xf numFmtId="0" fontId="14" fillId="0" borderId="0" xfId="0" applyFont="1" applyAlignment="1">
      <alignment vertical="center" wrapText="1"/>
    </xf>
    <xf numFmtId="0" fontId="17" fillId="0" borderId="0" xfId="0" applyFont="1" applyAlignment="1">
      <alignment vertical="center" wrapText="1"/>
    </xf>
    <xf numFmtId="0" fontId="12" fillId="0" borderId="0" xfId="0" applyFont="1" applyAlignment="1">
      <alignment vertical="center" wrapText="1"/>
    </xf>
    <xf numFmtId="0" fontId="0" fillId="0" borderId="24" xfId="0" applyBorder="1" applyAlignment="1">
      <alignment/>
    </xf>
    <xf numFmtId="0" fontId="0" fillId="0" borderId="25" xfId="0" applyBorder="1" applyAlignment="1">
      <alignment/>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xf>
    <xf numFmtId="0" fontId="0" fillId="0" borderId="30" xfId="0" applyBorder="1" applyAlignment="1">
      <alignment/>
    </xf>
    <xf numFmtId="166" fontId="0" fillId="0" borderId="30" xfId="17" applyNumberFormat="1" applyBorder="1" applyAlignment="1">
      <alignment/>
    </xf>
    <xf numFmtId="0" fontId="0" fillId="0" borderId="29" xfId="0" applyFill="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166" fontId="0" fillId="0" borderId="34" xfId="17" applyNumberFormat="1" applyBorder="1" applyAlignment="1">
      <alignment/>
    </xf>
    <xf numFmtId="0" fontId="0" fillId="0" borderId="35" xfId="0" applyBorder="1" applyAlignment="1">
      <alignment/>
    </xf>
    <xf numFmtId="0" fontId="0" fillId="0" borderId="28" xfId="0" applyBorder="1" applyAlignment="1">
      <alignment/>
    </xf>
    <xf numFmtId="0" fontId="0" fillId="0" borderId="29" xfId="0" applyFont="1" applyBorder="1" applyAlignment="1">
      <alignment/>
    </xf>
    <xf numFmtId="44" fontId="0" fillId="0" borderId="30" xfId="17" applyNumberFormat="1" applyBorder="1" applyAlignment="1">
      <alignment/>
    </xf>
    <xf numFmtId="44" fontId="0" fillId="0" borderId="30" xfId="17" applyNumberFormat="1" applyFont="1" applyBorder="1" applyAlignment="1">
      <alignment/>
    </xf>
    <xf numFmtId="10" fontId="0" fillId="0" borderId="30" xfId="0" applyNumberFormat="1" applyBorder="1" applyAlignment="1">
      <alignment/>
    </xf>
    <xf numFmtId="165" fontId="0" fillId="0" borderId="32" xfId="0" applyNumberFormat="1" applyBorder="1" applyAlignment="1">
      <alignment/>
    </xf>
    <xf numFmtId="165" fontId="0" fillId="0" borderId="35" xfId="0" applyNumberForma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10" fontId="0" fillId="0" borderId="30" xfId="22" applyNumberFormat="1" applyBorder="1" applyAlignment="1">
      <alignment/>
    </xf>
    <xf numFmtId="10" fontId="0" fillId="0" borderId="32" xfId="0" applyNumberFormat="1" applyBorder="1" applyAlignment="1">
      <alignment/>
    </xf>
    <xf numFmtId="10" fontId="0" fillId="0" borderId="35" xfId="0" applyNumberFormat="1" applyBorder="1" applyAlignment="1">
      <alignment/>
    </xf>
    <xf numFmtId="0" fontId="3" fillId="0" borderId="24" xfId="0" applyFont="1" applyBorder="1" applyAlignment="1">
      <alignment/>
    </xf>
    <xf numFmtId="0" fontId="3"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5" fillId="0" borderId="29" xfId="0" applyFont="1" applyBorder="1" applyAlignment="1">
      <alignment/>
    </xf>
    <xf numFmtId="9" fontId="5" fillId="0" borderId="30" xfId="22" applyFont="1" applyBorder="1" applyAlignment="1">
      <alignment/>
    </xf>
    <xf numFmtId="0" fontId="6" fillId="0" borderId="29" xfId="0" applyFont="1" applyBorder="1" applyAlignment="1">
      <alignment/>
    </xf>
    <xf numFmtId="9" fontId="6" fillId="0" borderId="30" xfId="22" applyFont="1" applyBorder="1" applyAlignment="1">
      <alignment/>
    </xf>
    <xf numFmtId="0" fontId="7" fillId="0" borderId="31" xfId="0" applyFont="1" applyBorder="1" applyAlignment="1">
      <alignment/>
    </xf>
    <xf numFmtId="9" fontId="7" fillId="0" borderId="35" xfId="22" applyFont="1" applyBorder="1" applyAlignment="1">
      <alignment/>
    </xf>
    <xf numFmtId="0" fontId="24" fillId="0" borderId="0" xfId="0" applyFont="1" applyFill="1" applyBorder="1" applyAlignment="1">
      <alignment/>
    </xf>
    <xf numFmtId="10" fontId="24" fillId="0" borderId="0" xfId="0" applyNumberFormat="1" applyFont="1" applyFill="1" applyBorder="1" applyAlignment="1">
      <alignment/>
    </xf>
    <xf numFmtId="166" fontId="0" fillId="0" borderId="25" xfId="17" applyNumberFormat="1" applyBorder="1" applyAlignment="1">
      <alignment/>
    </xf>
    <xf numFmtId="168" fontId="0" fillId="0" borderId="25" xfId="15" applyNumberFormat="1" applyBorder="1" applyAlignment="1">
      <alignment/>
    </xf>
    <xf numFmtId="168" fontId="0" fillId="0" borderId="28" xfId="15" applyNumberFormat="1" applyBorder="1" applyAlignment="1">
      <alignment/>
    </xf>
    <xf numFmtId="43" fontId="0" fillId="0" borderId="0" xfId="0" applyNumberFormat="1" applyBorder="1" applyAlignment="1">
      <alignment/>
    </xf>
    <xf numFmtId="1" fontId="0" fillId="0" borderId="0" xfId="0" applyNumberFormat="1" applyBorder="1" applyAlignment="1">
      <alignment/>
    </xf>
    <xf numFmtId="0" fontId="0" fillId="0" borderId="0" xfId="0" applyBorder="1" applyAlignment="1">
      <alignment horizontal="right"/>
    </xf>
    <xf numFmtId="170" fontId="0" fillId="0" borderId="0" xfId="0" applyNumberFormat="1" applyBorder="1" applyAlignment="1">
      <alignment/>
    </xf>
    <xf numFmtId="0" fontId="0" fillId="0" borderId="29" xfId="0" applyBorder="1" applyAlignment="1">
      <alignment horizontal="right"/>
    </xf>
    <xf numFmtId="0" fontId="0" fillId="0" borderId="0" xfId="0" applyBorder="1" applyAlignment="1">
      <alignment horizontal="center"/>
    </xf>
    <xf numFmtId="0" fontId="0" fillId="0" borderId="31" xfId="0" applyBorder="1" applyAlignment="1">
      <alignment horizontal="right"/>
    </xf>
    <xf numFmtId="172" fontId="0" fillId="0" borderId="32" xfId="0" applyNumberFormat="1" applyBorder="1" applyAlignment="1">
      <alignment/>
    </xf>
    <xf numFmtId="172" fontId="0" fillId="0" borderId="35" xfId="0" applyNumberFormat="1" applyBorder="1" applyAlignment="1">
      <alignment/>
    </xf>
    <xf numFmtId="166" fontId="0" fillId="0" borderId="32" xfId="17" applyNumberFormat="1" applyBorder="1" applyAlignment="1">
      <alignment/>
    </xf>
    <xf numFmtId="0" fontId="12" fillId="0" borderId="0" xfId="0" applyFont="1" applyAlignment="1">
      <alignment/>
    </xf>
    <xf numFmtId="10" fontId="0" fillId="0" borderId="35" xfId="22" applyNumberFormat="1" applyBorder="1" applyAlignment="1">
      <alignment/>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9" xfId="0" applyBorder="1" applyAlignment="1" quotePrefix="1">
      <alignment/>
    </xf>
    <xf numFmtId="0" fontId="18" fillId="0" borderId="0" xfId="0" applyFont="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42" xfId="0" applyFill="1" applyBorder="1" applyAlignment="1">
      <alignment vertical="center" wrapText="1"/>
    </xf>
    <xf numFmtId="9" fontId="16" fillId="3" borderId="1" xfId="0" applyNumberFormat="1" applyFont="1" applyFill="1" applyBorder="1" applyAlignment="1">
      <alignment horizontal="center" vertical="center" wrapText="1"/>
    </xf>
    <xf numFmtId="9" fontId="0" fillId="0" borderId="42" xfId="0" applyNumberFormat="1" applyBorder="1" applyAlignment="1">
      <alignment horizontal="center" vertical="center" wrapText="1"/>
    </xf>
    <xf numFmtId="0" fontId="0" fillId="0" borderId="2" xfId="0" applyBorder="1" applyAlignment="1">
      <alignment horizontal="center" vertical="center" wrapText="1"/>
    </xf>
    <xf numFmtId="9" fontId="0" fillId="4" borderId="42" xfId="0" applyNumberFormat="1" applyFont="1" applyFill="1" applyBorder="1" applyAlignment="1">
      <alignment horizontal="center" vertical="center" wrapText="1"/>
    </xf>
    <xf numFmtId="0" fontId="0" fillId="0" borderId="15" xfId="0" applyFill="1" applyBorder="1" applyAlignment="1">
      <alignment vertical="center" wrapText="1"/>
    </xf>
    <xf numFmtId="9" fontId="16" fillId="3" borderId="43" xfId="0" applyNumberFormat="1" applyFont="1" applyFill="1" applyBorder="1" applyAlignment="1">
      <alignment horizontal="center" vertical="center" wrapText="1"/>
    </xf>
    <xf numFmtId="9" fontId="0" fillId="0" borderId="15" xfId="0" applyNumberFormat="1" applyBorder="1" applyAlignment="1">
      <alignment horizontal="center" vertical="center" wrapText="1"/>
    </xf>
    <xf numFmtId="0" fontId="0" fillId="0" borderId="44" xfId="0" applyBorder="1" applyAlignment="1">
      <alignment horizontal="center" vertical="center" wrapText="1"/>
    </xf>
    <xf numFmtId="9" fontId="0" fillId="4" borderId="15" xfId="0" applyNumberFormat="1" applyFont="1" applyFill="1" applyBorder="1" applyAlignment="1">
      <alignment horizontal="center" vertical="center" wrapText="1"/>
    </xf>
    <xf numFmtId="0" fontId="21" fillId="0" borderId="0" xfId="0" applyFont="1" applyAlignment="1">
      <alignment horizontal="center" vertical="center" wrapText="1"/>
    </xf>
    <xf numFmtId="0" fontId="0" fillId="0" borderId="45" xfId="0" applyBorder="1" applyAlignment="1">
      <alignment vertical="center" wrapText="1"/>
    </xf>
    <xf numFmtId="9" fontId="16" fillId="3" borderId="46" xfId="22" applyNumberFormat="1" applyFont="1" applyFill="1" applyBorder="1" applyAlignment="1">
      <alignment horizontal="center" vertical="center" wrapText="1"/>
    </xf>
    <xf numFmtId="9" fontId="0" fillId="0" borderId="18" xfId="22" applyNumberFormat="1" applyBorder="1" applyAlignment="1">
      <alignment horizontal="center" vertical="center" wrapText="1"/>
    </xf>
    <xf numFmtId="1" fontId="0" fillId="0" borderId="45" xfId="21" applyNumberFormat="1" applyFont="1" applyBorder="1" applyAlignment="1">
      <alignment horizontal="center" vertical="center" wrapText="1"/>
      <protection/>
    </xf>
    <xf numFmtId="9" fontId="0" fillId="4" borderId="14" xfId="22" applyNumberFormat="1" applyFont="1" applyFill="1" applyBorder="1" applyAlignment="1">
      <alignment horizontal="center" vertical="center" wrapText="1"/>
    </xf>
    <xf numFmtId="0" fontId="12" fillId="0" borderId="19" xfId="0" applyFont="1" applyBorder="1" applyAlignment="1">
      <alignment horizontal="left" vertical="center" wrapText="1"/>
    </xf>
    <xf numFmtId="0" fontId="0" fillId="0" borderId="1" xfId="0" applyBorder="1" applyAlignment="1">
      <alignment vertical="center" wrapText="1"/>
    </xf>
    <xf numFmtId="9" fontId="16" fillId="3" borderId="2" xfId="22" applyNumberFormat="1" applyFont="1" applyFill="1" applyBorder="1" applyAlignment="1">
      <alignment horizontal="center" vertical="center" wrapText="1"/>
    </xf>
    <xf numFmtId="9" fontId="0" fillId="0" borderId="0" xfId="22" applyNumberFormat="1" applyBorder="1" applyAlignment="1">
      <alignment horizontal="center" vertical="center" wrapText="1"/>
    </xf>
    <xf numFmtId="1" fontId="0" fillId="0" borderId="1" xfId="21" applyNumberFormat="1" applyFont="1" applyBorder="1" applyAlignment="1">
      <alignment horizontal="center" vertical="center" wrapText="1"/>
      <protection/>
    </xf>
    <xf numFmtId="9" fontId="0" fillId="4" borderId="42" xfId="22" applyNumberFormat="1" applyFont="1" applyFill="1" applyBorder="1" applyAlignment="1">
      <alignment horizontal="center" vertical="center" wrapText="1"/>
    </xf>
    <xf numFmtId="0" fontId="23" fillId="0" borderId="42" xfId="20" applyFont="1" applyBorder="1" applyAlignment="1">
      <alignment vertical="center" wrapText="1"/>
    </xf>
    <xf numFmtId="0" fontId="23" fillId="0" borderId="15" xfId="20" applyFont="1" applyBorder="1" applyAlignment="1">
      <alignment vertical="center" wrapText="1"/>
    </xf>
    <xf numFmtId="0" fontId="0" fillId="0" borderId="43" xfId="0" applyBorder="1" applyAlignment="1">
      <alignment vertical="center" wrapText="1"/>
    </xf>
    <xf numFmtId="9" fontId="0" fillId="4" borderId="15" xfId="22" applyNumberFormat="1" applyFont="1" applyFill="1" applyBorder="1" applyAlignment="1">
      <alignment horizontal="center" vertical="center" wrapText="1"/>
    </xf>
    <xf numFmtId="0" fontId="12" fillId="0" borderId="0" xfId="0" applyFont="1" applyAlignment="1">
      <alignment horizontal="right" vertical="center" wrapText="1"/>
    </xf>
    <xf numFmtId="164" fontId="24" fillId="0" borderId="0" xfId="22" applyNumberFormat="1"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164" fontId="12" fillId="0" borderId="0"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42" xfId="0" applyFont="1" applyBorder="1" applyAlignment="1">
      <alignment vertical="center" wrapText="1"/>
    </xf>
    <xf numFmtId="166" fontId="0" fillId="0" borderId="25" xfId="0" applyNumberFormat="1" applyBorder="1" applyAlignment="1">
      <alignment/>
    </xf>
    <xf numFmtId="0" fontId="25" fillId="0" borderId="24" xfId="0" applyFont="1" applyBorder="1" applyAlignment="1">
      <alignment/>
    </xf>
    <xf numFmtId="0" fontId="0" fillId="0" borderId="15" xfId="0" applyFont="1" applyBorder="1" applyAlignment="1">
      <alignment vertical="center" wrapText="1"/>
    </xf>
    <xf numFmtId="9" fontId="16" fillId="3" borderId="44" xfId="22" applyFont="1" applyFill="1" applyBorder="1" applyAlignment="1">
      <alignment horizontal="center" vertical="center" wrapText="1"/>
    </xf>
    <xf numFmtId="9" fontId="0" fillId="0" borderId="16" xfId="22" applyBorder="1" applyAlignment="1">
      <alignment horizontal="center" vertical="center" wrapText="1"/>
    </xf>
    <xf numFmtId="0" fontId="0" fillId="0" borderId="43" xfId="21" applyFont="1" applyBorder="1" applyAlignment="1">
      <alignment horizontal="center" vertical="center" wrapText="1"/>
      <protection/>
    </xf>
    <xf numFmtId="0" fontId="17" fillId="0" borderId="0" xfId="0" applyFont="1" applyAlignment="1">
      <alignment vertical="center"/>
    </xf>
    <xf numFmtId="0" fontId="8" fillId="0" borderId="8" xfId="20" applyNumberFormat="1" applyBorder="1" applyAlignment="1">
      <alignment vertical="center" wrapText="1"/>
    </xf>
    <xf numFmtId="0" fontId="14" fillId="0" borderId="0" xfId="0" applyFont="1" applyAlignment="1">
      <alignment horizontal="center" vertical="center" wrapText="1"/>
    </xf>
    <xf numFmtId="0" fontId="0" fillId="0" borderId="3" xfId="0" applyFont="1" applyFill="1" applyBorder="1" applyAlignment="1">
      <alignment horizontal="left" vertical="top" wrapText="1"/>
    </xf>
    <xf numFmtId="0" fontId="22" fillId="0" borderId="0" xfId="0" applyFont="1" applyBorder="1" applyAlignment="1">
      <alignment horizontal="center" vertical="center" wrapText="1"/>
    </xf>
    <xf numFmtId="0" fontId="12" fillId="0" borderId="0" xfId="0" applyFont="1" applyFill="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12" fillId="0" borderId="14"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8" fillId="0" borderId="46" xfId="0" applyFont="1" applyBorder="1" applyAlignment="1">
      <alignment vertical="center" wrapText="1"/>
    </xf>
    <xf numFmtId="0" fontId="18" fillId="0" borderId="32" xfId="0" applyFont="1" applyBorder="1" applyAlignment="1">
      <alignment vertical="center" wrapText="1"/>
    </xf>
    <xf numFmtId="0" fontId="18" fillId="0" borderId="4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9" xfId="0" applyFont="1" applyBorder="1" applyAlignment="1">
      <alignment horizontal="center" vertical="center" wrapText="1"/>
    </xf>
    <xf numFmtId="0" fontId="0" fillId="0" borderId="0" xfId="0" applyFont="1" applyAlignment="1">
      <alignment horizontal="left" vertical="center" wrapText="1" indent="3"/>
    </xf>
  </cellXfs>
  <cellStyles count="10">
    <cellStyle name="Normal" xfId="0"/>
    <cellStyle name="RowLevel_0" xfId="1"/>
    <cellStyle name="Comma" xfId="15"/>
    <cellStyle name="Comma [0]" xfId="16"/>
    <cellStyle name="Currency" xfId="17"/>
    <cellStyle name="Currency [0]" xfId="18"/>
    <cellStyle name="Followed Hyperlink" xfId="19"/>
    <cellStyle name="Hyperlink" xfId="20"/>
    <cellStyle name="Normal_Mongolia Rail ERR.IM Cleaned" xfId="21"/>
    <cellStyle name="Percent" xfId="22"/>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Undiscounted annual net benefits of Enterprise Support Project</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'ERR Simulation'!$C$46:$L$46</c:f>
              <c:numCache>
                <c:ptCount val="10"/>
                <c:pt idx="0">
                  <c:v>-4.270274509803922</c:v>
                </c:pt>
                <c:pt idx="1">
                  <c:v>0.8284200847058809</c:v>
                </c:pt>
                <c:pt idx="2">
                  <c:v>0.8570508605183988</c:v>
                </c:pt>
                <c:pt idx="3">
                  <c:v>0.8635719470110654</c:v>
                </c:pt>
                <c:pt idx="4">
                  <c:v>0.8602716093909333</c:v>
                </c:pt>
                <c:pt idx="5">
                  <c:v>0.8532153462902734</c:v>
                </c:pt>
                <c:pt idx="6">
                  <c:v>0.8469827532334033</c:v>
                </c:pt>
                <c:pt idx="7">
                  <c:v>0.8392400203793287</c:v>
                </c:pt>
                <c:pt idx="8">
                  <c:v>0.8346581581623411</c:v>
                </c:pt>
                <c:pt idx="9">
                  <c:v>0.8286192287464171</c:v>
                </c:pt>
              </c:numCache>
            </c:numRef>
          </c:val>
        </c:ser>
        <c:axId val="3431400"/>
        <c:axId val="30882601"/>
      </c:areaChart>
      <c:catAx>
        <c:axId val="3431400"/>
        <c:scaling>
          <c:orientation val="minMax"/>
        </c:scaling>
        <c:axPos val="b"/>
        <c:title>
          <c:tx>
            <c:rich>
              <a:bodyPr vert="horz" rot="0" anchor="ctr"/>
              <a:lstStyle/>
              <a:p>
                <a:pPr algn="ctr">
                  <a:defRPr/>
                </a:pPr>
                <a:r>
                  <a:rPr lang="en-US" cap="none" sz="9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sz="975" b="1" i="0" u="none" baseline="0">
                    <a:latin typeface="Arial"/>
                    <a:ea typeface="Arial"/>
                    <a:cs typeface="Arial"/>
                  </a:rPr>
                  <a:t>Thousands of US$</a:t>
                </a:r>
              </a:p>
            </c:rich>
          </c:tx>
          <c:layout/>
          <c:overlay val="0"/>
          <c:spPr>
            <a:noFill/>
            <a:ln>
              <a:noFill/>
            </a:ln>
          </c:spPr>
        </c:title>
        <c:majorGridlines/>
        <c:delete val="0"/>
        <c:numFmt formatCode="General" sourceLinked="1"/>
        <c:majorTickMark val="out"/>
        <c:minorTickMark val="none"/>
        <c:tickLblPos val="nextTo"/>
        <c:crossAx val="3431400"/>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Economic Rate of Return (ERR) Given Uncertainty in Key Parameters
(as of 7/12/2007)</a:t>
            </a:r>
          </a:p>
        </c:rich>
      </c:tx>
      <c:layout/>
      <c:spPr>
        <a:noFill/>
        <a:ln>
          <a:noFill/>
        </a:ln>
      </c:spPr>
    </c:title>
    <c:plotArea>
      <c:layout>
        <c:manualLayout>
          <c:xMode val="edge"/>
          <c:yMode val="edge"/>
          <c:x val="0.045"/>
          <c:y val="0.101"/>
          <c:w val="0.94125"/>
          <c:h val="0.86925"/>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-0.20116879249760378</c:v>
              </c:pt>
              <c:pt idx="10">
                <c:v>-0.05836222538866659</c:v>
              </c:pt>
              <c:pt idx="20">
                <c:v>0.08444434172027061</c:v>
              </c:pt>
              <c:pt idx="30">
                <c:v>0.22725090882920781</c:v>
              </c:pt>
              <c:pt idx="40">
                <c:v>0.37005747593814503</c:v>
              </c:pt>
              <c:pt idx="49">
                <c:v>0.4985833863361885</c:v>
              </c:pt>
            </c:strLit>
          </c:cat>
          <c:val>
            <c:numLit>
              <c:ptCount val="50"/>
              <c:pt idx="0">
                <c:v>10</c:v>
              </c:pt>
              <c:pt idx="1">
                <c:v>18</c:v>
              </c:pt>
              <c:pt idx="2">
                <c:v>29</c:v>
              </c:pt>
              <c:pt idx="3">
                <c:v>28</c:v>
              </c:pt>
              <c:pt idx="4">
                <c:v>45</c:v>
              </c:pt>
              <c:pt idx="5">
                <c:v>64</c:v>
              </c:pt>
              <c:pt idx="6">
                <c:v>65</c:v>
              </c:pt>
              <c:pt idx="7">
                <c:v>89</c:v>
              </c:pt>
              <c:pt idx="8">
                <c:v>133</c:v>
              </c:pt>
              <c:pt idx="9">
                <c:v>126</c:v>
              </c:pt>
              <c:pt idx="10">
                <c:v>178</c:v>
              </c:pt>
              <c:pt idx="11">
                <c:v>176</c:v>
              </c:pt>
              <c:pt idx="12">
                <c:v>240</c:v>
              </c:pt>
              <c:pt idx="13">
                <c:v>257</c:v>
              </c:pt>
              <c:pt idx="14">
                <c:v>290</c:v>
              </c:pt>
              <c:pt idx="15">
                <c:v>324</c:v>
              </c:pt>
              <c:pt idx="16">
                <c:v>345</c:v>
              </c:pt>
              <c:pt idx="17">
                <c:v>368</c:v>
              </c:pt>
              <c:pt idx="18">
                <c:v>426</c:v>
              </c:pt>
              <c:pt idx="19">
                <c:v>410</c:v>
              </c:pt>
              <c:pt idx="20">
                <c:v>396</c:v>
              </c:pt>
              <c:pt idx="21">
                <c:v>432</c:v>
              </c:pt>
              <c:pt idx="22">
                <c:v>401</c:v>
              </c:pt>
              <c:pt idx="23">
                <c:v>406</c:v>
              </c:pt>
              <c:pt idx="24">
                <c:v>416</c:v>
              </c:pt>
              <c:pt idx="25">
                <c:v>422</c:v>
              </c:pt>
              <c:pt idx="26">
                <c:v>391</c:v>
              </c:pt>
              <c:pt idx="27">
                <c:v>345</c:v>
              </c:pt>
              <c:pt idx="28">
                <c:v>394</c:v>
              </c:pt>
              <c:pt idx="29">
                <c:v>322</c:v>
              </c:pt>
              <c:pt idx="30">
                <c:v>306</c:v>
              </c:pt>
              <c:pt idx="31">
                <c:v>250</c:v>
              </c:pt>
              <c:pt idx="32">
                <c:v>237</c:v>
              </c:pt>
              <c:pt idx="33">
                <c:v>223</c:v>
              </c:pt>
              <c:pt idx="34">
                <c:v>188</c:v>
              </c:pt>
              <c:pt idx="35">
                <c:v>174</c:v>
              </c:pt>
              <c:pt idx="36">
                <c:v>152</c:v>
              </c:pt>
              <c:pt idx="37">
                <c:v>140</c:v>
              </c:pt>
              <c:pt idx="38">
                <c:v>124</c:v>
              </c:pt>
              <c:pt idx="39">
                <c:v>109</c:v>
              </c:pt>
              <c:pt idx="40">
                <c:v>90</c:v>
              </c:pt>
              <c:pt idx="41">
                <c:v>86</c:v>
              </c:pt>
              <c:pt idx="42">
                <c:v>71</c:v>
              </c:pt>
              <c:pt idx="43">
                <c:v>47</c:v>
              </c:pt>
              <c:pt idx="44">
                <c:v>47</c:v>
              </c:pt>
              <c:pt idx="45">
                <c:v>52</c:v>
              </c:pt>
              <c:pt idx="46">
                <c:v>39</c:v>
              </c:pt>
              <c:pt idx="47">
                <c:v>18</c:v>
              </c:pt>
              <c:pt idx="48">
                <c:v>22</c:v>
              </c:pt>
              <c:pt idx="49">
                <c:v>9</c:v>
              </c:pt>
            </c:numLit>
          </c:val>
        </c:ser>
        <c:overlap val="100"/>
        <c:gapWidth val="10"/>
        <c:axId val="9507954"/>
        <c:axId val="18462723"/>
      </c:barChart>
      <c:catAx>
        <c:axId val="9507954"/>
        <c:scaling>
          <c:orientation val="minMax"/>
        </c:scaling>
        <c:axPos val="b"/>
        <c:delete val="0"/>
        <c:numFmt formatCode="General" sourceLinked="1"/>
        <c:majorTickMark val="out"/>
        <c:minorTickMark val="none"/>
        <c:tickLblPos val="nextTo"/>
        <c:crossAx val="18462723"/>
        <c:crosses val="autoZero"/>
        <c:auto val="0"/>
        <c:lblOffset val="100"/>
        <c:tickLblSkip val="1"/>
        <c:tickMarkSkip val="5"/>
        <c:noMultiLvlLbl val="0"/>
      </c:catAx>
      <c:valAx>
        <c:axId val="18462723"/>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9507954"/>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2581275</xdr:colOff>
      <xdr:row>5</xdr:row>
      <xdr:rowOff>95250</xdr:rowOff>
    </xdr:to>
    <xdr:pic>
      <xdr:nvPicPr>
        <xdr:cNvPr id="1" name="Picture 2"/>
        <xdr:cNvPicPr preferRelativeResize="1">
          <a:picLocks noChangeAspect="1"/>
        </xdr:cNvPicPr>
      </xdr:nvPicPr>
      <xdr:blipFill>
        <a:blip r:embed="rId1"/>
        <a:stretch>
          <a:fillRect/>
        </a:stretch>
      </xdr:blipFill>
      <xdr:spPr>
        <a:xfrm>
          <a:off x="0" y="161925"/>
          <a:ext cx="25812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23</xdr:row>
      <xdr:rowOff>19050</xdr:rowOff>
    </xdr:from>
    <xdr:to>
      <xdr:col>1</xdr:col>
      <xdr:colOff>2190750</xdr:colOff>
      <xdr:row>24</xdr:row>
      <xdr:rowOff>9525</xdr:rowOff>
    </xdr:to>
    <xdr:pic>
      <xdr:nvPicPr>
        <xdr:cNvPr id="1" name="Picture 1"/>
        <xdr:cNvPicPr preferRelativeResize="1">
          <a:picLocks noChangeAspect="1"/>
        </xdr:cNvPicPr>
      </xdr:nvPicPr>
      <xdr:blipFill>
        <a:blip r:embed="rId1"/>
        <a:stretch>
          <a:fillRect/>
        </a:stretch>
      </xdr:blipFill>
      <xdr:spPr>
        <a:xfrm>
          <a:off x="409575" y="9191625"/>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85725</xdr:rowOff>
    </xdr:from>
    <xdr:to>
      <xdr:col>6</xdr:col>
      <xdr:colOff>1123950</xdr:colOff>
      <xdr:row>1</xdr:row>
      <xdr:rowOff>238125</xdr:rowOff>
    </xdr:to>
    <xdr:pic>
      <xdr:nvPicPr>
        <xdr:cNvPr id="1" name="Picture 2"/>
        <xdr:cNvPicPr preferRelativeResize="1">
          <a:picLocks noChangeAspect="1"/>
        </xdr:cNvPicPr>
      </xdr:nvPicPr>
      <xdr:blipFill>
        <a:blip r:embed="rId1"/>
        <a:stretch>
          <a:fillRect/>
        </a:stretch>
      </xdr:blipFill>
      <xdr:spPr>
        <a:xfrm>
          <a:off x="8134350" y="247650"/>
          <a:ext cx="2162175" cy="152400"/>
        </a:xfrm>
        <a:prstGeom prst="rect">
          <a:avLst/>
        </a:prstGeom>
        <a:noFill/>
        <a:ln w="9525" cmpd="sng">
          <a:noFill/>
        </a:ln>
      </xdr:spPr>
    </xdr:pic>
    <xdr:clientData/>
  </xdr:twoCellAnchor>
  <xdr:twoCellAnchor>
    <xdr:from>
      <xdr:col>2</xdr:col>
      <xdr:colOff>323850</xdr:colOff>
      <xdr:row>23</xdr:row>
      <xdr:rowOff>28575</xdr:rowOff>
    </xdr:from>
    <xdr:to>
      <xdr:col>5</xdr:col>
      <xdr:colOff>828675</xdr:colOff>
      <xdr:row>46</xdr:row>
      <xdr:rowOff>38100</xdr:rowOff>
    </xdr:to>
    <xdr:graphicFrame>
      <xdr:nvGraphicFramePr>
        <xdr:cNvPr id="2" name="Chart 5"/>
        <xdr:cNvGraphicFramePr/>
      </xdr:nvGraphicFramePr>
      <xdr:xfrm>
        <a:off x="1790700" y="6496050"/>
        <a:ext cx="7115175" cy="3733800"/>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48</xdr:row>
      <xdr:rowOff>76200</xdr:rowOff>
    </xdr:from>
    <xdr:to>
      <xdr:col>5</xdr:col>
      <xdr:colOff>714375</xdr:colOff>
      <xdr:row>69</xdr:row>
      <xdr:rowOff>9525</xdr:rowOff>
    </xdr:to>
    <xdr:graphicFrame>
      <xdr:nvGraphicFramePr>
        <xdr:cNvPr id="3" name="Chart 6"/>
        <xdr:cNvGraphicFramePr/>
      </xdr:nvGraphicFramePr>
      <xdr:xfrm>
        <a:off x="1952625" y="10591800"/>
        <a:ext cx="6838950" cy="33337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BREITB~1\LOCALS~1\Temp\12\Temporary%20Directory%204%20for%20Armenia%20for%20OGC%20Review.zip\Armenia_Irrigation_ERR_IM_Clean-v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WINDOWS\TEMP\Effectif2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MES%20DOCUMENTS\EX-WORD\Mes%20documents\Frt%20Imprim&#233;s\SORTIE%20BUREA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iege_server1\AGHWACH\Documents%20and%20Settings\aghwach\Bureau\bulletin%20de%20pese&#2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Beta%20Version\Mongolia\mcc-err-mongolia-heal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erningcc\Local%20Settings\Temp\Temporary%20Directory%201%20for%20Arm_MCA_Assistance_Irrigation_ERRs_Zone_1_4_Oct_27_05.zip\Arm_MCA%20Assistance_Irrigation%20ERRs_Zone1_Oct%2027_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Updated%20files%20for%20Posting%206.20.08\mcc-err-armenia-watertomk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ssier%20SA\ONP\ONP%20-%20Projet%20Tanger\ONP%20-%20March&#233;%20de%20gros%20de%20Tanger\Synth&#232;se%20g&#233;n&#233;rale%20D&#233;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effect%20r&#233;el%20COM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ANALYTIQUE20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info\sofia\WINDOWS\TEMP\Effectif20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S%20DOCUMENTS\EX-WORD\Mes%20documents\effect%20r&#233;el%20CO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7">
        <row r="38">
          <cell r="A38" t="str">
            <v>Agence Comptable </v>
          </cell>
        </row>
        <row r="39">
          <cell r="A39" t="str">
            <v>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D.R. Sidi Ifni </v>
          </cell>
        </row>
        <row r="55">
          <cell r="A55" t="str">
            <v>D.R. Tanger</v>
          </cell>
        </row>
        <row r="56">
          <cell r="A56" t="str">
            <v>D.R. TanTan </v>
          </cell>
        </row>
        <row r="57">
          <cell r="A57" t="str">
            <v>D.R.H.A.G</v>
          </cell>
        </row>
        <row r="58">
          <cell r="A58" t="str">
            <v>Département Financier et Comptable</v>
          </cell>
        </row>
        <row r="59">
          <cell r="A59" t="str">
            <v>Départements des études générales </v>
          </cell>
        </row>
        <row r="60">
          <cell r="A60" t="str">
            <v>Direction d'Exploitation </v>
          </cell>
        </row>
        <row r="61">
          <cell r="A61" t="str">
            <v>Direction Générale</v>
          </cell>
        </row>
        <row r="62">
          <cell r="A62" t="str">
            <v>Division des Affaires Générales </v>
          </cell>
        </row>
        <row r="63">
          <cell r="A63" t="str">
            <v>Division des Systemes Informatiques </v>
          </cell>
        </row>
        <row r="64">
          <cell r="A64" t="str">
            <v>H.P. Asilah</v>
          </cell>
        </row>
        <row r="65">
          <cell r="A65" t="str">
            <v>H.P. Jebha</v>
          </cell>
        </row>
        <row r="66">
          <cell r="A66" t="str">
            <v>H.P. Jorf Lasfar</v>
          </cell>
        </row>
        <row r="67">
          <cell r="A67" t="str">
            <v>H.P. Oued Laou</v>
          </cell>
        </row>
        <row r="68">
          <cell r="A68" t="str">
            <v>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Service Personnel </v>
          </cell>
        </row>
        <row r="75">
          <cell r="A75" t="str">
            <v>Service Social </v>
          </cell>
        </row>
        <row r="76">
          <cell r="A76" t="str">
            <v>Village de pêche IMMSOUANE </v>
          </cell>
        </row>
        <row r="77">
          <cell r="A77" t="str">
            <v>Village de Pêche KALA-IRIS</v>
          </cell>
        </row>
        <row r="78">
          <cell r="A78" t="str">
            <v>Village de Pêche SOUIRIA K'DIMA</v>
          </cell>
        </row>
        <row r="79">
          <cell r="A79" t="str">
            <v>MPM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TERCALAIR"/>
      <sheetName val="TONER 1210"/>
      <sheetName val="feutre"/>
      <sheetName val="ETIQUETTE"/>
      <sheetName val="A3"/>
      <sheetName val="PAPIER A4 F"/>
      <sheetName val="AGRAFEUS F"/>
      <sheetName val="BLANCO OK F"/>
      <sheetName val="UHU OK F"/>
      <sheetName val="GOMME F"/>
      <sheetName val="SCOTCH F"/>
      <sheetName val="CARTONNEE F"/>
      <sheetName val="CHRONOS f"/>
      <sheetName val="BLEU f"/>
      <sheetName val="NOIR f"/>
      <sheetName val="ROUGE f"/>
      <sheetName val="BC 20 f"/>
      <sheetName val="50 VUES f"/>
      <sheetName val="20 VUES f"/>
      <sheetName val="T5825 f"/>
      <sheetName val="POSTIT f"/>
      <sheetName val="AGRAFE f"/>
      <sheetName val="BLOC NOTE f"/>
      <sheetName val="CAHIER150 f"/>
      <sheetName val="CRAYON f"/>
      <sheetName val="BULL f"/>
      <sheetName val="R DEPART f"/>
      <sheetName val="R ARRIVEE f"/>
      <sheetName val="3 MAINS f"/>
      <sheetName val="MAPQUEUR TABLEAU f"/>
      <sheetName val="FLURESCENT f"/>
      <sheetName val="TROMBONNE INOX f"/>
      <sheetName val="TROMB EN PLASTI f"/>
      <sheetName val="CISEAU f"/>
      <sheetName val="ROUL MAC f"/>
      <sheetName val="RABAT f"/>
      <sheetName val="REGLE f"/>
      <sheetName val="SPIRALE 6 f"/>
      <sheetName val="SPIRALE 8 f"/>
      <sheetName val="SPIRALE 10 f"/>
      <sheetName val="SPIRALE 12 f"/>
      <sheetName val="SPIRALE 14 f"/>
      <sheetName val="SPIRALE 20 f"/>
      <sheetName val="SPIRAL 25 f"/>
      <sheetName val="PARAPHEUR f"/>
      <sheetName val="PLAST GF"/>
      <sheetName val="PLAST P F"/>
      <sheetName val="DATEUR f"/>
      <sheetName val="ENCREUR ROUGE f"/>
      <sheetName val="ENCREUR BLEU f"/>
      <sheetName val="BOITE CARTON F"/>
      <sheetName val="EUROKOTTE f"/>
      <sheetName val="TRANSPARENT f"/>
      <sheetName val="MINISTRE f"/>
      <sheetName val="860 f"/>
      <sheetName val="TONER 390 f"/>
      <sheetName val="TONER C50 f"/>
      <sheetName val="TONER 385 f"/>
      <sheetName val="TONER250"/>
      <sheetName val="R FAX f"/>
      <sheetName val="CLASSEUR SUSP f"/>
      <sheetName val="CHEM SIGN f"/>
      <sheetName val="6317"/>
      <sheetName val="6112 f"/>
      <sheetName val="CHEMISE SANGLE f"/>
      <sheetName val="5621  1025 f"/>
      <sheetName val="BULLE SIMPLE f"/>
      <sheetName val="ROULEAU NADOR f"/>
      <sheetName val="TAILLE CRAYON"/>
      <sheetName val="POCHETTE PERFOREE 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ull pesee"/>
      <sheetName val="Feuil1"/>
      <sheetName val="A4 NON TOUCH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2">
        <row r="2">
          <cell r="B2" t="str">
            <v>Table 1: Economic Analysis - Irrigation Scheme 01 - Artashat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4">
        <row r="76">
          <cell r="D76">
            <v>0.5</v>
          </cell>
        </row>
        <row r="78">
          <cell r="D78">
            <v>1.31</v>
          </cell>
        </row>
      </sheetData>
      <sheetData sheetId="5">
        <row r="6">
          <cell r="F6">
            <v>0.125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énario 1"/>
      <sheetName val="Graph1"/>
      <sheetName val="Base"/>
      <sheetName val="Scénario 2"/>
      <sheetName val="Donné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AGENTS"/>
      <sheetName val="AGENT (2)"/>
      <sheetName val="AG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PC3100 (2)"/>
      <sheetName val="CPC3200 (2)"/>
      <sheetName val="CPC3300 (2)"/>
      <sheetName val="CPC3400 (2)"/>
      <sheetName val="CPC3500 (2)"/>
      <sheetName val="CPC5100 (2)"/>
      <sheetName val="CPC5300 (2)"/>
      <sheetName val="CPC5400 (2)"/>
      <sheetName val="CPC5500 (2)"/>
      <sheetName val="CPC5600 (2)"/>
      <sheetName val="CPC5700 (2)"/>
      <sheetName val="CPC5800 (2)"/>
      <sheetName val="CPC5900 (2)"/>
      <sheetName val="CPC7100 (2)"/>
      <sheetName val="CPC7200 (2)"/>
      <sheetName val="CPC7300 (2)"/>
      <sheetName val="CPC7400 (2)"/>
      <sheetName val="CPC 2001"/>
      <sheetName val="CPC01062002"/>
      <sheetName val="CPC06 20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7">
        <row r="38">
          <cell r="A38" t="str">
            <v>Agence Comptable </v>
          </cell>
        </row>
        <row r="39">
          <cell r="A39" t="str">
            <v>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D.R. Sidi Ifni </v>
          </cell>
        </row>
        <row r="55">
          <cell r="A55" t="str">
            <v>D.R. Tanger</v>
          </cell>
        </row>
        <row r="56">
          <cell r="A56" t="str">
            <v>D.R. TanTan </v>
          </cell>
        </row>
        <row r="57">
          <cell r="A57" t="str">
            <v>D.R.H.A.G</v>
          </cell>
        </row>
        <row r="58">
          <cell r="A58" t="str">
            <v>Département Financier et Comptable</v>
          </cell>
        </row>
        <row r="59">
          <cell r="A59" t="str">
            <v>Départements des études générales </v>
          </cell>
        </row>
        <row r="60">
          <cell r="A60" t="str">
            <v>Direction d'Exploitation </v>
          </cell>
        </row>
        <row r="61">
          <cell r="A61" t="str">
            <v>Direction Générale</v>
          </cell>
        </row>
        <row r="62">
          <cell r="A62" t="str">
            <v>Division des Affaires Générales </v>
          </cell>
        </row>
        <row r="63">
          <cell r="A63" t="str">
            <v>Division des Systemes Informatiques </v>
          </cell>
        </row>
        <row r="64">
          <cell r="A64" t="str">
            <v>H.P. Asilah</v>
          </cell>
        </row>
        <row r="65">
          <cell r="A65" t="str">
            <v>H.P. Jebha</v>
          </cell>
        </row>
        <row r="66">
          <cell r="A66" t="str">
            <v>H.P. Jorf Lasfar</v>
          </cell>
        </row>
        <row r="67">
          <cell r="A67" t="str">
            <v>H.P. Oued Laou</v>
          </cell>
        </row>
        <row r="68">
          <cell r="A68" t="str">
            <v>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Service Personnel </v>
          </cell>
        </row>
        <row r="75">
          <cell r="A75" t="str">
            <v>Service Social </v>
          </cell>
        </row>
        <row r="76">
          <cell r="A76" t="str">
            <v>Village de pêche IMMSOUANE </v>
          </cell>
        </row>
        <row r="77">
          <cell r="A77" t="str">
            <v>Village de Pêche KALA-IRIS</v>
          </cell>
        </row>
        <row r="78">
          <cell r="A78" t="str">
            <v>Village de Pêche SOUIRIA K'DIMA</v>
          </cell>
        </row>
        <row r="79">
          <cell r="A79" t="str">
            <v>MPM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STE AGENTS"/>
      <sheetName val="AGENT (2)"/>
      <sheetName val="AG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6"/>
  <sheetViews>
    <sheetView showGridLines="0" workbookViewId="0" topLeftCell="A1">
      <selection activeCell="B10" sqref="B10"/>
    </sheetView>
  </sheetViews>
  <sheetFormatPr defaultColWidth="9.140625" defaultRowHeight="12.75"/>
  <cols>
    <col min="1" max="1" width="39.7109375" style="29" customWidth="1"/>
    <col min="2" max="2" width="106.421875" style="29" customWidth="1"/>
    <col min="3" max="16384" width="9.140625" style="29" customWidth="1"/>
  </cols>
  <sheetData>
    <row r="1" spans="2:3" ht="12.75">
      <c r="B1" s="30" t="s">
        <v>53</v>
      </c>
      <c r="C1" s="31"/>
    </row>
    <row r="2" ht="20.25" customHeight="1">
      <c r="B2" s="174" t="s">
        <v>87</v>
      </c>
    </row>
    <row r="3" ht="12.75">
      <c r="B3" s="174"/>
    </row>
    <row r="4" ht="12.75">
      <c r="B4" s="174"/>
    </row>
    <row r="5" ht="12.75">
      <c r="B5" s="174"/>
    </row>
    <row r="6" ht="12.75">
      <c r="B6" s="174"/>
    </row>
    <row r="7" ht="13.5" thickBot="1"/>
    <row r="8" spans="1:2" ht="18" customHeight="1" thickBot="1" thickTop="1">
      <c r="A8" s="62" t="s">
        <v>54</v>
      </c>
      <c r="B8" s="63" t="s">
        <v>88</v>
      </c>
    </row>
    <row r="9" spans="1:2" ht="18" customHeight="1" thickTop="1">
      <c r="A9" s="32" t="s">
        <v>55</v>
      </c>
      <c r="B9" s="33" t="s">
        <v>90</v>
      </c>
    </row>
    <row r="10" spans="1:2" ht="18" customHeight="1">
      <c r="A10" s="34" t="s">
        <v>56</v>
      </c>
      <c r="B10" s="35">
        <v>39275</v>
      </c>
    </row>
    <row r="11" spans="1:2" ht="18" customHeight="1">
      <c r="A11" s="34" t="s">
        <v>57</v>
      </c>
      <c r="B11" s="36" t="s">
        <v>89</v>
      </c>
    </row>
    <row r="12" spans="1:2" ht="89.25">
      <c r="A12" s="32" t="s">
        <v>58</v>
      </c>
      <c r="B12" s="37" t="s">
        <v>0</v>
      </c>
    </row>
    <row r="13" spans="1:2" ht="18" customHeight="1">
      <c r="A13" s="42" t="s">
        <v>59</v>
      </c>
      <c r="B13" s="38" t="s">
        <v>92</v>
      </c>
    </row>
    <row r="14" spans="1:2" ht="34.5" customHeight="1">
      <c r="A14" s="34" t="s">
        <v>60</v>
      </c>
      <c r="B14" s="40" t="s">
        <v>93</v>
      </c>
    </row>
    <row r="15" spans="1:2" ht="18" customHeight="1">
      <c r="A15" s="41" t="s">
        <v>61</v>
      </c>
      <c r="B15" s="36" t="s">
        <v>94</v>
      </c>
    </row>
    <row r="16" spans="1:2" ht="6.75" customHeight="1">
      <c r="A16" s="42"/>
      <c r="B16" s="39"/>
    </row>
    <row r="17" spans="1:2" ht="12.75">
      <c r="A17" s="175" t="s">
        <v>62</v>
      </c>
      <c r="B17" s="43" t="s">
        <v>58</v>
      </c>
    </row>
    <row r="18" spans="1:2" ht="25.5">
      <c r="A18" s="175"/>
      <c r="B18" s="44" t="s">
        <v>63</v>
      </c>
    </row>
    <row r="19" spans="1:2" ht="12.75">
      <c r="A19" s="175"/>
      <c r="B19" s="39"/>
    </row>
    <row r="20" spans="1:2" ht="12.75">
      <c r="A20" s="175"/>
      <c r="B20" s="45" t="s">
        <v>64</v>
      </c>
    </row>
    <row r="21" spans="1:2" ht="25.5">
      <c r="A21" s="175"/>
      <c r="B21" s="46" t="s">
        <v>65</v>
      </c>
    </row>
    <row r="22" spans="1:2" ht="12.75">
      <c r="A22" s="175"/>
      <c r="B22" s="46"/>
    </row>
    <row r="23" spans="1:2" ht="12.75">
      <c r="A23" s="175"/>
      <c r="B23" s="43" t="s">
        <v>95</v>
      </c>
    </row>
    <row r="24" spans="1:2" ht="12.75">
      <c r="A24" s="175"/>
      <c r="B24" s="47" t="s">
        <v>110</v>
      </c>
    </row>
    <row r="25" spans="1:2" ht="12.75">
      <c r="A25" s="175"/>
      <c r="B25" s="46"/>
    </row>
    <row r="26" spans="1:2" ht="12.75">
      <c r="A26" s="175"/>
      <c r="B26" s="43" t="s">
        <v>96</v>
      </c>
    </row>
    <row r="27" spans="1:2" ht="12.75">
      <c r="A27" s="175"/>
      <c r="B27" s="47" t="s">
        <v>111</v>
      </c>
    </row>
    <row r="28" spans="1:2" ht="12.75">
      <c r="A28" s="175"/>
      <c r="B28" s="47"/>
    </row>
    <row r="29" spans="1:2" ht="12.75">
      <c r="A29" s="175"/>
      <c r="B29" s="173" t="s">
        <v>97</v>
      </c>
    </row>
    <row r="30" spans="1:2" ht="12.75">
      <c r="A30" s="175"/>
      <c r="B30" s="47" t="s">
        <v>112</v>
      </c>
    </row>
    <row r="31" spans="1:2" ht="12.75">
      <c r="A31" s="175"/>
      <c r="B31" s="47"/>
    </row>
    <row r="32" spans="1:2" ht="12.75">
      <c r="A32" s="175"/>
      <c r="B32" s="173" t="s">
        <v>98</v>
      </c>
    </row>
    <row r="33" spans="1:2" ht="12.75">
      <c r="A33" s="175"/>
      <c r="B33" s="47" t="s">
        <v>106</v>
      </c>
    </row>
    <row r="34" spans="1:2" ht="6.75" customHeight="1" thickBot="1">
      <c r="A34" s="48"/>
      <c r="B34" s="49"/>
    </row>
    <row r="35" ht="13.5" thickTop="1"/>
    <row r="36" ht="12.75">
      <c r="B36" s="50"/>
    </row>
  </sheetData>
  <mergeCells count="2">
    <mergeCell ref="B2:B6"/>
    <mergeCell ref="A17:A33"/>
  </mergeCells>
  <hyperlinks>
    <hyperlink ref="B20" location="'ERR &amp; Sensitivity Analysis'!A1" display="ERR &amp; Sensitivity Analysis"/>
    <hyperlink ref="B17" location="'Project Description'!A1" display="Project Description"/>
    <hyperlink ref="B23" location="'ERR Simulation'!A1" display="ERR Simulation"/>
    <hyperlink ref="B26" location="'Survival Probabilities'!A1" display="Survival Probabilities"/>
    <hyperlink ref="B29" location="'Enterprise Data'!A1" display="Enterprise Data"/>
    <hyperlink ref="B32" location="'Sample Size Calculation'!A1" display="Sample Size Calculation"/>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B24"/>
  <sheetViews>
    <sheetView showGridLines="0" tabSelected="1" workbookViewId="0" topLeftCell="A1">
      <selection activeCell="A1" sqref="A1"/>
    </sheetView>
  </sheetViews>
  <sheetFormatPr defaultColWidth="9.140625" defaultRowHeight="12.75"/>
  <cols>
    <col min="1" max="1" width="5.7109375" style="29" customWidth="1"/>
    <col min="2" max="2" width="125.7109375" style="29" customWidth="1"/>
    <col min="3" max="16384" width="9.140625" style="29" customWidth="1"/>
  </cols>
  <sheetData>
    <row r="1" ht="12.75">
      <c r="B1" s="30" t="s">
        <v>53</v>
      </c>
    </row>
    <row r="2" ht="20.25">
      <c r="B2" s="67" t="s">
        <v>87</v>
      </c>
    </row>
    <row r="4" ht="18">
      <c r="B4" s="68" t="s">
        <v>58</v>
      </c>
    </row>
    <row r="6" ht="12.75">
      <c r="B6" s="69" t="s">
        <v>82</v>
      </c>
    </row>
    <row r="7" ht="6.75" customHeight="1"/>
    <row r="8" ht="89.25">
      <c r="B8" s="66" t="s">
        <v>91</v>
      </c>
    </row>
    <row r="10" ht="12.75">
      <c r="B10" s="69" t="s">
        <v>83</v>
      </c>
    </row>
    <row r="11" ht="6.75" customHeight="1"/>
    <row r="12" ht="12.75">
      <c r="B12" s="29" t="s">
        <v>99</v>
      </c>
    </row>
    <row r="13" ht="4.5" customHeight="1"/>
    <row r="14" ht="134.25" customHeight="1">
      <c r="B14" s="187" t="s">
        <v>115</v>
      </c>
    </row>
    <row r="15" ht="60" customHeight="1">
      <c r="B15" s="187" t="s">
        <v>116</v>
      </c>
    </row>
    <row r="17" ht="12.75">
      <c r="B17" s="69" t="s">
        <v>109</v>
      </c>
    </row>
    <row r="18" ht="6.75" customHeight="1"/>
    <row r="19" ht="81.75" customHeight="1">
      <c r="B19" s="133" t="s">
        <v>117</v>
      </c>
    </row>
    <row r="20" ht="83.25" customHeight="1">
      <c r="B20" s="29" t="s">
        <v>114</v>
      </c>
    </row>
    <row r="21" ht="70.5" customHeight="1">
      <c r="B21" s="29" t="s">
        <v>113</v>
      </c>
    </row>
    <row r="24" ht="12.75">
      <c r="B24" s="30" t="s">
        <v>53</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J94"/>
  <sheetViews>
    <sheetView showGridLines="0" zoomScale="90" zoomScaleNormal="90" workbookViewId="0" topLeftCell="A1">
      <selection activeCell="A1" sqref="A1"/>
    </sheetView>
  </sheetViews>
  <sheetFormatPr defaultColWidth="9.140625" defaultRowHeight="12.75"/>
  <cols>
    <col min="1" max="1" width="5.7109375" style="29" customWidth="1"/>
    <col min="2" max="2" width="16.28125" style="29" customWidth="1"/>
    <col min="3" max="3" width="67.00390625" style="29" customWidth="1"/>
    <col min="4" max="4" width="17.140625" style="29" customWidth="1"/>
    <col min="5" max="5" width="15.00390625" style="29" customWidth="1"/>
    <col min="6" max="6" width="16.421875" style="29" customWidth="1"/>
    <col min="7" max="7" width="17.140625" style="29" customWidth="1"/>
    <col min="8" max="8" width="5.7109375" style="29" customWidth="1"/>
    <col min="9" max="9" width="20.7109375" style="29" customWidth="1"/>
    <col min="10" max="16384" width="9.140625" style="29" customWidth="1"/>
  </cols>
  <sheetData>
    <row r="2" spans="2:7" ht="20.25">
      <c r="B2" s="178" t="s">
        <v>87</v>
      </c>
      <c r="C2" s="178"/>
      <c r="G2" s="30"/>
    </row>
    <row r="4" spans="2:7" ht="22.5">
      <c r="B4" s="172" t="s">
        <v>66</v>
      </c>
      <c r="G4" s="30" t="s">
        <v>53</v>
      </c>
    </row>
    <row r="5" ht="12.75" customHeight="1">
      <c r="C5" s="131"/>
    </row>
    <row r="6" spans="2:7" ht="39.75" customHeight="1">
      <c r="B6" s="179" t="s">
        <v>81</v>
      </c>
      <c r="C6" s="179"/>
      <c r="D6" s="179"/>
      <c r="E6" s="179"/>
      <c r="F6" s="179"/>
      <c r="G6" s="179"/>
    </row>
    <row r="8" spans="2:7" s="131" customFormat="1" ht="15.75">
      <c r="B8" s="180" t="s">
        <v>67</v>
      </c>
      <c r="C8" s="182" t="s">
        <v>68</v>
      </c>
      <c r="D8" s="184" t="s">
        <v>69</v>
      </c>
      <c r="E8" s="185"/>
      <c r="F8" s="185"/>
      <c r="G8" s="186"/>
    </row>
    <row r="9" spans="2:10" s="131" customFormat="1" ht="39" thickBot="1">
      <c r="B9" s="181"/>
      <c r="C9" s="183"/>
      <c r="D9" s="51" t="s">
        <v>70</v>
      </c>
      <c r="E9" s="52" t="s">
        <v>71</v>
      </c>
      <c r="F9" s="53" t="s">
        <v>72</v>
      </c>
      <c r="G9" s="52" t="s">
        <v>73</v>
      </c>
      <c r="I9" s="54" t="s">
        <v>74</v>
      </c>
      <c r="J9" s="133"/>
    </row>
    <row r="10" spans="2:9" ht="38.25" customHeight="1">
      <c r="B10" s="134" t="s">
        <v>82</v>
      </c>
      <c r="C10" s="55" t="s">
        <v>75</v>
      </c>
      <c r="D10" s="135">
        <v>1</v>
      </c>
      <c r="E10" s="136">
        <v>1</v>
      </c>
      <c r="F10" s="137" t="s">
        <v>76</v>
      </c>
      <c r="G10" s="138">
        <f>D10</f>
        <v>1</v>
      </c>
      <c r="I10" s="56" t="str">
        <f>IF(D10=E10,IF(D11=E11,"Y","N"),"N")</f>
        <v>Y</v>
      </c>
    </row>
    <row r="11" spans="2:9" ht="38.25" customHeight="1">
      <c r="B11" s="139" t="s">
        <v>82</v>
      </c>
      <c r="C11" s="57" t="s">
        <v>77</v>
      </c>
      <c r="D11" s="140">
        <v>1</v>
      </c>
      <c r="E11" s="141">
        <v>1</v>
      </c>
      <c r="F11" s="142" t="s">
        <v>76</v>
      </c>
      <c r="G11" s="143">
        <f>D11</f>
        <v>1</v>
      </c>
      <c r="I11" s="144" t="str">
        <f>IF(D13=E13,IF(D14=E14,IF(D15=E15,"Y","N"),"N"),"N")</f>
        <v>Y</v>
      </c>
    </row>
    <row r="12" spans="2:9" ht="14.25" customHeight="1">
      <c r="B12" s="58"/>
      <c r="C12" s="59"/>
      <c r="D12" s="58"/>
      <c r="E12" s="58"/>
      <c r="F12" s="58"/>
      <c r="G12" s="59"/>
      <c r="I12" s="132"/>
    </row>
    <row r="13" spans="2:9" ht="35.25" customHeight="1">
      <c r="B13" s="145" t="s">
        <v>78</v>
      </c>
      <c r="C13" s="164" t="s">
        <v>101</v>
      </c>
      <c r="D13" s="146">
        <v>0.2</v>
      </c>
      <c r="E13" s="147">
        <v>0.2</v>
      </c>
      <c r="F13" s="148" t="s">
        <v>84</v>
      </c>
      <c r="G13" s="149">
        <f>IF($I$10="Y",D13,E13)</f>
        <v>0.2</v>
      </c>
      <c r="H13" s="176"/>
      <c r="I13" s="150" t="s">
        <v>79</v>
      </c>
    </row>
    <row r="14" spans="2:9" ht="42" customHeight="1">
      <c r="B14" s="151" t="s">
        <v>78</v>
      </c>
      <c r="C14" s="165" t="s">
        <v>104</v>
      </c>
      <c r="D14" s="152">
        <v>0.05</v>
      </c>
      <c r="E14" s="153">
        <v>0.05</v>
      </c>
      <c r="F14" s="154" t="s">
        <v>103</v>
      </c>
      <c r="G14" s="155">
        <f>IF($I$10="Y",D14,E14)</f>
        <v>0.05</v>
      </c>
      <c r="H14" s="176"/>
      <c r="I14" s="156" t="s">
        <v>108</v>
      </c>
    </row>
    <row r="15" spans="2:9" ht="33" customHeight="1">
      <c r="B15" s="158" t="s">
        <v>78</v>
      </c>
      <c r="C15" s="168" t="s">
        <v>30</v>
      </c>
      <c r="D15" s="169">
        <v>0.4</v>
      </c>
      <c r="E15" s="170">
        <v>0.4</v>
      </c>
      <c r="F15" s="171" t="s">
        <v>102</v>
      </c>
      <c r="G15" s="159">
        <f>IF($I$10="Y",D15,E15)</f>
        <v>0.4</v>
      </c>
      <c r="H15" s="176"/>
      <c r="I15" s="157" t="s">
        <v>86</v>
      </c>
    </row>
    <row r="16" spans="4:7" ht="12.75">
      <c r="D16" s="55"/>
      <c r="E16" s="55"/>
      <c r="F16" s="55"/>
      <c r="G16" s="55"/>
    </row>
    <row r="17" spans="2:7" ht="31.5" customHeight="1">
      <c r="B17" s="177">
        <f>IF(I10="N",IF(I11="N","Reminder: Please reset all summary parameters to original values before changing specific parameters.  Specific parameters will only be used in ERR computation when all summary parameters are set to initial values",0),0)</f>
        <v>0</v>
      </c>
      <c r="C17" s="177"/>
      <c r="D17" s="177"/>
      <c r="E17" s="177"/>
      <c r="F17" s="177"/>
      <c r="G17" s="177"/>
    </row>
    <row r="18" spans="2:7" ht="12" customHeight="1">
      <c r="B18" s="60"/>
      <c r="C18" s="60"/>
      <c r="D18" s="60"/>
      <c r="E18" s="60"/>
      <c r="F18" s="60"/>
      <c r="G18" s="60"/>
    </row>
    <row r="19" spans="3:5" ht="12.75">
      <c r="C19" s="160" t="s">
        <v>80</v>
      </c>
      <c r="D19" s="61">
        <f>'ERR Simulation'!B48</f>
        <v>0.13481575501470588</v>
      </c>
      <c r="E19" s="161"/>
    </row>
    <row r="20" spans="3:5" ht="12.75">
      <c r="C20" s="160"/>
      <c r="D20" s="161"/>
      <c r="E20" s="161"/>
    </row>
    <row r="21" spans="3:5" ht="12.75">
      <c r="C21" s="160" t="s">
        <v>85</v>
      </c>
      <c r="D21" s="162">
        <v>0.1348</v>
      </c>
      <c r="E21" s="163"/>
    </row>
    <row r="94" ht="12.75">
      <c r="C94" s="29">
        <f>32.36+8.37+14.88+24.49+12.69+12</f>
        <v>104.78999999999999</v>
      </c>
    </row>
  </sheetData>
  <mergeCells count="7">
    <mergeCell ref="H13:H15"/>
    <mergeCell ref="B17:G17"/>
    <mergeCell ref="B2:C2"/>
    <mergeCell ref="B6:G6"/>
    <mergeCell ref="B8:B9"/>
    <mergeCell ref="C8:C9"/>
    <mergeCell ref="D8:G8"/>
  </mergeCells>
  <conditionalFormatting sqref="B17:B18 B12">
    <cfRule type="cellIs" priority="1" dxfId="0" operator="equal" stopIfTrue="1">
      <formula>0</formula>
    </cfRule>
    <cfRule type="cellIs" priority="2" dxfId="1" operator="notEqual" stopIfTrue="1">
      <formula>0</formula>
    </cfRule>
  </conditionalFormatting>
  <hyperlinks>
    <hyperlink ref="I14" location="'Project Description'!A1" display="   Project Description"/>
    <hyperlink ref="I15" location="'User''s Guide'!A1" display="   User's Guid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dimension ref="A1:O68"/>
  <sheetViews>
    <sheetView workbookViewId="0" topLeftCell="A1">
      <selection activeCell="A1" sqref="A1"/>
    </sheetView>
  </sheetViews>
  <sheetFormatPr defaultColWidth="9.140625" defaultRowHeight="12.75"/>
  <cols>
    <col min="1" max="1" width="55.8515625" style="0" customWidth="1"/>
    <col min="2" max="2" width="8.7109375" style="0" customWidth="1"/>
    <col min="3" max="3" width="11.8515625" style="0" customWidth="1"/>
    <col min="4" max="4" width="11.421875" style="0" customWidth="1"/>
    <col min="5" max="5" width="10.28125" style="0" customWidth="1"/>
    <col min="6" max="6" width="10.140625" style="0" customWidth="1"/>
    <col min="7" max="7" width="11.421875" style="0" customWidth="1"/>
    <col min="8" max="8" width="11.57421875" style="0" customWidth="1"/>
    <col min="9" max="9" width="11.00390625" style="0" customWidth="1"/>
    <col min="10" max="10" width="11.421875" style="0" customWidth="1"/>
    <col min="11" max="12" width="10.140625" style="0" customWidth="1"/>
    <col min="13" max="14" width="8.7109375" style="0" customWidth="1"/>
  </cols>
  <sheetData>
    <row r="1" ht="12.75">
      <c r="A1" s="123" t="s">
        <v>95</v>
      </c>
    </row>
    <row r="2" spans="1:7" ht="12.75">
      <c r="A2" s="177">
        <f>IF('ERR &amp; Sensitivity Analysis'!$I$10="N","Note: Current calculations are based on user input and are not the original MCC estimates.",IF('ERR &amp; Sensitivity Analysis'!$I$11="N","Note: Current calculations are based on user input and are not the original MCC estimates.",0))</f>
        <v>0</v>
      </c>
      <c r="B2" s="177"/>
      <c r="C2" s="177"/>
      <c r="D2" s="177"/>
      <c r="E2" s="177"/>
      <c r="F2" s="177"/>
      <c r="G2" s="177"/>
    </row>
    <row r="3" ht="13.5" thickBot="1"/>
    <row r="4" spans="1:2" ht="12.75">
      <c r="A4" s="98" t="s">
        <v>10</v>
      </c>
      <c r="B4" s="99">
        <v>8.5</v>
      </c>
    </row>
    <row r="5" spans="1:2" ht="12.75">
      <c r="A5" s="100"/>
      <c r="B5" s="101"/>
    </row>
    <row r="6" spans="1:4" ht="12.75">
      <c r="A6" s="102" t="s">
        <v>25</v>
      </c>
      <c r="B6" s="103">
        <f>'ERR &amp; Sensitivity Analysis'!G13</f>
        <v>0.2</v>
      </c>
      <c r="D6">
        <f>700000/8.5</f>
        <v>82352.94117647059</v>
      </c>
    </row>
    <row r="7" spans="1:2" ht="12.75">
      <c r="A7" s="104" t="s">
        <v>105</v>
      </c>
      <c r="B7" s="105">
        <f>'ERR &amp; Sensitivity Analysis'!G14</f>
        <v>0.05</v>
      </c>
    </row>
    <row r="8" spans="1:2" ht="13.5" thickBot="1">
      <c r="A8" s="106" t="s">
        <v>30</v>
      </c>
      <c r="B8" s="107">
        <f>'ERR &amp; Sensitivity Analysis'!G15</f>
        <v>0.4</v>
      </c>
    </row>
    <row r="9" ht="13.5" thickBot="1"/>
    <row r="10" spans="1:13" ht="12.75">
      <c r="A10" s="92"/>
      <c r="B10" s="93"/>
      <c r="C10" s="93">
        <v>1</v>
      </c>
      <c r="D10" s="93">
        <f>+C10+1</f>
        <v>2</v>
      </c>
      <c r="E10" s="93">
        <f aca="true" t="shared" si="0" ref="E10:L10">+D10+1</f>
        <v>3</v>
      </c>
      <c r="F10" s="93">
        <f t="shared" si="0"/>
        <v>4</v>
      </c>
      <c r="G10" s="93">
        <f t="shared" si="0"/>
        <v>5</v>
      </c>
      <c r="H10" s="93">
        <f t="shared" si="0"/>
        <v>6</v>
      </c>
      <c r="I10" s="93">
        <f t="shared" si="0"/>
        <v>7</v>
      </c>
      <c r="J10" s="93">
        <f t="shared" si="0"/>
        <v>8</v>
      </c>
      <c r="K10" s="93">
        <f t="shared" si="0"/>
        <v>9</v>
      </c>
      <c r="L10" s="94">
        <f t="shared" si="0"/>
        <v>10</v>
      </c>
      <c r="M10" s="7"/>
    </row>
    <row r="11" spans="1:15" ht="12.75">
      <c r="A11" s="76"/>
      <c r="B11" s="7"/>
      <c r="C11" s="15"/>
      <c r="D11" s="15"/>
      <c r="E11" s="15"/>
      <c r="F11" s="15"/>
      <c r="G11" s="15"/>
      <c r="H11" s="15"/>
      <c r="I11" s="15"/>
      <c r="J11" s="15"/>
      <c r="K11" s="15"/>
      <c r="L11" s="95"/>
      <c r="M11" s="17"/>
      <c r="N11" s="1"/>
      <c r="O11" s="1"/>
    </row>
    <row r="12" spans="1:13" ht="12.75">
      <c r="A12" s="76" t="s">
        <v>26</v>
      </c>
      <c r="B12" s="7"/>
      <c r="C12" s="15">
        <v>0.0575</v>
      </c>
      <c r="D12" s="15">
        <v>0.1901</v>
      </c>
      <c r="E12" s="15">
        <v>0.1436</v>
      </c>
      <c r="F12" s="15">
        <v>0.1238</v>
      </c>
      <c r="G12" s="15">
        <v>0.0751</v>
      </c>
      <c r="H12" s="15">
        <v>0.0785</v>
      </c>
      <c r="I12" s="15">
        <v>0.0475</v>
      </c>
      <c r="J12" s="15">
        <v>0.0508</v>
      </c>
      <c r="K12" s="15">
        <v>0.0265</v>
      </c>
      <c r="L12" s="95">
        <v>0.0331</v>
      </c>
      <c r="M12" s="7"/>
    </row>
    <row r="13" spans="1:13" ht="12.75">
      <c r="A13" s="76" t="s">
        <v>27</v>
      </c>
      <c r="B13" s="7"/>
      <c r="C13" s="15">
        <f>+C12*(1-$B$6)</f>
        <v>0.046000000000000006</v>
      </c>
      <c r="D13" s="15">
        <f aca="true" t="shared" si="1" ref="D13:L13">+D12*(1-$B$6)</f>
        <v>0.15208</v>
      </c>
      <c r="E13" s="15">
        <f t="shared" si="1"/>
        <v>0.11488000000000001</v>
      </c>
      <c r="F13" s="15">
        <f t="shared" si="1"/>
        <v>0.09904</v>
      </c>
      <c r="G13" s="15">
        <f t="shared" si="1"/>
        <v>0.06008</v>
      </c>
      <c r="H13" s="15">
        <f t="shared" si="1"/>
        <v>0.06280000000000001</v>
      </c>
      <c r="I13" s="15">
        <f t="shared" si="1"/>
        <v>0.038000000000000006</v>
      </c>
      <c r="J13" s="15">
        <f t="shared" si="1"/>
        <v>0.04064</v>
      </c>
      <c r="K13" s="15">
        <f t="shared" si="1"/>
        <v>0.0212</v>
      </c>
      <c r="L13" s="95">
        <f t="shared" si="1"/>
        <v>0.02648</v>
      </c>
      <c r="M13" s="7"/>
    </row>
    <row r="14" spans="1:13" ht="12.75">
      <c r="A14" s="76"/>
      <c r="B14" s="7"/>
      <c r="C14" s="7"/>
      <c r="D14" s="7"/>
      <c r="E14" s="7"/>
      <c r="F14" s="7"/>
      <c r="G14" s="7"/>
      <c r="H14" s="7"/>
      <c r="I14" s="7"/>
      <c r="J14" s="7"/>
      <c r="K14" s="7"/>
      <c r="L14" s="77"/>
      <c r="M14" s="7"/>
    </row>
    <row r="15" spans="1:13" ht="12.75">
      <c r="A15" s="76" t="s">
        <v>28</v>
      </c>
      <c r="B15" s="7"/>
      <c r="C15" s="16">
        <f>+(1-C12)</f>
        <v>0.9425</v>
      </c>
      <c r="D15" s="15">
        <f aca="true" t="shared" si="2" ref="D15:L15">+C15*(1-D12)</f>
        <v>0.7633307500000001</v>
      </c>
      <c r="E15" s="15">
        <f t="shared" si="2"/>
        <v>0.6537164543000001</v>
      </c>
      <c r="F15" s="15">
        <f t="shared" si="2"/>
        <v>0.5727863572576601</v>
      </c>
      <c r="G15" s="15">
        <f t="shared" si="2"/>
        <v>0.5297701018276099</v>
      </c>
      <c r="H15" s="15">
        <f t="shared" si="2"/>
        <v>0.4881831488341425</v>
      </c>
      <c r="I15" s="15">
        <f t="shared" si="2"/>
        <v>0.4649944492645207</v>
      </c>
      <c r="J15" s="15">
        <f t="shared" si="2"/>
        <v>0.4413727312418831</v>
      </c>
      <c r="K15" s="15">
        <f t="shared" si="2"/>
        <v>0.4296763538639732</v>
      </c>
      <c r="L15" s="95">
        <f t="shared" si="2"/>
        <v>0.41545406655107564</v>
      </c>
      <c r="M15" s="7"/>
    </row>
    <row r="16" spans="1:13" ht="12.75">
      <c r="A16" s="76" t="s">
        <v>29</v>
      </c>
      <c r="B16" s="7"/>
      <c r="C16" s="16">
        <f>+(1-C13)</f>
        <v>0.954</v>
      </c>
      <c r="D16" s="15">
        <f aca="true" t="shared" si="3" ref="D16:L16">+C16*(1-D13)</f>
        <v>0.80891568</v>
      </c>
      <c r="E16" s="15">
        <f t="shared" si="3"/>
        <v>0.7159874466816001</v>
      </c>
      <c r="F16" s="15">
        <f t="shared" si="3"/>
        <v>0.6450760499622544</v>
      </c>
      <c r="G16" s="15">
        <f t="shared" si="3"/>
        <v>0.6063198808805221</v>
      </c>
      <c r="H16" s="15">
        <f t="shared" si="3"/>
        <v>0.5682429923612253</v>
      </c>
      <c r="I16" s="15">
        <f t="shared" si="3"/>
        <v>0.5466497586514988</v>
      </c>
      <c r="J16" s="15">
        <f t="shared" si="3"/>
        <v>0.5244339124599019</v>
      </c>
      <c r="K16" s="15">
        <f t="shared" si="3"/>
        <v>0.513315913515752</v>
      </c>
      <c r="L16" s="95">
        <f t="shared" si="3"/>
        <v>0.4997233081258549</v>
      </c>
      <c r="M16" s="7"/>
    </row>
    <row r="17" spans="1:13" ht="13.5" thickBot="1">
      <c r="A17" s="80"/>
      <c r="B17" s="81"/>
      <c r="C17" s="96">
        <f>+C16-C15</f>
        <v>0.011499999999999955</v>
      </c>
      <c r="D17" s="96">
        <f aca="true" t="shared" si="4" ref="D17:L17">+D16-D15</f>
        <v>0.04558492999999997</v>
      </c>
      <c r="E17" s="96">
        <f t="shared" si="4"/>
        <v>0.06227099238159994</v>
      </c>
      <c r="F17" s="96">
        <f t="shared" si="4"/>
        <v>0.07228969270459429</v>
      </c>
      <c r="G17" s="96">
        <f t="shared" si="4"/>
        <v>0.07654977905291227</v>
      </c>
      <c r="H17" s="96">
        <f t="shared" si="4"/>
        <v>0.08005984352708284</v>
      </c>
      <c r="I17" s="96">
        <f t="shared" si="4"/>
        <v>0.08165530938697807</v>
      </c>
      <c r="J17" s="96">
        <f t="shared" si="4"/>
        <v>0.08306118121801881</v>
      </c>
      <c r="K17" s="96">
        <f t="shared" si="4"/>
        <v>0.08363955965177883</v>
      </c>
      <c r="L17" s="97">
        <f t="shared" si="4"/>
        <v>0.08426924157477927</v>
      </c>
      <c r="M17" s="7"/>
    </row>
    <row r="18" ht="13.5" thickBot="1"/>
    <row r="19" spans="1:9" ht="49.5" customHeight="1">
      <c r="A19" s="167" t="s">
        <v>107</v>
      </c>
      <c r="B19" s="71"/>
      <c r="C19" s="72" t="s">
        <v>6</v>
      </c>
      <c r="D19" s="72" t="s">
        <v>7</v>
      </c>
      <c r="E19" s="73" t="s">
        <v>8</v>
      </c>
      <c r="F19" s="71"/>
      <c r="G19" s="74" t="s">
        <v>6</v>
      </c>
      <c r="H19" s="72" t="s">
        <v>7</v>
      </c>
      <c r="I19" s="75" t="s">
        <v>8</v>
      </c>
    </row>
    <row r="20" spans="1:9" ht="12.75">
      <c r="A20" s="76"/>
      <c r="B20" s="7"/>
      <c r="C20" s="7"/>
      <c r="D20" s="7"/>
      <c r="E20" s="8"/>
      <c r="F20" s="7"/>
      <c r="G20" s="6"/>
      <c r="H20" s="7"/>
      <c r="I20" s="77"/>
    </row>
    <row r="21" spans="1:9" ht="12.75">
      <c r="A21" s="76" t="s">
        <v>9</v>
      </c>
      <c r="B21" s="7"/>
      <c r="C21" s="7">
        <v>0.25</v>
      </c>
      <c r="D21" s="7">
        <v>0.25</v>
      </c>
      <c r="E21" s="8">
        <v>0.2</v>
      </c>
      <c r="F21" s="7"/>
      <c r="G21" s="6"/>
      <c r="H21" s="7"/>
      <c r="I21" s="77"/>
    </row>
    <row r="22" spans="1:9" ht="12.75">
      <c r="A22" s="76" t="s">
        <v>14</v>
      </c>
      <c r="B22" s="7"/>
      <c r="C22" s="9">
        <v>250</v>
      </c>
      <c r="D22" s="9">
        <v>250</v>
      </c>
      <c r="E22" s="10">
        <v>120</v>
      </c>
      <c r="F22" s="7"/>
      <c r="G22" s="13">
        <f aca="true" t="shared" si="5" ref="G22:I23">+C22*1000/$B$4</f>
        <v>29411.764705882353</v>
      </c>
      <c r="H22" s="14">
        <f t="shared" si="5"/>
        <v>29411.764705882353</v>
      </c>
      <c r="I22" s="78">
        <f t="shared" si="5"/>
        <v>14117.64705882353</v>
      </c>
    </row>
    <row r="23" spans="1:9" ht="12.75">
      <c r="A23" s="76" t="s">
        <v>15</v>
      </c>
      <c r="B23" s="7"/>
      <c r="C23" s="11">
        <f>89404/C25</f>
        <v>42.57333333333333</v>
      </c>
      <c r="D23" s="11">
        <f>116022/D25</f>
        <v>55.24857142857143</v>
      </c>
      <c r="E23" s="12">
        <f>54100/E25</f>
        <v>49.18181818181818</v>
      </c>
      <c r="F23" s="7"/>
      <c r="G23" s="13">
        <f t="shared" si="5"/>
        <v>5008.627450980392</v>
      </c>
      <c r="H23" s="14">
        <f t="shared" si="5"/>
        <v>6499.831932773109</v>
      </c>
      <c r="I23" s="78">
        <f t="shared" si="5"/>
        <v>5786.096256684491</v>
      </c>
    </row>
    <row r="24" spans="1:9" ht="12.75">
      <c r="A24" s="76" t="s">
        <v>16</v>
      </c>
      <c r="B24" s="7"/>
      <c r="C24" s="11">
        <f>SUM(C22:C23)</f>
        <v>292.5733333333333</v>
      </c>
      <c r="D24" s="11">
        <f>SUM(D22:D23)</f>
        <v>305.24857142857144</v>
      </c>
      <c r="E24" s="12">
        <f>SUM(E22:E23)</f>
        <v>169.1818181818182</v>
      </c>
      <c r="F24" s="7"/>
      <c r="G24" s="13">
        <f>SUM(G22:G23)</f>
        <v>34420.39215686274</v>
      </c>
      <c r="H24" s="14">
        <f>SUM(H22:H23)</f>
        <v>35911.596638655465</v>
      </c>
      <c r="I24" s="78">
        <f>SUM(I22:I23)</f>
        <v>19903.74331550802</v>
      </c>
    </row>
    <row r="25" spans="1:9" ht="12.75">
      <c r="A25" s="76" t="s">
        <v>11</v>
      </c>
      <c r="B25" s="7"/>
      <c r="C25" s="7">
        <v>2100</v>
      </c>
      <c r="D25" s="7">
        <v>2100</v>
      </c>
      <c r="E25" s="8">
        <v>1100</v>
      </c>
      <c r="F25" s="7"/>
      <c r="G25" s="6"/>
      <c r="H25" s="7"/>
      <c r="I25" s="77"/>
    </row>
    <row r="26" spans="1:9" ht="12.75">
      <c r="A26" s="76"/>
      <c r="B26" s="7"/>
      <c r="C26" s="7"/>
      <c r="D26" s="7"/>
      <c r="E26" s="8"/>
      <c r="F26" s="7"/>
      <c r="G26" s="6"/>
      <c r="H26" s="7"/>
      <c r="I26" s="77"/>
    </row>
    <row r="27" spans="1:11" ht="12.75">
      <c r="A27" s="76" t="s">
        <v>13</v>
      </c>
      <c r="B27" s="7"/>
      <c r="C27" s="7">
        <v>2000</v>
      </c>
      <c r="D27" s="7">
        <v>2000</v>
      </c>
      <c r="E27" s="8">
        <v>1500</v>
      </c>
      <c r="F27" s="7"/>
      <c r="G27" s="13">
        <f>+C27/$B$4</f>
        <v>235.2941176470588</v>
      </c>
      <c r="H27" s="14">
        <f>+D27/$B$4</f>
        <v>235.2941176470588</v>
      </c>
      <c r="I27" s="78">
        <f>+E27/$B$4</f>
        <v>176.47058823529412</v>
      </c>
      <c r="K27" s="25"/>
    </row>
    <row r="28" spans="1:9" ht="12.75">
      <c r="A28" s="76" t="s">
        <v>12</v>
      </c>
      <c r="B28" s="7"/>
      <c r="C28" s="7">
        <v>0.35</v>
      </c>
      <c r="D28" s="7">
        <v>0.35</v>
      </c>
      <c r="E28" s="8">
        <v>0.5</v>
      </c>
      <c r="F28" s="7"/>
      <c r="G28" s="6"/>
      <c r="H28" s="7"/>
      <c r="I28" s="77"/>
    </row>
    <row r="29" spans="1:9" ht="12.75">
      <c r="A29" s="76" t="s">
        <v>17</v>
      </c>
      <c r="B29" s="7"/>
      <c r="C29" s="26">
        <v>300</v>
      </c>
      <c r="D29" s="7">
        <v>700</v>
      </c>
      <c r="E29" s="8">
        <v>240</v>
      </c>
      <c r="F29" s="7"/>
      <c r="G29" s="13">
        <f aca="true" t="shared" si="6" ref="G29:I30">+C29*1000/$B$4</f>
        <v>35294.117647058825</v>
      </c>
      <c r="H29" s="14">
        <f t="shared" si="6"/>
        <v>82352.94117647059</v>
      </c>
      <c r="I29" s="78">
        <f t="shared" si="6"/>
        <v>28235.29411764706</v>
      </c>
    </row>
    <row r="30" spans="1:9" ht="12.75">
      <c r="A30" s="76" t="s">
        <v>19</v>
      </c>
      <c r="B30" s="7"/>
      <c r="C30" s="7">
        <f>+C29*$B8</f>
        <v>120</v>
      </c>
      <c r="D30" s="7">
        <f>+D29*$B8</f>
        <v>280</v>
      </c>
      <c r="E30" s="8">
        <f>+E29*$B8</f>
        <v>96</v>
      </c>
      <c r="F30" s="7"/>
      <c r="G30" s="13">
        <f t="shared" si="6"/>
        <v>14117.64705882353</v>
      </c>
      <c r="H30" s="14">
        <f t="shared" si="6"/>
        <v>32941.17647058824</v>
      </c>
      <c r="I30" s="78">
        <f t="shared" si="6"/>
        <v>11294.117647058823</v>
      </c>
    </row>
    <row r="31" spans="1:9" ht="12.75">
      <c r="A31" s="79" t="s">
        <v>33</v>
      </c>
      <c r="B31" s="7"/>
      <c r="C31" s="21">
        <v>3</v>
      </c>
      <c r="D31" s="21">
        <v>3</v>
      </c>
      <c r="E31" s="8">
        <v>3</v>
      </c>
      <c r="F31" s="21"/>
      <c r="G31" s="13"/>
      <c r="H31" s="14"/>
      <c r="I31" s="78"/>
    </row>
    <row r="32" spans="1:11" ht="12.75">
      <c r="A32" s="79" t="s">
        <v>34</v>
      </c>
      <c r="B32" s="7"/>
      <c r="C32" s="22">
        <f>+C30/C31</f>
        <v>40</v>
      </c>
      <c r="D32" s="22">
        <f>+D30/D31</f>
        <v>93.33333333333333</v>
      </c>
      <c r="E32" s="22">
        <f>+E30/E31</f>
        <v>32</v>
      </c>
      <c r="F32" s="7"/>
      <c r="G32" s="23">
        <f>+C32*1000/$B$4</f>
        <v>4705.882352941177</v>
      </c>
      <c r="H32" s="14">
        <f>+D32*1000/$B$4</f>
        <v>10980.392156862745</v>
      </c>
      <c r="I32" s="78">
        <f>+E32*1000/$B$4</f>
        <v>3764.705882352941</v>
      </c>
      <c r="K32" s="24"/>
    </row>
    <row r="33" spans="1:9" ht="12.75">
      <c r="A33" s="76"/>
      <c r="B33" s="7"/>
      <c r="C33" s="7"/>
      <c r="D33" s="7"/>
      <c r="E33" s="8"/>
      <c r="F33" s="7"/>
      <c r="G33" s="6"/>
      <c r="H33" s="7"/>
      <c r="I33" s="77"/>
    </row>
    <row r="34" spans="1:9" ht="12.75">
      <c r="A34" s="76" t="s">
        <v>20</v>
      </c>
      <c r="B34" s="7"/>
      <c r="C34" s="7">
        <f>+C30*$B7</f>
        <v>6</v>
      </c>
      <c r="D34" s="7">
        <f>+D30*$B7</f>
        <v>14</v>
      </c>
      <c r="E34" s="8">
        <f>+E30*$B7</f>
        <v>4.800000000000001</v>
      </c>
      <c r="F34" s="7"/>
      <c r="G34" s="13">
        <f>+C34*1000/$B$4</f>
        <v>705.8823529411765</v>
      </c>
      <c r="H34" s="14">
        <f>+D34*1000/$B$4</f>
        <v>1647.0588235294117</v>
      </c>
      <c r="I34" s="78">
        <f>+E34*1000/$B$4</f>
        <v>564.7058823529413</v>
      </c>
    </row>
    <row r="35" spans="1:9" ht="12.75">
      <c r="A35" s="76"/>
      <c r="B35" s="7"/>
      <c r="C35" s="7"/>
      <c r="D35" s="7"/>
      <c r="E35" s="8"/>
      <c r="F35" s="7"/>
      <c r="G35" s="6"/>
      <c r="H35" s="7"/>
      <c r="I35" s="77"/>
    </row>
    <row r="36" spans="1:12" ht="13.5" thickBot="1">
      <c r="A36" s="80"/>
      <c r="B36" s="81"/>
      <c r="C36" s="81"/>
      <c r="D36" s="81"/>
      <c r="E36" s="82"/>
      <c r="F36" s="81"/>
      <c r="G36" s="83">
        <f>+((C30+C34)/C31)*1000/B4</f>
        <v>4941.176470588235</v>
      </c>
      <c r="H36" s="81"/>
      <c r="I36" s="84"/>
      <c r="J36" s="7"/>
      <c r="K36" s="7"/>
      <c r="L36" s="7"/>
    </row>
    <row r="37" spans="1:13" ht="13.5" thickBot="1">
      <c r="A37" s="70"/>
      <c r="B37" s="71"/>
      <c r="C37" s="71"/>
      <c r="D37" s="71"/>
      <c r="E37" s="71"/>
      <c r="F37" s="71"/>
      <c r="G37" s="166"/>
      <c r="H37" s="71"/>
      <c r="I37" s="71"/>
      <c r="J37" s="7"/>
      <c r="K37" s="7"/>
      <c r="L37" s="7"/>
      <c r="M37" s="7"/>
    </row>
    <row r="38" spans="1:15" ht="12.75">
      <c r="A38" s="70"/>
      <c r="B38" s="71"/>
      <c r="C38" s="71">
        <v>1</v>
      </c>
      <c r="D38" s="71">
        <f>+C38+1</f>
        <v>2</v>
      </c>
      <c r="E38" s="71">
        <f>+D38+1</f>
        <v>3</v>
      </c>
      <c r="F38" s="71">
        <f aca="true" t="shared" si="7" ref="F38:L38">+E38+1</f>
        <v>4</v>
      </c>
      <c r="G38" s="71">
        <f t="shared" si="7"/>
        <v>5</v>
      </c>
      <c r="H38" s="71">
        <f t="shared" si="7"/>
        <v>6</v>
      </c>
      <c r="I38" s="71">
        <f t="shared" si="7"/>
        <v>7</v>
      </c>
      <c r="J38" s="71">
        <f t="shared" si="7"/>
        <v>8</v>
      </c>
      <c r="K38" s="71">
        <f t="shared" si="7"/>
        <v>9</v>
      </c>
      <c r="L38" s="85">
        <f t="shared" si="7"/>
        <v>10</v>
      </c>
      <c r="M38" s="7"/>
      <c r="N38" s="7"/>
      <c r="O38" s="7"/>
    </row>
    <row r="39" spans="1:15" ht="12.75">
      <c r="A39" s="86" t="s">
        <v>48</v>
      </c>
      <c r="B39" s="7"/>
      <c r="C39" s="7" t="s">
        <v>41</v>
      </c>
      <c r="D39" s="7"/>
      <c r="E39" s="7"/>
      <c r="F39" s="7"/>
      <c r="G39" s="7"/>
      <c r="H39" s="7"/>
      <c r="I39" s="7"/>
      <c r="J39" s="7"/>
      <c r="K39" s="7"/>
      <c r="L39" s="77"/>
      <c r="M39" s="7"/>
      <c r="N39" s="7"/>
      <c r="O39" s="7"/>
    </row>
    <row r="40" spans="1:15" ht="12.75">
      <c r="A40" s="76" t="s">
        <v>22</v>
      </c>
      <c r="B40" s="7"/>
      <c r="C40" s="27">
        <f>(C$15*$C$30+(1-C$15)*$C$27*$C$31*12/1000)/$B$4</f>
        <v>13.792941176470588</v>
      </c>
      <c r="D40" s="27">
        <f aca="true" t="shared" si="8" ref="D40:L40">(D$15*$C$30+(1-D$15)*$C$27*$C$31*12/1000)/$B$4</f>
        <v>12.781161882352944</v>
      </c>
      <c r="E40" s="27">
        <f t="shared" si="8"/>
        <v>12.162163506635295</v>
      </c>
      <c r="F40" s="27">
        <f t="shared" si="8"/>
        <v>11.705146488043257</v>
      </c>
      <c r="G40" s="27">
        <f t="shared" si="8"/>
        <v>11.462231163261796</v>
      </c>
      <c r="H40" s="27">
        <f t="shared" si="8"/>
        <v>11.227387193416334</v>
      </c>
      <c r="I40" s="27">
        <f t="shared" si="8"/>
        <v>11.09643924290553</v>
      </c>
      <c r="J40" s="27">
        <f t="shared" si="8"/>
        <v>10.96304601171887</v>
      </c>
      <c r="K40" s="27">
        <f t="shared" si="8"/>
        <v>10.896995880643614</v>
      </c>
      <c r="L40" s="87">
        <f t="shared" si="8"/>
        <v>10.816681787582544</v>
      </c>
      <c r="M40" s="18"/>
      <c r="N40" s="18"/>
      <c r="O40" s="18"/>
    </row>
    <row r="41" spans="1:15" ht="12.75">
      <c r="A41" s="76" t="s">
        <v>23</v>
      </c>
      <c r="B41" s="7"/>
      <c r="C41" s="28">
        <f>+(C$16*($C$30+$C$34)+(1-C$16)*$C$27*$C$31*12/1000)/$B$4</f>
        <v>14.531294117647057</v>
      </c>
      <c r="D41" s="28">
        <f aca="true" t="shared" si="9" ref="D41:L41">+(D$16*($C$30+$C$34)+(1-D$16)*$C$27*$C$31*12/1000)/$B$4</f>
        <v>13.609581967058825</v>
      </c>
      <c r="E41" s="28">
        <f t="shared" si="9"/>
        <v>13.019214367153694</v>
      </c>
      <c r="F41" s="28">
        <f t="shared" si="9"/>
        <v>12.568718435054322</v>
      </c>
      <c r="G41" s="28">
        <f t="shared" si="9"/>
        <v>12.32250277265273</v>
      </c>
      <c r="H41" s="28">
        <f t="shared" si="9"/>
        <v>12.080602539706607</v>
      </c>
      <c r="I41" s="28">
        <f t="shared" si="9"/>
        <v>11.943421996138934</v>
      </c>
      <c r="J41" s="28">
        <f t="shared" si="9"/>
        <v>11.802286032098198</v>
      </c>
      <c r="K41" s="28">
        <f t="shared" si="9"/>
        <v>11.731654038805955</v>
      </c>
      <c r="L41" s="88">
        <f t="shared" si="9"/>
        <v>11.645301016328961</v>
      </c>
      <c r="M41" s="18"/>
      <c r="N41" s="18"/>
      <c r="O41" s="18"/>
    </row>
    <row r="42" spans="1:15" ht="12.75">
      <c r="A42" s="76" t="s">
        <v>24</v>
      </c>
      <c r="B42" s="7"/>
      <c r="C42" s="27">
        <f>(+C41-C40)*'ERR &amp; Sensitivity Analysis'!$G$11</f>
        <v>0.7383529411764691</v>
      </c>
      <c r="D42" s="27">
        <f>(+D41-D40)*'ERR &amp; Sensitivity Analysis'!$G$11</f>
        <v>0.8284200847058809</v>
      </c>
      <c r="E42" s="27">
        <f>(+E41-E40)*'ERR &amp; Sensitivity Analysis'!$G$11</f>
        <v>0.8570508605183988</v>
      </c>
      <c r="F42" s="27">
        <f>(+F41-F40)*'ERR &amp; Sensitivity Analysis'!$G$11</f>
        <v>0.8635719470110654</v>
      </c>
      <c r="G42" s="27">
        <f>(+G41-G40)*'ERR &amp; Sensitivity Analysis'!$G$11</f>
        <v>0.8602716093909333</v>
      </c>
      <c r="H42" s="27">
        <f>(+H41-H40)*'ERR &amp; Sensitivity Analysis'!$G$11</f>
        <v>0.8532153462902734</v>
      </c>
      <c r="I42" s="27">
        <f>(+I41-I40)*'ERR &amp; Sensitivity Analysis'!$G$11</f>
        <v>0.8469827532334033</v>
      </c>
      <c r="J42" s="27">
        <f>(+J41-J40)*'ERR &amp; Sensitivity Analysis'!$G$11</f>
        <v>0.8392400203793287</v>
      </c>
      <c r="K42" s="27">
        <f>(+K41-K40)*'ERR &amp; Sensitivity Analysis'!$G$11</f>
        <v>0.8346581581623411</v>
      </c>
      <c r="L42" s="87">
        <f>(+L41-L40)*'ERR &amp; Sensitivity Analysis'!$G$11</f>
        <v>0.8286192287464171</v>
      </c>
      <c r="M42" s="19"/>
      <c r="N42" s="19"/>
      <c r="O42" s="19"/>
    </row>
    <row r="43" spans="1:15" ht="12.75">
      <c r="A43" s="76"/>
      <c r="B43" s="7"/>
      <c r="C43" s="7"/>
      <c r="D43" s="7"/>
      <c r="E43" s="7"/>
      <c r="F43" s="7"/>
      <c r="G43" s="7"/>
      <c r="H43" s="7"/>
      <c r="I43" s="7"/>
      <c r="J43" s="7"/>
      <c r="K43" s="7"/>
      <c r="L43" s="77"/>
      <c r="M43" s="7"/>
      <c r="N43" s="7"/>
      <c r="O43" s="7"/>
    </row>
    <row r="44" spans="1:15" ht="12.75">
      <c r="A44" s="76" t="s">
        <v>32</v>
      </c>
      <c r="B44" s="7"/>
      <c r="C44" s="20">
        <f>-$G$23/1000*'ERR &amp; Sensitivity Analysis'!G10</f>
        <v>-5.008627450980391</v>
      </c>
      <c r="D44" s="20"/>
      <c r="E44" s="20"/>
      <c r="F44" s="16"/>
      <c r="G44" s="16"/>
      <c r="H44" s="16"/>
      <c r="I44" s="16"/>
      <c r="J44" s="16"/>
      <c r="K44" s="16"/>
      <c r="L44" s="89"/>
      <c r="M44" s="7"/>
      <c r="N44" s="7"/>
      <c r="O44" s="7"/>
    </row>
    <row r="45" spans="1:15" ht="12.75">
      <c r="A45" s="76"/>
      <c r="B45" s="7"/>
      <c r="C45" s="16"/>
      <c r="D45" s="16"/>
      <c r="E45" s="16"/>
      <c r="F45" s="16"/>
      <c r="G45" s="16"/>
      <c r="H45" s="16"/>
      <c r="I45" s="16"/>
      <c r="J45" s="16"/>
      <c r="K45" s="16"/>
      <c r="L45" s="89"/>
      <c r="M45" s="7"/>
      <c r="N45" s="7"/>
      <c r="O45" s="7"/>
    </row>
    <row r="46" spans="1:15" ht="13.5" thickBot="1">
      <c r="A46" s="80"/>
      <c r="B46" s="81"/>
      <c r="C46" s="90">
        <f>+C42+C44</f>
        <v>-4.270274509803922</v>
      </c>
      <c r="D46" s="90">
        <f>+D42+D44</f>
        <v>0.8284200847058809</v>
      </c>
      <c r="E46" s="90">
        <f aca="true" t="shared" si="10" ref="E46:L46">+E42+E44</f>
        <v>0.8570508605183988</v>
      </c>
      <c r="F46" s="90">
        <f t="shared" si="10"/>
        <v>0.8635719470110654</v>
      </c>
      <c r="G46" s="90">
        <f t="shared" si="10"/>
        <v>0.8602716093909333</v>
      </c>
      <c r="H46" s="90">
        <f t="shared" si="10"/>
        <v>0.8532153462902734</v>
      </c>
      <c r="I46" s="90">
        <f t="shared" si="10"/>
        <v>0.8469827532334033</v>
      </c>
      <c r="J46" s="90">
        <f t="shared" si="10"/>
        <v>0.8392400203793287</v>
      </c>
      <c r="K46" s="90">
        <f t="shared" si="10"/>
        <v>0.8346581581623411</v>
      </c>
      <c r="L46" s="91">
        <f t="shared" si="10"/>
        <v>0.8286192287464171</v>
      </c>
      <c r="M46" s="7"/>
      <c r="N46" s="7"/>
      <c r="O46" s="7"/>
    </row>
    <row r="47" spans="3:12" ht="13.5" thickBot="1">
      <c r="C47" s="5"/>
      <c r="D47" s="5"/>
      <c r="E47" s="5"/>
      <c r="F47" s="5"/>
      <c r="G47" s="5"/>
      <c r="H47" s="5"/>
      <c r="I47" s="5"/>
      <c r="J47" s="5"/>
      <c r="K47" s="5"/>
      <c r="L47" s="5"/>
    </row>
    <row r="48" spans="1:12" ht="13.5" thickBot="1">
      <c r="A48" s="64" t="s">
        <v>31</v>
      </c>
      <c r="B48" s="65">
        <f>IRR(C46:L46)</f>
        <v>0.13481575501470588</v>
      </c>
      <c r="C48" s="5"/>
      <c r="D48" s="5"/>
      <c r="E48" s="5"/>
      <c r="F48" s="5"/>
      <c r="G48" s="5"/>
      <c r="H48" s="5"/>
      <c r="I48" s="5"/>
      <c r="J48" s="5"/>
      <c r="K48" s="5"/>
      <c r="L48" s="5"/>
    </row>
    <row r="49" spans="1:12" ht="12.75">
      <c r="A49" s="108"/>
      <c r="B49" s="109"/>
      <c r="C49" s="5"/>
      <c r="D49" s="5"/>
      <c r="E49" s="5"/>
      <c r="F49" s="5"/>
      <c r="G49" s="5"/>
      <c r="H49" s="5"/>
      <c r="I49" s="5"/>
      <c r="J49" s="5"/>
      <c r="K49" s="5"/>
      <c r="L49" s="5"/>
    </row>
    <row r="50" spans="1:12" ht="13.5" thickBot="1">
      <c r="A50" s="108"/>
      <c r="B50" s="109"/>
      <c r="C50" s="5"/>
      <c r="D50" s="5"/>
      <c r="E50" s="5"/>
      <c r="F50" s="5"/>
      <c r="G50" s="5"/>
      <c r="H50" s="5"/>
      <c r="I50" s="5"/>
      <c r="J50" s="5"/>
      <c r="K50" s="5"/>
      <c r="L50" s="5"/>
    </row>
    <row r="51" spans="1:12" ht="12.75">
      <c r="A51" s="70"/>
      <c r="B51" s="71"/>
      <c r="C51" s="110">
        <f>+$C$25*(1-$C$28)*$C$31*$G$27*12/1000</f>
        <v>11562.35294117647</v>
      </c>
      <c r="D51" s="111"/>
      <c r="E51" s="111"/>
      <c r="F51" s="111"/>
      <c r="G51" s="111"/>
      <c r="H51" s="111"/>
      <c r="I51" s="111"/>
      <c r="J51" s="111"/>
      <c r="K51" s="111"/>
      <c r="L51" s="112"/>
    </row>
    <row r="52" spans="1:12" ht="12.75">
      <c r="A52" s="76"/>
      <c r="B52" s="7"/>
      <c r="C52" s="14">
        <f>+($C$25*$C$30)/$B$4</f>
        <v>29647.058823529413</v>
      </c>
      <c r="D52" s="113">
        <f>+C52/C51</f>
        <v>2.5641025641025643</v>
      </c>
      <c r="E52" s="7"/>
      <c r="F52" s="7"/>
      <c r="G52" s="7"/>
      <c r="H52" s="7"/>
      <c r="I52" s="7"/>
      <c r="J52" s="7"/>
      <c r="K52" s="7"/>
      <c r="L52" s="77"/>
    </row>
    <row r="53" spans="1:12" ht="12.75">
      <c r="A53" s="76"/>
      <c r="B53" s="7"/>
      <c r="C53" s="7"/>
      <c r="D53" s="7"/>
      <c r="E53" s="7"/>
      <c r="F53" s="7"/>
      <c r="G53" s="114"/>
      <c r="H53" s="7"/>
      <c r="I53" s="7"/>
      <c r="J53" s="7"/>
      <c r="K53" s="7"/>
      <c r="L53" s="77"/>
    </row>
    <row r="54" spans="1:12" ht="12.75">
      <c r="A54" s="76"/>
      <c r="B54" s="7"/>
      <c r="C54" s="7"/>
      <c r="D54" s="7"/>
      <c r="E54" s="7"/>
      <c r="F54" s="7"/>
      <c r="G54" s="7"/>
      <c r="H54" s="7"/>
      <c r="I54" s="7"/>
      <c r="J54" s="7"/>
      <c r="K54" s="7"/>
      <c r="L54" s="77"/>
    </row>
    <row r="55" spans="1:12" ht="12.75">
      <c r="A55" s="76"/>
      <c r="B55" s="7"/>
      <c r="C55" s="7" t="s">
        <v>35</v>
      </c>
      <c r="D55" s="7" t="s">
        <v>36</v>
      </c>
      <c r="E55" s="7"/>
      <c r="F55" s="7"/>
      <c r="G55" s="7"/>
      <c r="H55" s="7"/>
      <c r="I55" s="7"/>
      <c r="J55" s="7"/>
      <c r="K55" s="7"/>
      <c r="L55" s="77"/>
    </row>
    <row r="56" spans="1:12" ht="12.75">
      <c r="A56" s="76"/>
      <c r="B56" s="115" t="s">
        <v>37</v>
      </c>
      <c r="C56" s="16">
        <f>+C15</f>
        <v>0.9425</v>
      </c>
      <c r="D56" s="16">
        <f>+C16</f>
        <v>0.954</v>
      </c>
      <c r="E56" s="7"/>
      <c r="F56" s="7"/>
      <c r="G56" s="7"/>
      <c r="H56" s="7"/>
      <c r="I56" s="7"/>
      <c r="J56" s="7"/>
      <c r="K56" s="7"/>
      <c r="L56" s="77"/>
    </row>
    <row r="57" spans="1:12" ht="12.75">
      <c r="A57" s="76"/>
      <c r="B57" s="115" t="s">
        <v>38</v>
      </c>
      <c r="C57" s="7">
        <f>+C30</f>
        <v>120</v>
      </c>
      <c r="D57" s="7">
        <f>+C30+C34</f>
        <v>126</v>
      </c>
      <c r="E57" s="7"/>
      <c r="F57" s="7"/>
      <c r="G57" s="7"/>
      <c r="H57" s="114"/>
      <c r="I57" s="7"/>
      <c r="J57" s="7"/>
      <c r="K57" s="7"/>
      <c r="L57" s="77"/>
    </row>
    <row r="58" spans="1:12" ht="12.75">
      <c r="A58" s="76"/>
      <c r="B58" s="115" t="s">
        <v>39</v>
      </c>
      <c r="C58" s="7">
        <f>+C27*12*C31/1000</f>
        <v>72</v>
      </c>
      <c r="D58" s="7">
        <f>+C27*12*C31/1000</f>
        <v>72</v>
      </c>
      <c r="E58" s="7"/>
      <c r="F58" s="7"/>
      <c r="G58" s="7"/>
      <c r="H58" s="7"/>
      <c r="I58" s="7"/>
      <c r="J58" s="7"/>
      <c r="K58" s="7"/>
      <c r="L58" s="77"/>
    </row>
    <row r="59" spans="1:12" ht="12.75">
      <c r="A59" s="76"/>
      <c r="B59" s="7"/>
      <c r="C59" s="7"/>
      <c r="D59" s="7"/>
      <c r="E59" s="7"/>
      <c r="F59" s="7"/>
      <c r="G59" s="7"/>
      <c r="H59" s="7"/>
      <c r="I59" s="7"/>
      <c r="J59" s="7"/>
      <c r="K59" s="7"/>
      <c r="L59" s="77"/>
    </row>
    <row r="60" spans="1:12" ht="12.75">
      <c r="A60" s="76"/>
      <c r="B60" s="7" t="s">
        <v>40</v>
      </c>
      <c r="C60" s="116">
        <f>+($C$56*$C$57+(1-$C$56)*$C$58)/$B$4</f>
        <v>13.792941176470588</v>
      </c>
      <c r="D60" s="116">
        <f>+($D$56*$D$57+(1-$D$56)*$D$58)/$B$4</f>
        <v>14.531294117647057</v>
      </c>
      <c r="E60" s="116">
        <f>+(D60-C60)</f>
        <v>0.7383529411764691</v>
      </c>
      <c r="F60" s="7"/>
      <c r="G60" s="7"/>
      <c r="H60" s="7"/>
      <c r="I60" s="7"/>
      <c r="J60" s="7"/>
      <c r="K60" s="7"/>
      <c r="L60" s="77"/>
    </row>
    <row r="61" spans="1:12" ht="12.75">
      <c r="A61" s="76"/>
      <c r="B61" s="7"/>
      <c r="C61" s="7"/>
      <c r="D61" s="7"/>
      <c r="E61" s="7"/>
      <c r="F61" s="7"/>
      <c r="G61" s="7"/>
      <c r="H61" s="7"/>
      <c r="I61" s="7"/>
      <c r="J61" s="7"/>
      <c r="K61" s="7"/>
      <c r="L61" s="77"/>
    </row>
    <row r="62" spans="1:12" ht="12.75">
      <c r="A62" s="76"/>
      <c r="B62" s="7"/>
      <c r="C62" s="116">
        <f>+($C$56*$C$57+(1-$C$56)*$C$58)/$B$4</f>
        <v>13.792941176470588</v>
      </c>
      <c r="D62" s="116">
        <f>+($C$56*$D$57+(1-$C$56)*$D$58)/$B$4</f>
        <v>14.458235294117646</v>
      </c>
      <c r="E62" s="116">
        <f>+(D62-C62)</f>
        <v>0.6652941176470577</v>
      </c>
      <c r="F62" s="7"/>
      <c r="G62" s="7"/>
      <c r="H62" s="7"/>
      <c r="I62" s="7"/>
      <c r="J62" s="7"/>
      <c r="K62" s="7"/>
      <c r="L62" s="77"/>
    </row>
    <row r="63" spans="1:12" ht="12.75">
      <c r="A63" s="76"/>
      <c r="B63" s="7"/>
      <c r="C63" s="7"/>
      <c r="D63" s="7"/>
      <c r="E63" s="7"/>
      <c r="F63" s="7"/>
      <c r="G63" s="7"/>
      <c r="H63" s="7"/>
      <c r="I63" s="7"/>
      <c r="J63" s="7"/>
      <c r="K63" s="7"/>
      <c r="L63" s="77"/>
    </row>
    <row r="64" spans="1:12" ht="12.75">
      <c r="A64" s="76"/>
      <c r="B64" s="7"/>
      <c r="C64" s="116">
        <f>+($C$56*$C$57+(1-$C$56)*$C$58)/$B$4</f>
        <v>13.792941176470588</v>
      </c>
      <c r="D64" s="116">
        <f>+($D$56*$C$57+(1-$D$56)*$C$58)/$B$4</f>
        <v>13.857882352941175</v>
      </c>
      <c r="E64" s="116">
        <f>+(D64-C64)</f>
        <v>0.06494117647058673</v>
      </c>
      <c r="F64" s="7"/>
      <c r="G64" s="7"/>
      <c r="H64" s="7"/>
      <c r="I64" s="7"/>
      <c r="J64" s="7"/>
      <c r="K64" s="7"/>
      <c r="L64" s="77"/>
    </row>
    <row r="65" spans="1:12" ht="12.75">
      <c r="A65" s="76"/>
      <c r="B65" s="7"/>
      <c r="C65" s="7"/>
      <c r="D65" s="7"/>
      <c r="E65" s="7"/>
      <c r="F65" s="7"/>
      <c r="G65" s="7"/>
      <c r="H65" s="7"/>
      <c r="I65" s="7"/>
      <c r="J65" s="7"/>
      <c r="K65" s="7"/>
      <c r="L65" s="77"/>
    </row>
    <row r="66" spans="1:12" ht="12.75">
      <c r="A66" s="117" t="s">
        <v>52</v>
      </c>
      <c r="B66" s="118">
        <v>6600</v>
      </c>
      <c r="C66" s="7"/>
      <c r="D66" s="7"/>
      <c r="E66" s="7"/>
      <c r="F66" s="7"/>
      <c r="G66" s="7"/>
      <c r="H66" s="7"/>
      <c r="I66" s="7"/>
      <c r="J66" s="7"/>
      <c r="K66" s="7"/>
      <c r="L66" s="77"/>
    </row>
    <row r="67" spans="1:12" ht="12.75">
      <c r="A67" s="76"/>
      <c r="B67" s="7"/>
      <c r="C67" s="7"/>
      <c r="D67" s="7"/>
      <c r="E67" s="7"/>
      <c r="F67" s="7"/>
      <c r="G67" s="7"/>
      <c r="H67" s="7"/>
      <c r="I67" s="7"/>
      <c r="J67" s="7"/>
      <c r="K67" s="7"/>
      <c r="L67" s="77"/>
    </row>
    <row r="68" spans="1:12" ht="13.5" thickBot="1">
      <c r="A68" s="119" t="s">
        <v>51</v>
      </c>
      <c r="B68" s="81"/>
      <c r="C68" s="120">
        <f>C42*1000*$B$66</f>
        <v>4873129.411764696</v>
      </c>
      <c r="D68" s="120">
        <f aca="true" t="shared" si="11" ref="D68:L68">D42*1000*$B$66</f>
        <v>5467572.559058813</v>
      </c>
      <c r="E68" s="120">
        <f t="shared" si="11"/>
        <v>5656535.679421432</v>
      </c>
      <c r="F68" s="120">
        <f t="shared" si="11"/>
        <v>5699574.850273032</v>
      </c>
      <c r="G68" s="120">
        <f t="shared" si="11"/>
        <v>5677792.62198016</v>
      </c>
      <c r="H68" s="120">
        <f t="shared" si="11"/>
        <v>5631221.285515804</v>
      </c>
      <c r="I68" s="120">
        <f t="shared" si="11"/>
        <v>5590086.171340462</v>
      </c>
      <c r="J68" s="120">
        <f t="shared" si="11"/>
        <v>5538984.1345035685</v>
      </c>
      <c r="K68" s="120">
        <f t="shared" si="11"/>
        <v>5508743.843871451</v>
      </c>
      <c r="L68" s="121">
        <f t="shared" si="11"/>
        <v>5468886.909726352</v>
      </c>
    </row>
  </sheetData>
  <mergeCells count="1">
    <mergeCell ref="A2:G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ignoredErrors>
    <ignoredError sqref="E46:L46" emptyCellReference="1"/>
  </ignoredErrors>
  <legacyDrawing r:id="rId2"/>
</worksheet>
</file>

<file path=xl/worksheets/sheet5.xml><?xml version="1.0" encoding="utf-8"?>
<worksheet xmlns="http://schemas.openxmlformats.org/spreadsheetml/2006/main" xmlns:r="http://schemas.openxmlformats.org/officeDocument/2006/relationships">
  <dimension ref="A1:R22"/>
  <sheetViews>
    <sheetView workbookViewId="0" topLeftCell="A1">
      <selection activeCell="A1" sqref="A1"/>
    </sheetView>
  </sheetViews>
  <sheetFormatPr defaultColWidth="9.140625" defaultRowHeight="12.75"/>
  <cols>
    <col min="1" max="1" width="29.7109375" style="0" customWidth="1"/>
    <col min="4" max="4" width="9.421875" style="0" customWidth="1"/>
    <col min="16" max="16" width="13.7109375" style="0" customWidth="1"/>
  </cols>
  <sheetData>
    <row r="1" ht="12.75">
      <c r="A1" s="123" t="s">
        <v>100</v>
      </c>
    </row>
    <row r="2" ht="13.5" thickBot="1"/>
    <row r="3" spans="1:16" ht="42.75" customHeight="1">
      <c r="A3" s="177">
        <f>IF('ERR &amp; Sensitivity Analysis'!$I$10="N","Note: Current calculations are based on user input and are not the original MCC estimates.",IF('ERR &amp; Sensitivity Analysis'!$I$11="N","Note: Current calculations are based on user input and are not the original MCC estimates.",0))</f>
        <v>0</v>
      </c>
      <c r="B3" s="177"/>
      <c r="C3" s="177"/>
      <c r="D3" s="177"/>
      <c r="E3" s="177"/>
      <c r="F3" s="177"/>
      <c r="G3" s="177"/>
      <c r="H3" s="7"/>
      <c r="I3" s="7"/>
      <c r="J3" s="7"/>
      <c r="K3" s="7"/>
      <c r="L3" s="7"/>
      <c r="O3" s="70" t="s">
        <v>49</v>
      </c>
      <c r="P3" s="75" t="s">
        <v>50</v>
      </c>
    </row>
    <row r="4" spans="1:16" ht="12.75">
      <c r="A4" s="7" t="s">
        <v>1</v>
      </c>
      <c r="B4" s="7">
        <v>0.07</v>
      </c>
      <c r="C4" s="7"/>
      <c r="D4" s="7"/>
      <c r="E4" s="7"/>
      <c r="F4" s="7"/>
      <c r="G4" s="7"/>
      <c r="H4" s="7"/>
      <c r="I4" s="7"/>
      <c r="J4" s="7"/>
      <c r="K4" s="7"/>
      <c r="L4" s="7"/>
      <c r="O4" s="76"/>
      <c r="P4" s="77"/>
    </row>
    <row r="5" spans="1:18" ht="13.5" thickBot="1">
      <c r="A5" s="7"/>
      <c r="B5" s="7"/>
      <c r="C5" s="7"/>
      <c r="D5" s="7"/>
      <c r="E5" s="7"/>
      <c r="F5" s="7"/>
      <c r="G5" s="7"/>
      <c r="H5" s="7"/>
      <c r="I5" s="7"/>
      <c r="J5" s="7"/>
      <c r="K5" s="7"/>
      <c r="L5" s="7"/>
      <c r="O5" s="76">
        <v>1</v>
      </c>
      <c r="P5" s="89">
        <v>0.9425</v>
      </c>
      <c r="Q5" s="3"/>
      <c r="R5" s="3"/>
    </row>
    <row r="6" spans="1:18" ht="12.75">
      <c r="A6" s="127"/>
      <c r="B6" s="93"/>
      <c r="C6" s="93">
        <v>1</v>
      </c>
      <c r="D6" s="93">
        <f>+C6+1</f>
        <v>2</v>
      </c>
      <c r="E6" s="93">
        <f aca="true" t="shared" si="0" ref="E6:L6">+D6+1</f>
        <v>3</v>
      </c>
      <c r="F6" s="93">
        <f t="shared" si="0"/>
        <v>4</v>
      </c>
      <c r="G6" s="93">
        <f t="shared" si="0"/>
        <v>5</v>
      </c>
      <c r="H6" s="93">
        <f t="shared" si="0"/>
        <v>6</v>
      </c>
      <c r="I6" s="93">
        <f t="shared" si="0"/>
        <v>7</v>
      </c>
      <c r="J6" s="93">
        <f t="shared" si="0"/>
        <v>8</v>
      </c>
      <c r="K6" s="93">
        <f t="shared" si="0"/>
        <v>9</v>
      </c>
      <c r="L6" s="94">
        <f t="shared" si="0"/>
        <v>10</v>
      </c>
      <c r="O6" s="76">
        <f>+O5+1</f>
        <v>2</v>
      </c>
      <c r="P6" s="95">
        <v>0.7633307500000001</v>
      </c>
      <c r="Q6" s="2"/>
      <c r="R6" s="2"/>
    </row>
    <row r="7" spans="1:18" ht="12.75">
      <c r="A7" s="128"/>
      <c r="B7" s="7"/>
      <c r="C7" s="7"/>
      <c r="D7" s="7"/>
      <c r="E7" s="7"/>
      <c r="F7" s="7"/>
      <c r="G7" s="7"/>
      <c r="H7" s="7"/>
      <c r="I7" s="7"/>
      <c r="J7" s="7"/>
      <c r="K7" s="7"/>
      <c r="L7" s="77"/>
      <c r="O7" s="76">
        <f aca="true" t="shared" si="1" ref="O7:O14">+O6+1</f>
        <v>3</v>
      </c>
      <c r="P7" s="95">
        <v>0.6537164543000001</v>
      </c>
      <c r="Q7" s="2"/>
      <c r="R7" s="2"/>
    </row>
    <row r="8" spans="1:18" ht="12.75">
      <c r="A8" s="128" t="s">
        <v>2</v>
      </c>
      <c r="B8" s="7"/>
      <c r="C8" s="15">
        <v>0.0309</v>
      </c>
      <c r="D8" s="15">
        <v>0.0396</v>
      </c>
      <c r="E8" s="15">
        <v>0.0548</v>
      </c>
      <c r="F8" s="15">
        <v>0.0771</v>
      </c>
      <c r="G8" s="15">
        <v>0.0888</v>
      </c>
      <c r="H8" s="15">
        <v>0.1044</v>
      </c>
      <c r="I8" s="15">
        <v>0.1208</v>
      </c>
      <c r="J8" s="15">
        <v>0.1484</v>
      </c>
      <c r="K8" s="15">
        <v>0.15</v>
      </c>
      <c r="L8" s="95">
        <v>0.0709</v>
      </c>
      <c r="O8" s="76">
        <f t="shared" si="1"/>
        <v>4</v>
      </c>
      <c r="P8" s="95">
        <v>0.5727863572576601</v>
      </c>
      <c r="Q8" s="2"/>
      <c r="R8" s="2"/>
    </row>
    <row r="9" spans="1:18" ht="12.75">
      <c r="A9" s="128" t="s">
        <v>3</v>
      </c>
      <c r="B9" s="7"/>
      <c r="C9" s="15">
        <v>0.0575</v>
      </c>
      <c r="D9" s="15">
        <v>0.1901</v>
      </c>
      <c r="E9" s="15">
        <v>0.1436</v>
      </c>
      <c r="F9" s="15">
        <v>0.1238</v>
      </c>
      <c r="G9" s="15">
        <v>0.0751</v>
      </c>
      <c r="H9" s="15">
        <v>0.0785</v>
      </c>
      <c r="I9" s="15">
        <v>0.0475</v>
      </c>
      <c r="J9" s="15">
        <v>0.0508</v>
      </c>
      <c r="K9" s="15">
        <v>0.0265</v>
      </c>
      <c r="L9" s="95">
        <v>0.0331</v>
      </c>
      <c r="O9" s="76">
        <f t="shared" si="1"/>
        <v>5</v>
      </c>
      <c r="P9" s="95">
        <v>0.5297701018276099</v>
      </c>
      <c r="Q9" s="2"/>
      <c r="R9" s="2"/>
    </row>
    <row r="10" spans="1:18" ht="12.75">
      <c r="A10" s="128" t="s">
        <v>21</v>
      </c>
      <c r="B10" s="7">
        <v>0.8</v>
      </c>
      <c r="C10" s="15">
        <f aca="true" t="shared" si="2" ref="C10:L10">+C9*$B$10</f>
        <v>0.046000000000000006</v>
      </c>
      <c r="D10" s="15">
        <f t="shared" si="2"/>
        <v>0.15208</v>
      </c>
      <c r="E10" s="15">
        <f t="shared" si="2"/>
        <v>0.11488000000000001</v>
      </c>
      <c r="F10" s="15">
        <f t="shared" si="2"/>
        <v>0.09904</v>
      </c>
      <c r="G10" s="15">
        <f t="shared" si="2"/>
        <v>0.06008</v>
      </c>
      <c r="H10" s="15">
        <f t="shared" si="2"/>
        <v>0.06280000000000001</v>
      </c>
      <c r="I10" s="15">
        <f t="shared" si="2"/>
        <v>0.038000000000000006</v>
      </c>
      <c r="J10" s="15">
        <f t="shared" si="2"/>
        <v>0.04064</v>
      </c>
      <c r="K10" s="15">
        <f t="shared" si="2"/>
        <v>0.0212</v>
      </c>
      <c r="L10" s="95">
        <f t="shared" si="2"/>
        <v>0.02648</v>
      </c>
      <c r="O10" s="76">
        <f t="shared" si="1"/>
        <v>6</v>
      </c>
      <c r="P10" s="95">
        <v>0.4881831488341425</v>
      </c>
      <c r="Q10" s="2"/>
      <c r="R10" s="2"/>
    </row>
    <row r="11" spans="1:18" ht="12.75">
      <c r="A11" s="128"/>
      <c r="B11" s="7"/>
      <c r="C11" s="7"/>
      <c r="D11" s="7"/>
      <c r="E11" s="7"/>
      <c r="F11" s="7"/>
      <c r="G11" s="7"/>
      <c r="H11" s="7"/>
      <c r="I11" s="7"/>
      <c r="J11" s="7"/>
      <c r="K11" s="7"/>
      <c r="L11" s="77"/>
      <c r="O11" s="76">
        <f t="shared" si="1"/>
        <v>7</v>
      </c>
      <c r="P11" s="95">
        <v>0.4649944492645207</v>
      </c>
      <c r="Q11" s="2"/>
      <c r="R11" s="2"/>
    </row>
    <row r="12" spans="1:18" ht="12.75">
      <c r="A12" s="128" t="s">
        <v>4</v>
      </c>
      <c r="B12" s="7"/>
      <c r="C12" s="16">
        <f>+(1-C8)</f>
        <v>0.9691</v>
      </c>
      <c r="D12" s="15">
        <f aca="true" t="shared" si="3" ref="D12:L12">+C12*(1-D8)</f>
        <v>0.93072364</v>
      </c>
      <c r="E12" s="15">
        <f t="shared" si="3"/>
        <v>0.879719984528</v>
      </c>
      <c r="F12" s="15">
        <f t="shared" si="3"/>
        <v>0.8118935737208913</v>
      </c>
      <c r="G12" s="15">
        <f t="shared" si="3"/>
        <v>0.7397974243744762</v>
      </c>
      <c r="H12" s="15">
        <f t="shared" si="3"/>
        <v>0.6625625732697809</v>
      </c>
      <c r="I12" s="15">
        <f t="shared" si="3"/>
        <v>0.5825250144187913</v>
      </c>
      <c r="J12" s="15">
        <f t="shared" si="3"/>
        <v>0.4960783022790427</v>
      </c>
      <c r="K12" s="15">
        <f t="shared" si="3"/>
        <v>0.4216665569371863</v>
      </c>
      <c r="L12" s="95">
        <f t="shared" si="3"/>
        <v>0.3917703980503398</v>
      </c>
      <c r="O12" s="76">
        <f t="shared" si="1"/>
        <v>8</v>
      </c>
      <c r="P12" s="95">
        <v>0.4413727312418831</v>
      </c>
      <c r="Q12" s="2"/>
      <c r="R12" s="2"/>
    </row>
    <row r="13" spans="1:18" ht="12.75">
      <c r="A13" s="128" t="s">
        <v>5</v>
      </c>
      <c r="B13" s="7"/>
      <c r="C13" s="16">
        <f>+(1-C9)</f>
        <v>0.9425</v>
      </c>
      <c r="D13" s="15">
        <f aca="true" t="shared" si="4" ref="D13:L13">+C13*(1-D9)</f>
        <v>0.7633307500000001</v>
      </c>
      <c r="E13" s="15">
        <f t="shared" si="4"/>
        <v>0.6537164543000001</v>
      </c>
      <c r="F13" s="15">
        <f t="shared" si="4"/>
        <v>0.5727863572576601</v>
      </c>
      <c r="G13" s="15">
        <f t="shared" si="4"/>
        <v>0.5297701018276099</v>
      </c>
      <c r="H13" s="15">
        <f t="shared" si="4"/>
        <v>0.4881831488341425</v>
      </c>
      <c r="I13" s="15">
        <f t="shared" si="4"/>
        <v>0.4649944492645207</v>
      </c>
      <c r="J13" s="15">
        <f t="shared" si="4"/>
        <v>0.4413727312418831</v>
      </c>
      <c r="K13" s="15">
        <f t="shared" si="4"/>
        <v>0.4296763538639732</v>
      </c>
      <c r="L13" s="95">
        <f t="shared" si="4"/>
        <v>0.41545406655107564</v>
      </c>
      <c r="M13" s="1"/>
      <c r="N13" s="1"/>
      <c r="O13" s="76">
        <f t="shared" si="1"/>
        <v>9</v>
      </c>
      <c r="P13" s="95">
        <v>0.4296763538639732</v>
      </c>
      <c r="Q13" s="2"/>
      <c r="R13" s="2"/>
    </row>
    <row r="14" spans="1:18" ht="13.5" thickBot="1">
      <c r="A14" s="128"/>
      <c r="B14" s="7"/>
      <c r="C14" s="16">
        <f>+(1-C10)</f>
        <v>0.954</v>
      </c>
      <c r="D14" s="15">
        <f aca="true" t="shared" si="5" ref="D14:L14">+C14*(1-D10)</f>
        <v>0.80891568</v>
      </c>
      <c r="E14" s="15">
        <f t="shared" si="5"/>
        <v>0.7159874466816001</v>
      </c>
      <c r="F14" s="15">
        <f t="shared" si="5"/>
        <v>0.6450760499622544</v>
      </c>
      <c r="G14" s="15">
        <f t="shared" si="5"/>
        <v>0.6063198808805221</v>
      </c>
      <c r="H14" s="15">
        <f t="shared" si="5"/>
        <v>0.5682429923612253</v>
      </c>
      <c r="I14" s="15">
        <f t="shared" si="5"/>
        <v>0.5466497586514988</v>
      </c>
      <c r="J14" s="15">
        <f t="shared" si="5"/>
        <v>0.5244339124599019</v>
      </c>
      <c r="K14" s="15">
        <f t="shared" si="5"/>
        <v>0.513315913515752</v>
      </c>
      <c r="L14" s="95">
        <f t="shared" si="5"/>
        <v>0.4997233081258549</v>
      </c>
      <c r="O14" s="80">
        <f t="shared" si="1"/>
        <v>10</v>
      </c>
      <c r="P14" s="124">
        <v>0.41545406655107564</v>
      </c>
      <c r="Q14" s="2"/>
      <c r="R14" s="2"/>
    </row>
    <row r="15" spans="1:12" ht="13.5" thickBot="1">
      <c r="A15" s="129"/>
      <c r="B15" s="81"/>
      <c r="C15" s="81"/>
      <c r="D15" s="122"/>
      <c r="E15" s="96"/>
      <c r="F15" s="81"/>
      <c r="G15" s="81"/>
      <c r="H15" s="81"/>
      <c r="I15" s="81"/>
      <c r="J15" s="81"/>
      <c r="K15" s="81"/>
      <c r="L15" s="84"/>
    </row>
    <row r="21" spans="4:11" ht="12.75">
      <c r="D21" s="4"/>
      <c r="E21" s="3"/>
      <c r="F21" s="3"/>
      <c r="G21" s="3"/>
      <c r="H21" s="3"/>
      <c r="I21" s="3"/>
      <c r="J21" s="3"/>
      <c r="K21" s="3"/>
    </row>
    <row r="22" ht="12.75">
      <c r="D22" s="4"/>
    </row>
  </sheetData>
  <mergeCells count="1">
    <mergeCell ref="A3:G3"/>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140625" defaultRowHeight="12.75"/>
  <cols>
    <col min="1" max="1" width="57.421875" style="0" bestFit="1" customWidth="1"/>
    <col min="2" max="2" width="13.57421875" style="0" customWidth="1"/>
    <col min="3" max="5" width="12.7109375" style="0" customWidth="1"/>
    <col min="7" max="9" width="12.7109375" style="0" customWidth="1"/>
  </cols>
  <sheetData>
    <row r="1" ht="12.75">
      <c r="A1" s="123" t="s">
        <v>97</v>
      </c>
    </row>
    <row r="2" spans="1:7" ht="12.75">
      <c r="A2" s="177">
        <f>IF('ERR &amp; Sensitivity Analysis'!$I$10="N","Note: Current calculations are based on user input and are not the original MCC estimates.",IF('ERR &amp; Sensitivity Analysis'!$I$11="N","Note: Current calculations are based on user input and are not the original MCC estimates.",0))</f>
        <v>0</v>
      </c>
      <c r="B2" s="177"/>
      <c r="C2" s="177"/>
      <c r="D2" s="177"/>
      <c r="E2" s="177"/>
      <c r="F2" s="177"/>
      <c r="G2" s="177"/>
    </row>
    <row r="3" spans="1:3" ht="12.75">
      <c r="A3" t="s">
        <v>10</v>
      </c>
      <c r="C3">
        <v>8.5</v>
      </c>
    </row>
    <row r="4" ht="13.5" thickBot="1"/>
    <row r="5" spans="1:9" ht="49.5" customHeight="1">
      <c r="A5" s="127"/>
      <c r="B5" s="93"/>
      <c r="C5" s="125" t="s">
        <v>6</v>
      </c>
      <c r="D5" s="125" t="s">
        <v>7</v>
      </c>
      <c r="E5" s="125" t="s">
        <v>8</v>
      </c>
      <c r="F5" s="93"/>
      <c r="G5" s="125" t="s">
        <v>6</v>
      </c>
      <c r="H5" s="125" t="s">
        <v>7</v>
      </c>
      <c r="I5" s="126" t="s">
        <v>8</v>
      </c>
    </row>
    <row r="6" spans="1:9" ht="12.75">
      <c r="A6" s="128"/>
      <c r="B6" s="7"/>
      <c r="C6" s="7"/>
      <c r="D6" s="7"/>
      <c r="E6" s="7"/>
      <c r="F6" s="7"/>
      <c r="G6" s="7"/>
      <c r="H6" s="7"/>
      <c r="I6" s="77"/>
    </row>
    <row r="7" spans="1:9" ht="12.75">
      <c r="A7" s="128" t="s">
        <v>9</v>
      </c>
      <c r="B7" s="7"/>
      <c r="C7" s="7">
        <v>0.25</v>
      </c>
      <c r="D7" s="7">
        <v>0.25</v>
      </c>
      <c r="E7" s="7">
        <v>0.15</v>
      </c>
      <c r="F7" s="7"/>
      <c r="G7" s="7"/>
      <c r="H7" s="7"/>
      <c r="I7" s="77"/>
    </row>
    <row r="8" spans="1:9" ht="12.75">
      <c r="A8" s="128" t="s">
        <v>14</v>
      </c>
      <c r="B8" s="7"/>
      <c r="C8" s="9">
        <v>250</v>
      </c>
      <c r="D8" s="9">
        <v>250</v>
      </c>
      <c r="E8" s="9">
        <v>120</v>
      </c>
      <c r="F8" s="7"/>
      <c r="G8" s="14">
        <f aca="true" t="shared" si="0" ref="G8:I9">+C8*1000/$C$3</f>
        <v>29411.764705882353</v>
      </c>
      <c r="H8" s="14">
        <f t="shared" si="0"/>
        <v>29411.764705882353</v>
      </c>
      <c r="I8" s="78">
        <f t="shared" si="0"/>
        <v>14117.64705882353</v>
      </c>
    </row>
    <row r="9" spans="1:9" ht="12.75">
      <c r="A9" s="128" t="s">
        <v>15</v>
      </c>
      <c r="B9" s="7"/>
      <c r="C9" s="11">
        <f>89404/C11</f>
        <v>42.57333333333333</v>
      </c>
      <c r="D9" s="11">
        <f>116022/D11</f>
        <v>55.24857142857143</v>
      </c>
      <c r="E9" s="11">
        <f>54100/E11</f>
        <v>49.18181818181818</v>
      </c>
      <c r="F9" s="7"/>
      <c r="G9" s="14">
        <f t="shared" si="0"/>
        <v>5008.627450980392</v>
      </c>
      <c r="H9" s="14">
        <f t="shared" si="0"/>
        <v>6499.831932773109</v>
      </c>
      <c r="I9" s="78">
        <f t="shared" si="0"/>
        <v>5786.096256684491</v>
      </c>
    </row>
    <row r="10" spans="1:9" ht="12.75">
      <c r="A10" s="128" t="s">
        <v>16</v>
      </c>
      <c r="B10" s="7"/>
      <c r="C10" s="11">
        <f>SUM(C8:C9)</f>
        <v>292.5733333333333</v>
      </c>
      <c r="D10" s="11">
        <f>SUM(D8:D9)</f>
        <v>305.24857142857144</v>
      </c>
      <c r="E10" s="11">
        <f>SUM(E8:E9)</f>
        <v>169.1818181818182</v>
      </c>
      <c r="F10" s="7"/>
      <c r="G10" s="14">
        <f>SUM(G8:G9)</f>
        <v>34420.39215686274</v>
      </c>
      <c r="H10" s="14">
        <f>SUM(H8:H9)</f>
        <v>35911.596638655465</v>
      </c>
      <c r="I10" s="78">
        <f>SUM(I8:I9)</f>
        <v>19903.74331550802</v>
      </c>
    </row>
    <row r="11" spans="1:9" ht="12.75">
      <c r="A11" s="128" t="s">
        <v>11</v>
      </c>
      <c r="B11" s="7"/>
      <c r="C11" s="7">
        <v>2100</v>
      </c>
      <c r="D11" s="7">
        <v>2100</v>
      </c>
      <c r="E11" s="7">
        <v>1100</v>
      </c>
      <c r="F11" s="7"/>
      <c r="G11" s="7"/>
      <c r="H11" s="7"/>
      <c r="I11" s="77"/>
    </row>
    <row r="12" spans="1:9" ht="12.75">
      <c r="A12" s="128"/>
      <c r="B12" s="7"/>
      <c r="C12" s="7"/>
      <c r="D12" s="7"/>
      <c r="E12" s="7"/>
      <c r="F12" s="7"/>
      <c r="G12" s="7"/>
      <c r="H12" s="7"/>
      <c r="I12" s="77"/>
    </row>
    <row r="13" spans="1:9" ht="12.75">
      <c r="A13" s="128" t="s">
        <v>13</v>
      </c>
      <c r="B13" s="7"/>
      <c r="C13" s="7">
        <v>2000</v>
      </c>
      <c r="D13" s="7">
        <v>2000</v>
      </c>
      <c r="E13" s="7">
        <v>1500</v>
      </c>
      <c r="F13" s="7"/>
      <c r="G13" s="14">
        <f>+C13*1/$C$3</f>
        <v>235.2941176470588</v>
      </c>
      <c r="H13" s="14">
        <f>+D13*1/$C$3</f>
        <v>235.2941176470588</v>
      </c>
      <c r="I13" s="78">
        <f>+E13*1/$C$3</f>
        <v>176.47058823529412</v>
      </c>
    </row>
    <row r="14" spans="1:9" ht="12.75">
      <c r="A14" s="128" t="s">
        <v>12</v>
      </c>
      <c r="B14" s="7"/>
      <c r="C14" s="7">
        <v>0.35</v>
      </c>
      <c r="D14" s="7">
        <v>0.35</v>
      </c>
      <c r="E14" s="7">
        <v>0.5</v>
      </c>
      <c r="F14" s="7"/>
      <c r="G14" s="7"/>
      <c r="H14" s="7"/>
      <c r="I14" s="77"/>
    </row>
    <row r="15" spans="1:9" ht="12.75">
      <c r="A15" s="128" t="s">
        <v>17</v>
      </c>
      <c r="B15" s="7"/>
      <c r="C15" s="7">
        <v>700</v>
      </c>
      <c r="D15" s="7">
        <v>700</v>
      </c>
      <c r="E15" s="7">
        <v>240</v>
      </c>
      <c r="F15" s="7"/>
      <c r="G15" s="14">
        <f aca="true" t="shared" si="1" ref="G15:I16">+C15*100/$C$3</f>
        <v>8235.29411764706</v>
      </c>
      <c r="H15" s="14">
        <f t="shared" si="1"/>
        <v>8235.29411764706</v>
      </c>
      <c r="I15" s="78">
        <f t="shared" si="1"/>
        <v>2823.529411764706</v>
      </c>
    </row>
    <row r="16" spans="1:9" ht="12.75">
      <c r="A16" s="128" t="s">
        <v>19</v>
      </c>
      <c r="B16" s="7">
        <v>0.4</v>
      </c>
      <c r="C16" s="7">
        <f>+C15*$B16</f>
        <v>280</v>
      </c>
      <c r="D16" s="7">
        <f>+D15*$B16</f>
        <v>280</v>
      </c>
      <c r="E16" s="7">
        <f>+E15*$B16</f>
        <v>96</v>
      </c>
      <c r="F16" s="7"/>
      <c r="G16" s="14">
        <f t="shared" si="1"/>
        <v>3294.1176470588234</v>
      </c>
      <c r="H16" s="14">
        <f t="shared" si="1"/>
        <v>3294.1176470588234</v>
      </c>
      <c r="I16" s="78">
        <f t="shared" si="1"/>
        <v>1129.4117647058824</v>
      </c>
    </row>
    <row r="17" spans="1:9" ht="12.75">
      <c r="A17" s="128" t="s">
        <v>18</v>
      </c>
      <c r="B17" s="7">
        <v>0.1</v>
      </c>
      <c r="C17" s="7"/>
      <c r="D17" s="7"/>
      <c r="E17" s="7"/>
      <c r="F17" s="7"/>
      <c r="G17" s="7"/>
      <c r="H17" s="7"/>
      <c r="I17" s="77"/>
    </row>
    <row r="18" spans="1:9" ht="12.75">
      <c r="A18" s="128" t="s">
        <v>20</v>
      </c>
      <c r="B18" s="7"/>
      <c r="C18" s="7">
        <f>+C16*$B17</f>
        <v>28</v>
      </c>
      <c r="D18" s="7">
        <f>+D16*$B17</f>
        <v>28</v>
      </c>
      <c r="E18" s="7">
        <f>+E16*$B17</f>
        <v>9.600000000000001</v>
      </c>
      <c r="F18" s="7"/>
      <c r="G18" s="14">
        <f>+C18*100/$C$3</f>
        <v>329.4117647058824</v>
      </c>
      <c r="H18" s="14">
        <f>+D18*100/$C$3</f>
        <v>329.4117647058824</v>
      </c>
      <c r="I18" s="78">
        <f>+E18*100/$C$3</f>
        <v>112.94117647058825</v>
      </c>
    </row>
    <row r="19" spans="1:9" ht="12.75">
      <c r="A19" s="128"/>
      <c r="B19" s="7"/>
      <c r="C19" s="7"/>
      <c r="D19" s="7"/>
      <c r="E19" s="7"/>
      <c r="F19" s="7"/>
      <c r="G19" s="7"/>
      <c r="H19" s="7"/>
      <c r="I19" s="77"/>
    </row>
    <row r="20" spans="1:9" ht="13.5" thickBot="1">
      <c r="A20" s="129"/>
      <c r="B20" s="81"/>
      <c r="C20" s="81"/>
      <c r="D20" s="81"/>
      <c r="E20" s="81"/>
      <c r="F20" s="81"/>
      <c r="G20" s="122">
        <f>+C11*G18</f>
        <v>691764.705882353</v>
      </c>
      <c r="H20" s="81"/>
      <c r="I20" s="84"/>
    </row>
  </sheetData>
  <mergeCells count="1">
    <mergeCell ref="A2:G2"/>
  </mergeCells>
  <conditionalFormatting sqref="A2">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140625" defaultRowHeight="12.75"/>
  <cols>
    <col min="1" max="1" width="18.28125" style="0" customWidth="1"/>
  </cols>
  <sheetData>
    <row r="1" ht="12.75">
      <c r="A1" s="123" t="s">
        <v>98</v>
      </c>
    </row>
    <row r="2" ht="13.5" thickBot="1"/>
    <row r="3" spans="1:4" ht="12.75">
      <c r="A3" s="70" t="s">
        <v>42</v>
      </c>
      <c r="B3" s="71">
        <v>0.95</v>
      </c>
      <c r="C3" s="71"/>
      <c r="D3" s="85">
        <v>0.9</v>
      </c>
    </row>
    <row r="4" spans="1:4" ht="12.75">
      <c r="A4" s="76" t="s">
        <v>43</v>
      </c>
      <c r="B4" s="7">
        <v>200</v>
      </c>
      <c r="C4" s="7"/>
      <c r="D4" s="77">
        <v>150</v>
      </c>
    </row>
    <row r="5" spans="1:4" ht="12.75">
      <c r="A5" s="76" t="s">
        <v>44</v>
      </c>
      <c r="B5" s="7">
        <f>+B3*(1-B3)/B4</f>
        <v>0.00023750000000000022</v>
      </c>
      <c r="C5" s="7"/>
      <c r="D5" s="77">
        <f>+D3*(1-D3)/D4</f>
        <v>0.0005999999999999998</v>
      </c>
    </row>
    <row r="6" spans="1:4" ht="12.75">
      <c r="A6" s="76" t="s">
        <v>45</v>
      </c>
      <c r="B6" s="7">
        <f>+B5^0.5</f>
        <v>0.015411035007422448</v>
      </c>
      <c r="C6" s="7"/>
      <c r="D6" s="77">
        <f>+D5^0.5</f>
        <v>0.02449489742783178</v>
      </c>
    </row>
    <row r="7" spans="1:4" ht="12.75">
      <c r="A7" s="76"/>
      <c r="B7" s="7"/>
      <c r="C7" s="7"/>
      <c r="D7" s="77"/>
    </row>
    <row r="8" spans="1:4" ht="12.75">
      <c r="A8" s="130" t="s">
        <v>46</v>
      </c>
      <c r="B8" s="7">
        <f>+B3+1.96*B6</f>
        <v>0.980205628614548</v>
      </c>
      <c r="C8" s="7"/>
      <c r="D8" s="77">
        <f>+D3+1.96*D6</f>
        <v>0.9480099989585503</v>
      </c>
    </row>
    <row r="9" spans="1:4" ht="12.75">
      <c r="A9" s="130" t="s">
        <v>47</v>
      </c>
      <c r="B9" s="7">
        <f>+B3-1.96*B6</f>
        <v>0.919794371385452</v>
      </c>
      <c r="C9" s="7"/>
      <c r="D9" s="77">
        <f>+D3-1.96*D6</f>
        <v>0.8519900010414497</v>
      </c>
    </row>
    <row r="10" spans="1:4" ht="12.75">
      <c r="A10" s="76"/>
      <c r="B10" s="7"/>
      <c r="C10" s="7"/>
      <c r="D10" s="77"/>
    </row>
    <row r="11" spans="1:4" ht="13.5" thickBot="1">
      <c r="A11" s="80"/>
      <c r="B11" s="81">
        <f>+B8-B9</f>
        <v>0.060411257229096016</v>
      </c>
      <c r="C11" s="81"/>
      <c r="D11" s="84">
        <f>+D8-D9</f>
        <v>0.09601999791710059</v>
      </c>
    </row>
    <row r="13" spans="1:7" ht="12.75">
      <c r="A13" s="177">
        <f>IF('ERR &amp; Sensitivity Analysis'!$I$10="N","Note: Current calculations are based on user input and are not the original MCC estimates.",IF('ERR &amp; Sensitivity Analysis'!$I$11="N","Note: Current calculations are based on user input and are not the original MCC estimates.",0))</f>
        <v>0</v>
      </c>
      <c r="B13" s="177"/>
      <c r="C13" s="177"/>
      <c r="D13" s="177"/>
      <c r="E13" s="177"/>
      <c r="F13" s="177"/>
      <c r="G13" s="177"/>
    </row>
  </sheetData>
  <mergeCells count="1">
    <mergeCell ref="A13:G13"/>
  </mergeCells>
  <conditionalFormatting sqref="A13">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Warner</dc:creator>
  <cp:keywords/>
  <dc:description>Created on 08/24/07 by renaming "enterprise support ERR.WARNER.xls"</dc:description>
  <cp:lastModifiedBy>benyishaya</cp:lastModifiedBy>
  <dcterms:created xsi:type="dcterms:W3CDTF">2007-06-13T18:31:15Z</dcterms:created>
  <dcterms:modified xsi:type="dcterms:W3CDTF">2008-10-14T18:36:28Z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