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735" windowWidth="14490" windowHeight="8475" activeTab="0"/>
  </bookViews>
  <sheets>
    <sheet name="A" sheetId="1" r:id="rId1"/>
    <sheet name="LinearReg" sheetId="2" r:id="rId2"/>
  </sheets>
  <definedNames>
    <definedName name="aa">'A'!$H$1</definedName>
    <definedName name="_xlnm.Print_Area" localSheetId="0">'A'!$F$50:$L$60</definedName>
    <definedName name="_xlnm.Print_Area" localSheetId="1">'LinearReg'!$A$1:$H$38</definedName>
    <definedName name="Qea">'A'!$E$14</definedName>
    <definedName name="Retrofit">'A'!$E$7</definedName>
  </definedNames>
  <calcPr fullCalcOnLoad="1"/>
</workbook>
</file>

<file path=xl/sharedStrings.xml><?xml version="1.0" encoding="utf-8"?>
<sst xmlns="http://schemas.openxmlformats.org/spreadsheetml/2006/main" count="437" uniqueCount="242">
  <si>
    <t>TOTAL ANNUAL COST SPREADSHEET PROGRAM--FABRIC FILTERS [1]</t>
  </si>
  <si>
    <t xml:space="preserve">                          INPUT PARAMETERS:</t>
  </si>
  <si>
    <t>-- Inlet stream flowrate (acfm):</t>
  </si>
  <si>
    <t>-- Inlet stream temperature (oF):</t>
  </si>
  <si>
    <t>-- Inlet stream temperature, adjusted--pulse jet only (oF):</t>
  </si>
  <si>
    <t>-- Dust type:</t>
  </si>
  <si>
    <t>Coal fly ash</t>
  </si>
  <si>
    <t>-- Inlet dust loading (gr/ft3):</t>
  </si>
  <si>
    <t>-- Dust mass median diameter (microns):</t>
  </si>
  <si>
    <t>-- Filtration time (min):</t>
  </si>
  <si>
    <t>-- Dust specific resistance (in.H2O/fpm/lb/ft2):</t>
  </si>
  <si>
    <t>-- G/C ratio factors (shaker &amp; reverse-air):</t>
  </si>
  <si>
    <t>A:</t>
  </si>
  <si>
    <t>B:</t>
  </si>
  <si>
    <t>C:</t>
  </si>
  <si>
    <t>-- G/C ratio factors (pulse-jet):</t>
  </si>
  <si>
    <t xml:space="preserve">   Material:</t>
  </si>
  <si>
    <t>Application:</t>
  </si>
  <si>
    <t>-- G/C ratio factors (cartridge filters):</t>
  </si>
  <si>
    <t>D:</t>
  </si>
  <si>
    <t>E:</t>
  </si>
  <si>
    <t>-- Cleaning pressure, psig (pulse-jet only):</t>
  </si>
  <si>
    <t>-- Fraction of bags cleaned (shaker &amp; rev-air):</t>
  </si>
  <si>
    <t>-- Insulation required? ('yes'=1;'no'=0):</t>
  </si>
  <si>
    <t>-- Stainless steel required? ('yes'=1;'no'=0):</t>
  </si>
  <si>
    <t>-- Bag material:</t>
  </si>
  <si>
    <t>-- Fabric effective residual drag (in. H2O/fpm):</t>
  </si>
  <si>
    <t>-- Bag prices ($/ft2): (from table below, for bag material selected above only) [4]</t>
  </si>
  <si>
    <t>Cleaning Mech.</t>
  </si>
  <si>
    <t>Bag Diam. (in.)</t>
  </si>
  <si>
    <t>Price ($/ft2)</t>
  </si>
  <si>
    <t>------------------------------------------------------------------------------------------------------------------------</t>
  </si>
  <si>
    <t>Pulse jet--BBR</t>
  </si>
  <si>
    <t>4.5  to  5.125</t>
  </si>
  <si>
    <t>6 to 8</t>
  </si>
  <si>
    <t>Pulse jet--cart.</t>
  </si>
  <si>
    <t>4.875</t>
  </si>
  <si>
    <t>6.125</t>
  </si>
  <si>
    <t>Shaker--strap</t>
  </si>
  <si>
    <t>5</t>
  </si>
  <si>
    <t>Shaker--loop</t>
  </si>
  <si>
    <t>Reverse air w/o rings</t>
  </si>
  <si>
    <t>8</t>
  </si>
  <si>
    <t>11.5</t>
  </si>
  <si>
    <t>-- Cost of auxiliary equipment (ductwork, fan, stack, etc.), ($):</t>
  </si>
  <si>
    <t>DESIGN PARAMETERS</t>
  </si>
  <si>
    <t>-- Gas-to-cloth ratio (acfm/ft2 cloth area):</t>
  </si>
  <si>
    <t>Shaker:</t>
  </si>
  <si>
    <t>Reverse-air:</t>
  </si>
  <si>
    <t>Pulse-jet:</t>
  </si>
  <si>
    <t>Cartridge:</t>
  </si>
  <si>
    <t>-- Net cloth area required (ft2):</t>
  </si>
  <si>
    <t>-- Gross cloth area required (ft2):</t>
  </si>
  <si>
    <t>-- Area per bag--reverse-air (ft2) (8-in. x 24-ft):</t>
  </si>
  <si>
    <t>-- Number of bags--reverse air:</t>
  </si>
  <si>
    <t>-- Area per bag--shaker (ft2) (5-in x 8-ft):</t>
  </si>
  <si>
    <t>-- Number of bags--shaker</t>
  </si>
  <si>
    <t>-- Area per bag--pulse jet (ft2):</t>
  </si>
  <si>
    <t>Small (4.5-in. x 8-ft)</t>
  </si>
  <si>
    <t>Large (5.125-in. x 10-ft)</t>
  </si>
  <si>
    <t>-- Number of bags/cages (pulse-jet only):</t>
  </si>
  <si>
    <t>Small bags</t>
  </si>
  <si>
    <t>Large bags</t>
  </si>
  <si>
    <t>-- Area per bag--cartridge (ft2):</t>
  </si>
  <si>
    <t>-- Number of bags--cartridge:</t>
  </si>
  <si>
    <t>-- Bag pressure drop (in. w.c.):</t>
  </si>
  <si>
    <t>-- Baghouse shell pressure drop (in. w.c.):</t>
  </si>
  <si>
    <t>CAPITAL COSTS</t>
  </si>
  <si>
    <t>Equipment Costs ($):</t>
  </si>
  <si>
    <t>Item:</t>
  </si>
  <si>
    <t xml:space="preserve">                         Cost ($):</t>
  </si>
  <si>
    <t xml:space="preserve">      Shaker</t>
  </si>
  <si>
    <t xml:space="preserve">     Rev-air</t>
  </si>
  <si>
    <t xml:space="preserve">   P-J (mod)</t>
  </si>
  <si>
    <t xml:space="preserve">    P-J (com)</t>
  </si>
  <si>
    <t>P-J (cartridge)</t>
  </si>
  <si>
    <t>------------------------------------------------------------------------------------------------------------------------------------------------</t>
  </si>
  <si>
    <t>Baghouse</t>
  </si>
  <si>
    <t>Bags--small</t>
  </si>
  <si>
    <t xml:space="preserve">    "     --large</t>
  </si>
  <si>
    <t>Insulation</t>
  </si>
  <si>
    <t>Stainless</t>
  </si>
  <si>
    <t>Cages-small [5]</t>
  </si>
  <si>
    <t xml:space="preserve">       "     -large</t>
  </si>
  <si>
    <t>Auxiliaries</t>
  </si>
  <si>
    <t>Total--small[5a]</t>
  </si>
  <si>
    <t xml:space="preserve">      "   --large:</t>
  </si>
  <si>
    <t>PEC($)-base:</t>
  </si>
  <si>
    <t xml:space="preserve"> '  ' -esc.:</t>
  </si>
  <si>
    <t>TCI ($):</t>
  </si>
  <si>
    <t xml:space="preserve">    ($/acfm):</t>
  </si>
  <si>
    <t>==================================================================================</t>
  </si>
  <si>
    <t>ANNUAL COST INPUTS:</t>
  </si>
  <si>
    <t>Operating factor (hr/yr):</t>
  </si>
  <si>
    <t>Operating labor rate ($/hr):</t>
  </si>
  <si>
    <t>Maintenance labor rate ($/hr):</t>
  </si>
  <si>
    <t>Operating labor factor (hr/sh):</t>
  </si>
  <si>
    <t>Maintenance labor factor (hr/sh):</t>
  </si>
  <si>
    <t>Electricity price ($/kWhr):</t>
  </si>
  <si>
    <t>Compressed air ($/1000 scf):</t>
  </si>
  <si>
    <t>Dust disposal ($/ton):</t>
  </si>
  <si>
    <t>Annual interest rate (fraction):</t>
  </si>
  <si>
    <t>Control system life (years):</t>
  </si>
  <si>
    <t>Capital recovery factor:</t>
  </si>
  <si>
    <t>Bag life (years):</t>
  </si>
  <si>
    <t>Capital recovery factor (bags):</t>
  </si>
  <si>
    <t>Taxes, insurance, admin. factor:</t>
  </si>
  <si>
    <t xml:space="preserve">      ANNUAL COSTS ($/yr):</t>
  </si>
  <si>
    <t xml:space="preserve">      Item</t>
  </si>
  <si>
    <t xml:space="preserve">    Shaker</t>
  </si>
  <si>
    <t xml:space="preserve"> Reverse-air</t>
  </si>
  <si>
    <t xml:space="preserve">   P-J (modular)</t>
  </si>
  <si>
    <t xml:space="preserve">   P-J (common)</t>
  </si>
  <si>
    <t>Oper. labor</t>
  </si>
  <si>
    <t>Supv. labor</t>
  </si>
  <si>
    <t>Maint. labor</t>
  </si>
  <si>
    <t>Maint. matl.</t>
  </si>
  <si>
    <t>Electricity</t>
  </si>
  <si>
    <t>Compr. air</t>
  </si>
  <si>
    <t>Bag repl.</t>
  </si>
  <si>
    <t>Dust dispos.</t>
  </si>
  <si>
    <t>Overhead</t>
  </si>
  <si>
    <t>Tax,ins.,adm</t>
  </si>
  <si>
    <t>Cap. recov.</t>
  </si>
  <si>
    <t>------------------------------------------------</t>
  </si>
  <si>
    <t>Total Annual</t>
  </si>
  <si>
    <t>($/ton):[6]</t>
  </si>
  <si>
    <t>ANNUAL COST WEIGHTING FACTORS:</t>
  </si>
  <si>
    <t xml:space="preserve">   P-J (com)</t>
  </si>
  <si>
    <t>S/T labor:</t>
  </si>
  <si>
    <t>S/T capital:</t>
  </si>
  <si>
    <t>-------------------------------------------------------------------------------------------------</t>
  </si>
  <si>
    <t>Total:</t>
  </si>
  <si>
    <t>RELATIONSHIP BETWEEN GROSS AND NET CLOTH AREA</t>
  </si>
  <si>
    <t>Net Cloth Area &gt;/= (ft2):</t>
  </si>
  <si>
    <t>Gross/Net Area Ratio:</t>
  </si>
  <si>
    <t>[1] Parameters and other input data needed for this program can be found</t>
  </si>
  <si>
    <t>in Chapter 5 (December 1998 revision) of the 'OAQPS Control Cost Manual'(5th edition).</t>
  </si>
  <si>
    <t>Chapter 5 is found at:  HTTP://WWW.EPA.GOV/TTN/CATC/PRODUCTS.HTML#CCCINFO.</t>
  </si>
  <si>
    <t>[2] Base equipment costs reflect this date.</t>
  </si>
  <si>
    <t>[3] VAPCCI = Vatavuk Air Pollution Control Cost Index (for fabric</t>
  </si>
  <si>
    <t>filters) corresponding to year and quarter shown.  Base equipment cost,</t>
  </si>
  <si>
    <t>purchased equipment cost, and total capital investment have been</t>
  </si>
  <si>
    <t>escalated to this date via the VAPCCI.</t>
  </si>
  <si>
    <t>[4] These prices pertain to the bag material entered above.  If this</t>
  </si>
  <si>
    <t xml:space="preserve">bag material is not available for a baghouse type, enter '0'.  </t>
  </si>
  <si>
    <t>(See 'Manual,' Chapter 5, Table 5.8.)</t>
  </si>
  <si>
    <t>[5] Cage prices calculated from "500-cage lots" cost equations. (See Table 5.8.)</t>
  </si>
  <si>
    <t xml:space="preserve">[5a] Total equipment cost for "small" and "large" bags and cages cases, respectively.  </t>
  </si>
  <si>
    <t>[6] Total annual cost ($/yr) divided by total particulate captured</t>
  </si>
  <si>
    <t>(tons/yr).  If PM10, PM2.5, or other fractions are desired, divide by ratio</t>
  </si>
  <si>
    <t>of PM10, PM2.5, etc., to total PM.</t>
  </si>
  <si>
    <t>BAG PRICES (2nd quarter 1998 $/ft2) FOR SELECTED MATERIALS</t>
  </si>
  <si>
    <t>[excerpted from Table 5.8, Chapter 5]</t>
  </si>
  <si>
    <t>**********************************************************************************************************************************************************</t>
  </si>
  <si>
    <t>*********************************************************************</t>
  </si>
  <si>
    <t>*******************</t>
  </si>
  <si>
    <t xml:space="preserve">  Bag Diam. (in.)</t>
  </si>
  <si>
    <t>Polyethylene</t>
  </si>
  <si>
    <t>Polypropylene</t>
  </si>
  <si>
    <t>Nomex</t>
  </si>
  <si>
    <t>Homo-acrylic</t>
  </si>
  <si>
    <t>Fiberglas</t>
  </si>
  <si>
    <t>Cotton</t>
  </si>
  <si>
    <t>Teflon</t>
  </si>
  <si>
    <t>P84</t>
  </si>
  <si>
    <t>Ryton</t>
  </si>
  <si>
    <t>Nextel</t>
  </si>
  <si>
    <t>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</si>
  <si>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</t>
  </si>
  <si>
    <t>Pulse jet--TR</t>
  </si>
  <si>
    <t>4.5 to 5.125</t>
  </si>
  <si>
    <t>NA</t>
  </si>
  <si>
    <t>Pulse jet-BBR</t>
  </si>
  <si>
    <t>Pulse jet-cart.</t>
  </si>
  <si>
    <t>Shaker-strap</t>
  </si>
  <si>
    <t>Shaker-loop</t>
  </si>
  <si>
    <t>Rev. air w/rings</t>
  </si>
  <si>
    <t>Rev. air w/o "</t>
  </si>
  <si>
    <t xml:space="preserve">    Aux. equip. - fan diameter</t>
  </si>
  <si>
    <t>inches</t>
  </si>
  <si>
    <t xml:space="preserve">  - motor</t>
  </si>
  <si>
    <t>hp</t>
  </si>
  <si>
    <t xml:space="preserve">  - ductwork</t>
  </si>
  <si>
    <t>feet</t>
  </si>
  <si>
    <t xml:space="preserve">  - damper</t>
  </si>
  <si>
    <t>AOC</t>
  </si>
  <si>
    <t>TAC</t>
  </si>
  <si>
    <t>TCI</t>
  </si>
  <si>
    <t>($1000)</t>
  </si>
  <si>
    <t>($1000/yr)</t>
  </si>
  <si>
    <t>RetrofitF</t>
  </si>
  <si>
    <t xml:space="preserve">Vent Flow </t>
  </si>
  <si>
    <t>Rate (acfm)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</si>
  <si>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</si>
  <si>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</si>
  <si>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</si>
  <si>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</si>
  <si>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</si>
  <si>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</si>
  <si>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</si>
  <si>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</si>
  <si>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</si>
  <si>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</si>
  <si>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</si>
  <si>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</si>
  <si>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</si>
  <si>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</si>
  <si>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</si>
  <si>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</si>
  <si>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</si>
  <si>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</si>
  <si>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</si>
  <si>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</si>
  <si>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</si>
  <si>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</si>
  <si>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</si>
  <si>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</si>
  <si>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</si>
  <si>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Summary of Control Costs for New Fabric Filters</t>
  </si>
  <si>
    <t>ln</t>
  </si>
  <si>
    <t xml:space="preserve">  - stack</t>
  </si>
  <si>
    <t>-- Ductwork pressure drop (in. w.c.):</t>
  </si>
  <si>
    <t>Energy Use</t>
  </si>
  <si>
    <t>(MW-hr/yr)</t>
  </si>
  <si>
    <t>10K to 40K</t>
  </si>
  <si>
    <t>50K and up</t>
  </si>
  <si>
    <t>Polyester</t>
  </si>
  <si>
    <t>Impacts w/  OpHrs = 2500</t>
  </si>
  <si>
    <t>VAPCCI 2005 = VAPCCI 4th Q 1998 * (CEPCI 2005/CEPCI 1998): [3]</t>
  </si>
  <si>
    <t>COST BASE DATE:   2005</t>
  </si>
  <si>
    <t>(acfm)</t>
  </si>
  <si>
    <t>OpHrs</t>
  </si>
  <si>
    <t>(hrs/yr)</t>
  </si>
  <si>
    <t>EIF Melt</t>
  </si>
  <si>
    <t>Rate (tpy)</t>
  </si>
  <si>
    <t>Escalated AOC ($/yr)</t>
  </si>
  <si>
    <t>tph</t>
  </si>
  <si>
    <t>EIF Flow</t>
  </si>
  <si>
    <t>Prodn (Mtpy)</t>
  </si>
  <si>
    <t>Prod'n</t>
  </si>
  <si>
    <t>Baghouse Costs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</si>
</sst>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_)"/>
    <numFmt numFmtId="168" formatCode="0.0000_)"/>
    <numFmt numFmtId="169" formatCode="_(* #,##0.0_);_(* \(#,##0.0\);_(* &quot;-&quot;??_);_(@_)"/>
    <numFmt numFmtId="170" formatCode="_(* #,##0_);_(* \(#,##0\);_(* &quot;-&quot;??_);_(@_)"/>
    <numFmt numFmtId="171" formatCode="0.0000000"/>
    <numFmt numFmtId="172" formatCode="0.000000"/>
    <numFmt numFmtId="173" formatCode="0.00000"/>
    <numFmt numFmtId="174" formatCode="&quot;$&quot;#,##0.0_);\(&quot;$&quot;#,##0.0\)"/>
    <numFmt numFmtId="175" formatCode="0.00000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&quot;$&quot;* #,##0.0_);_(&quot;$&quot;* \(#,##0.0\);_(&quot;$&quot;* &quot;-&quot;??_);_(@_)"/>
    <numFmt numFmtId="182" formatCode="0.000"/>
    <numFmt numFmtId="183" formatCode="0.0"/>
    <numFmt numFmtId="184" formatCode="_(* #,##0.0000_);_(* \(#,##0.0000\);_(* &quot;-&quot;????_);_(@_)"/>
  </numFmts>
  <fonts count="12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Helv"/>
      <family val="0"/>
    </font>
    <font>
      <i/>
      <sz val="10"/>
      <name val="Courier"/>
      <family val="0"/>
    </font>
    <font>
      <sz val="10"/>
      <name val="Courier"/>
      <family val="3"/>
    </font>
    <font>
      <b/>
      <sz val="10"/>
      <name val="Helvetica"/>
      <family val="2"/>
    </font>
    <font>
      <b/>
      <sz val="10"/>
      <name val="Arial"/>
      <family val="2"/>
    </font>
    <font>
      <vertAlign val="superscript"/>
      <sz val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166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0" fillId="0" borderId="1" xfId="0" applyNumberFormat="1" applyBorder="1" applyAlignment="1">
      <alignment/>
    </xf>
    <xf numFmtId="5" fontId="0" fillId="0" borderId="0" xfId="0" applyNumberFormat="1" applyAlignment="1" applyProtection="1">
      <alignment/>
      <protection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5" fontId="0" fillId="0" borderId="4" xfId="0" applyNumberFormat="1" applyBorder="1" applyAlignment="1" applyProtection="1">
      <alignment/>
      <protection/>
    </xf>
    <xf numFmtId="5" fontId="0" fillId="0" borderId="0" xfId="0" applyNumberFormat="1" applyAlignment="1">
      <alignment/>
    </xf>
    <xf numFmtId="6" fontId="0" fillId="0" borderId="4" xfId="0" applyNumberFormat="1" applyBorder="1" applyAlignment="1" quotePrefix="1">
      <alignment horizontal="center"/>
    </xf>
    <xf numFmtId="170" fontId="0" fillId="0" borderId="0" xfId="15" applyNumberFormat="1" applyAlignment="1">
      <alignment/>
    </xf>
    <xf numFmtId="0" fontId="3" fillId="0" borderId="0" xfId="0" applyFont="1" applyAlignment="1">
      <alignment horizontal="centerContinuous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Continuous"/>
    </xf>
    <xf numFmtId="0" fontId="0" fillId="0" borderId="0" xfId="0" applyAlignment="1" quotePrefix="1">
      <alignment horizontal="right"/>
    </xf>
    <xf numFmtId="170" fontId="0" fillId="0" borderId="0" xfId="15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169" fontId="0" fillId="0" borderId="0" xfId="15" applyNumberFormat="1" applyAlignment="1">
      <alignment/>
    </xf>
    <xf numFmtId="181" fontId="0" fillId="0" borderId="0" xfId="17" applyNumberFormat="1" applyAlignment="1">
      <alignment/>
    </xf>
    <xf numFmtId="181" fontId="0" fillId="0" borderId="0" xfId="17" applyNumberFormat="1" applyAlignment="1">
      <alignment/>
    </xf>
    <xf numFmtId="43" fontId="0" fillId="0" borderId="0" xfId="15" applyNumberFormat="1" applyAlignment="1">
      <alignment/>
    </xf>
    <xf numFmtId="170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FF Capital Costs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075"/>
          <c:w val="0.92275"/>
          <c:h val="0.8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LinearReg!$F$3</c:f>
              <c:strCache>
                <c:ptCount val="1"/>
                <c:pt idx="0">
                  <c:v>TCI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LinearReg!$D$4:$D$43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LinearReg!$F$4:$F$43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52942134"/>
        <c:axId val="6717159"/>
      </c:scatterChart>
      <c:valAx>
        <c:axId val="5294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Flow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17159"/>
        <c:crosses val="autoZero"/>
        <c:crossBetween val="midCat"/>
        <c:dispUnits/>
      </c:valAx>
      <c:valAx>
        <c:axId val="67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TCI ($1,000)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42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4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AOC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15"/>
          <c:w val="0.915"/>
          <c:h val="0.829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LinearReg!$G$3</c:f>
              <c:strCache>
                <c:ptCount val="1"/>
                <c:pt idx="0">
                  <c:v>AOC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LinearReg!$E$4:$E$38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LinearReg!$G$4:$G$38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60454432"/>
        <c:axId val="7218977"/>
      </c:scatterChart>
      <c:valAx>
        <c:axId val="60454432"/>
        <c:scaling>
          <c:orientation val="minMax"/>
        </c:scaling>
        <c:axPos val="b"/>
        <c:delete val="0"/>
        <c:numFmt formatCode="_(* #,##0_);_(* \(#,##0\);_(* &quot;-&quot;_);_(@_)" sourceLinked="0"/>
        <c:majorTickMark val="out"/>
        <c:minorTickMark val="none"/>
        <c:tickLblPos val="nextTo"/>
        <c:crossAx val="7218977"/>
        <c:crosses val="autoZero"/>
        <c:crossBetween val="midCat"/>
        <c:dispUnits/>
      </c:valAx>
      <c:valAx>
        <c:axId val="7218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54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"/>
          <c:y val="0.5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2</xdr:row>
      <xdr:rowOff>0</xdr:rowOff>
    </xdr:from>
    <xdr:to>
      <xdr:col>17</xdr:col>
      <xdr:colOff>409575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7286625" y="314325"/>
        <a:ext cx="5229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657225</xdr:colOff>
      <xdr:row>21</xdr:row>
      <xdr:rowOff>66675</xdr:rowOff>
    </xdr:from>
    <xdr:to>
      <xdr:col>16</xdr:col>
      <xdr:colOff>628650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7277100" y="3276600"/>
        <a:ext cx="47720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L246"/>
  <sheetViews>
    <sheetView showGridLines="0" tabSelected="1" workbookViewId="0" topLeftCell="A1">
      <selection activeCell="A1" sqref="A1"/>
    </sheetView>
  </sheetViews>
  <sheetFormatPr defaultColWidth="12.625" defaultRowHeight="12.75"/>
  <cols>
    <col min="1" max="1" width="61.375" style="0" customWidth="1"/>
    <col min="2" max="2" width="12.25390625" style="0" customWidth="1"/>
    <col min="6" max="6" width="8.625" style="0" customWidth="1"/>
    <col min="7" max="8" width="10.25390625" style="0" customWidth="1"/>
    <col min="9" max="9" width="11.375" style="0" customWidth="1"/>
    <col min="10" max="18" width="10.625" style="0" customWidth="1"/>
  </cols>
  <sheetData>
    <row r="1" spans="8:29" ht="12.75">
      <c r="H1" s="29" t="s">
        <v>219</v>
      </c>
      <c r="I1" s="29"/>
      <c r="J1" s="29"/>
      <c r="K1" s="29"/>
      <c r="M1" s="43"/>
      <c r="X1" s="17" t="s">
        <v>220</v>
      </c>
      <c r="Y1" s="17" t="s">
        <v>220</v>
      </c>
      <c r="Z1" s="17" t="s">
        <v>220</v>
      </c>
      <c r="AA1" s="17" t="s">
        <v>220</v>
      </c>
      <c r="AC1" t="s">
        <v>194</v>
      </c>
    </row>
    <row r="2" spans="7:28" ht="12.75" thickBot="1">
      <c r="G2" s="17" t="s">
        <v>234</v>
      </c>
      <c r="H2" s="17" t="s">
        <v>232</v>
      </c>
      <c r="I2" s="17" t="s">
        <v>192</v>
      </c>
      <c r="J2" s="17" t="s">
        <v>188</v>
      </c>
      <c r="K2" s="17" t="s">
        <v>186</v>
      </c>
      <c r="L2" s="17" t="s">
        <v>187</v>
      </c>
      <c r="M2" s="17" t="s">
        <v>223</v>
      </c>
      <c r="O2" s="17"/>
      <c r="P2" s="17"/>
      <c r="Y2" s="17" t="s">
        <v>192</v>
      </c>
      <c r="Z2" s="17" t="s">
        <v>188</v>
      </c>
      <c r="AA2" s="17" t="s">
        <v>186</v>
      </c>
      <c r="AB2" s="17" t="s">
        <v>187</v>
      </c>
    </row>
    <row r="3" spans="7:31" ht="12">
      <c r="G3" s="17" t="s">
        <v>235</v>
      </c>
      <c r="H3" s="17" t="s">
        <v>233</v>
      </c>
      <c r="I3" s="17" t="s">
        <v>231</v>
      </c>
      <c r="J3" s="30">
        <v>-1000</v>
      </c>
      <c r="K3" s="30">
        <v>-1000</v>
      </c>
      <c r="L3" s="30">
        <v>-1000</v>
      </c>
      <c r="M3" s="17" t="s">
        <v>224</v>
      </c>
      <c r="O3" s="30"/>
      <c r="P3" s="17"/>
      <c r="Y3" s="17" t="s">
        <v>193</v>
      </c>
      <c r="Z3" s="30">
        <v>-1000</v>
      </c>
      <c r="AA3" s="30">
        <v>-1000</v>
      </c>
      <c r="AB3" s="30">
        <v>-1000</v>
      </c>
      <c r="AD3" s="35" t="s">
        <v>195</v>
      </c>
      <c r="AE3" s="35"/>
    </row>
    <row r="4" spans="7:31" ht="12">
      <c r="G4">
        <v>40000</v>
      </c>
      <c r="H4">
        <v>6000</v>
      </c>
      <c r="I4" s="37">
        <v>23207.944168063896</v>
      </c>
      <c r="J4" s="45">
        <v>664.5853882986319</v>
      </c>
      <c r="K4" s="45">
        <v>157.6898308262214</v>
      </c>
      <c r="L4" s="45">
        <v>220.4219900339469</v>
      </c>
      <c r="M4" s="37">
        <v>203.20897040130714</v>
      </c>
      <c r="N4">
        <f aca="true" t="shared" si="0" ref="N4:N13">M4/I4</f>
        <v>0.008756009103164767</v>
      </c>
      <c r="AD4" s="32" t="s">
        <v>196</v>
      </c>
      <c r="AE4" s="32">
        <v>0.9995626184641782</v>
      </c>
    </row>
    <row r="5" spans="7:31" ht="12">
      <c r="G5">
        <v>45000</v>
      </c>
      <c r="H5">
        <v>6000</v>
      </c>
      <c r="I5" s="37">
        <v>26207.41394208897</v>
      </c>
      <c r="J5" s="45">
        <v>725.827382729963</v>
      </c>
      <c r="K5" s="45">
        <v>165.35554872091845</v>
      </c>
      <c r="L5" s="45">
        <v>233.8685189613695</v>
      </c>
      <c r="M5" s="37">
        <v>229.47235504733823</v>
      </c>
      <c r="N5">
        <f t="shared" si="0"/>
        <v>0.008756009103164765</v>
      </c>
      <c r="O5" s="40"/>
      <c r="P5" s="40"/>
      <c r="Y5">
        <f>LN(I6)</f>
        <v>10.276564744493076</v>
      </c>
      <c r="Z5">
        <f aca="true" t="shared" si="1" ref="Z5:AB7">LN(J5)</f>
        <v>6.587312221719495</v>
      </c>
      <c r="AA5">
        <f t="shared" si="1"/>
        <v>5.108097996293965</v>
      </c>
      <c r="AB5">
        <f t="shared" si="1"/>
        <v>5.454759072660819</v>
      </c>
      <c r="AD5" s="32" t="s">
        <v>197</v>
      </c>
      <c r="AE5" s="32">
        <v>0.9991254282309642</v>
      </c>
    </row>
    <row r="6" spans="1:31" ht="12">
      <c r="A6" s="1" t="s">
        <v>0</v>
      </c>
      <c r="G6">
        <v>50000</v>
      </c>
      <c r="H6">
        <v>6000</v>
      </c>
      <c r="I6" s="37">
        <v>29043.928667818513</v>
      </c>
      <c r="J6" s="46">
        <v>783.1477439772773</v>
      </c>
      <c r="K6" s="46">
        <v>172.57350077910368</v>
      </c>
      <c r="L6" s="46">
        <v>246.49710762234903</v>
      </c>
      <c r="M6" s="37">
        <v>254.30890380708698</v>
      </c>
      <c r="N6">
        <f>M6/I6</f>
        <v>0.008756009103164765</v>
      </c>
      <c r="O6" s="40"/>
      <c r="P6" s="40"/>
      <c r="Y6">
        <f>LN(I7)</f>
        <v>10.052249920078935</v>
      </c>
      <c r="Z6">
        <f t="shared" si="1"/>
        <v>6.663321367817307</v>
      </c>
      <c r="AA6">
        <f t="shared" si="1"/>
        <v>5.150823237193285</v>
      </c>
      <c r="AB6">
        <f t="shared" si="1"/>
        <v>5.507350259630329</v>
      </c>
      <c r="AD6" s="32" t="s">
        <v>198</v>
      </c>
      <c r="AE6" s="32">
        <v>0.9989067852887052</v>
      </c>
    </row>
    <row r="7" spans="4:31" ht="12">
      <c r="D7" t="s">
        <v>191</v>
      </c>
      <c r="E7">
        <v>1.5</v>
      </c>
      <c r="G7">
        <v>55000</v>
      </c>
      <c r="H7">
        <v>8000</v>
      </c>
      <c r="I7" s="37">
        <v>23207.944168063896</v>
      </c>
      <c r="J7" s="46">
        <v>664.5853882986319</v>
      </c>
      <c r="K7" s="46">
        <v>195.65921509750953</v>
      </c>
      <c r="L7" s="46">
        <v>258.39137430523505</v>
      </c>
      <c r="M7" s="37">
        <v>270.9452938684095</v>
      </c>
      <c r="N7">
        <f t="shared" si="0"/>
        <v>0.01167467880421969</v>
      </c>
      <c r="O7" s="40"/>
      <c r="P7" s="40"/>
      <c r="Y7">
        <f>LN(I8)</f>
        <v>10.173797624608238</v>
      </c>
      <c r="Z7">
        <f t="shared" si="1"/>
        <v>6.4991633699710585</v>
      </c>
      <c r="AA7">
        <f t="shared" si="1"/>
        <v>5.276374447457859</v>
      </c>
      <c r="AB7">
        <f t="shared" si="1"/>
        <v>5.554475390179592</v>
      </c>
      <c r="AD7" s="32" t="s">
        <v>199</v>
      </c>
      <c r="AE7" s="32">
        <v>0.02770809280843759</v>
      </c>
    </row>
    <row r="8" spans="1:31" ht="12.75" thickBot="1">
      <c r="A8" s="1" t="s">
        <v>230</v>
      </c>
      <c r="G8">
        <v>60000</v>
      </c>
      <c r="H8">
        <v>8000</v>
      </c>
      <c r="I8" s="37">
        <v>26207.41394208897</v>
      </c>
      <c r="J8" s="46">
        <v>725.827382729963</v>
      </c>
      <c r="K8" s="46">
        <v>204.43360967851436</v>
      </c>
      <c r="L8" s="46">
        <v>272.94657991896537</v>
      </c>
      <c r="M8" s="37">
        <v>305.96314006311763</v>
      </c>
      <c r="N8">
        <f t="shared" si="0"/>
        <v>0.011674678804219688</v>
      </c>
      <c r="O8" s="40"/>
      <c r="P8" s="40"/>
      <c r="Y8">
        <f>LN(I13)</f>
        <v>10.052249920078935</v>
      </c>
      <c r="Z8">
        <f aca="true" t="shared" si="2" ref="Y8:AB10">LN(J12)</f>
        <v>7.052899847764488</v>
      </c>
      <c r="AA8">
        <f t="shared" si="2"/>
        <v>4.838151263250438</v>
      </c>
      <c r="AB8">
        <f t="shared" si="2"/>
        <v>5.461173585535391</v>
      </c>
      <c r="AD8" s="33" t="s">
        <v>200</v>
      </c>
      <c r="AE8" s="33">
        <v>6</v>
      </c>
    </row>
    <row r="9" spans="7:28" ht="12">
      <c r="G9">
        <v>65000</v>
      </c>
      <c r="H9">
        <v>8000</v>
      </c>
      <c r="I9" s="37">
        <v>30411.009977867</v>
      </c>
      <c r="J9" s="46">
        <v>810.4778810549716</v>
      </c>
      <c r="K9" s="46">
        <v>216.67272461954414</v>
      </c>
      <c r="L9" s="46">
        <v>293.1761030625173</v>
      </c>
      <c r="M9" s="37">
        <v>355.03877360351737</v>
      </c>
      <c r="N9">
        <f t="shared" si="0"/>
        <v>0.01167467880421969</v>
      </c>
      <c r="O9" s="40"/>
      <c r="P9" s="40"/>
      <c r="Y9" t="e">
        <f>LN(#REF!)</f>
        <v>#REF!</v>
      </c>
      <c r="Z9">
        <f t="shared" si="2"/>
        <v>6.4991633699710585</v>
      </c>
      <c r="AA9">
        <f t="shared" si="2"/>
        <v>5.276374447457859</v>
      </c>
      <c r="AB9">
        <f t="shared" si="2"/>
        <v>5.554475390179592</v>
      </c>
    </row>
    <row r="10" spans="1:30" ht="12.75" thickBot="1">
      <c r="A10" s="1" t="s">
        <v>229</v>
      </c>
      <c r="E10" s="2">
        <f>110.9*(468.2/389.5)</f>
        <v>133.30777920410785</v>
      </c>
      <c r="F10" s="2"/>
      <c r="G10">
        <v>28000</v>
      </c>
      <c r="H10">
        <v>2000</v>
      </c>
      <c r="I10" s="37">
        <v>36840.31498640386</v>
      </c>
      <c r="J10" s="46">
        <v>936.9318854742663</v>
      </c>
      <c r="K10" s="46">
        <v>106.20385051569541</v>
      </c>
      <c r="L10" s="46">
        <v>194.6435924077564</v>
      </c>
      <c r="M10" s="37">
        <v>107.5247111281365</v>
      </c>
      <c r="N10">
        <f t="shared" si="0"/>
        <v>0.002918669701054922</v>
      </c>
      <c r="O10" s="40"/>
      <c r="P10" s="40"/>
      <c r="Y10" t="e">
        <f t="shared" si="2"/>
        <v>#NUM!</v>
      </c>
      <c r="Z10" t="e">
        <f t="shared" si="2"/>
        <v>#NUM!</v>
      </c>
      <c r="AA10" t="e">
        <f t="shared" si="2"/>
        <v>#NUM!</v>
      </c>
      <c r="AB10" t="e">
        <f t="shared" si="2"/>
        <v>#NUM!</v>
      </c>
      <c r="AD10" t="s">
        <v>201</v>
      </c>
    </row>
    <row r="11" spans="1:35" ht="12">
      <c r="A11" s="1"/>
      <c r="G11">
        <v>35000</v>
      </c>
      <c r="H11">
        <v>2000</v>
      </c>
      <c r="I11" s="37">
        <v>42749.398666917405</v>
      </c>
      <c r="J11" s="46">
        <v>1050.965470808209</v>
      </c>
      <c r="K11" s="46">
        <v>116.59052486469186</v>
      </c>
      <c r="L11" s="46">
        <v>215.79423050941688</v>
      </c>
      <c r="M11" s="37">
        <v>124.7713746274495</v>
      </c>
      <c r="N11">
        <f t="shared" si="0"/>
        <v>0.002918669701054922</v>
      </c>
      <c r="O11" s="40"/>
      <c r="P11" s="40"/>
      <c r="AD11" s="34"/>
      <c r="AE11" s="34" t="s">
        <v>206</v>
      </c>
      <c r="AF11" s="34" t="s">
        <v>207</v>
      </c>
      <c r="AG11" s="34" t="s">
        <v>208</v>
      </c>
      <c r="AH11" s="34" t="s">
        <v>209</v>
      </c>
      <c r="AI11" s="34" t="s">
        <v>210</v>
      </c>
    </row>
    <row r="12" spans="1:35" ht="12">
      <c r="A12" s="1" t="s">
        <v>1</v>
      </c>
      <c r="G12">
        <v>42000</v>
      </c>
      <c r="H12">
        <v>2000</v>
      </c>
      <c r="I12" s="37">
        <v>48274.46923028148</v>
      </c>
      <c r="J12" s="46">
        <v>1156.2067095823168</v>
      </c>
      <c r="K12" s="46">
        <v>126.2357591839719</v>
      </c>
      <c r="L12" s="46">
        <v>235.37349326542952</v>
      </c>
      <c r="M12" s="37">
        <v>140.8972306769307</v>
      </c>
      <c r="N12">
        <f t="shared" si="0"/>
        <v>0.002918669701054922</v>
      </c>
      <c r="O12" s="40"/>
      <c r="P12" s="40"/>
      <c r="AD12" s="32" t="s">
        <v>202</v>
      </c>
      <c r="AE12" s="32">
        <v>1</v>
      </c>
      <c r="AF12" s="32">
        <v>3.5083088290848434</v>
      </c>
      <c r="AG12" s="32">
        <v>3.5083088290848434</v>
      </c>
      <c r="AH12" s="32">
        <v>4569.666955211663</v>
      </c>
      <c r="AI12" s="32">
        <v>2.8691207567869704E-07</v>
      </c>
    </row>
    <row r="13" spans="7:35" ht="12">
      <c r="G13">
        <v>55000</v>
      </c>
      <c r="H13">
        <v>8000</v>
      </c>
      <c r="I13" s="37">
        <v>23207.944168063896</v>
      </c>
      <c r="J13" s="46">
        <v>664.5853882986319</v>
      </c>
      <c r="K13" s="46">
        <v>195.65921509750953</v>
      </c>
      <c r="L13" s="46">
        <v>258.39137430523505</v>
      </c>
      <c r="M13" s="37">
        <v>270.9452938684095</v>
      </c>
      <c r="N13">
        <f t="shared" si="0"/>
        <v>0.01167467880421969</v>
      </c>
      <c r="O13" s="40"/>
      <c r="P13" s="40"/>
      <c r="AD13" s="32" t="s">
        <v>203</v>
      </c>
      <c r="AE13" s="32">
        <v>4</v>
      </c>
      <c r="AF13" s="32">
        <v>0.0030709536283239636</v>
      </c>
      <c r="AG13" s="32">
        <v>0.0007677384070809909</v>
      </c>
      <c r="AH13" s="32"/>
      <c r="AI13" s="32"/>
    </row>
    <row r="14" spans="1:35" ht="12.75" thickBot="1">
      <c r="A14" s="1" t="s">
        <v>2</v>
      </c>
      <c r="E14" s="3">
        <v>23207.944168063896</v>
      </c>
      <c r="F14" s="3"/>
      <c r="I14" s="31"/>
      <c r="J14" s="28"/>
      <c r="K14" s="28"/>
      <c r="L14" s="28"/>
      <c r="M14" s="37"/>
      <c r="O14" s="40"/>
      <c r="P14" s="40"/>
      <c r="AD14" s="33" t="s">
        <v>204</v>
      </c>
      <c r="AE14" s="33">
        <v>5</v>
      </c>
      <c r="AF14" s="33">
        <v>3.5113797827131674</v>
      </c>
      <c r="AG14" s="33"/>
      <c r="AH14" s="33"/>
      <c r="AI14" s="33"/>
    </row>
    <row r="15" spans="1:14" ht="12.75" thickBot="1">
      <c r="A15" s="1" t="s">
        <v>3</v>
      </c>
      <c r="E15" s="1">
        <v>100</v>
      </c>
      <c r="F15" s="1"/>
      <c r="N15">
        <f>AVERAGE(N4:N13)</f>
        <v>0.008172275162953782</v>
      </c>
    </row>
    <row r="16" spans="1:38" ht="12">
      <c r="A16" s="13" t="s">
        <v>4</v>
      </c>
      <c r="E16" s="1">
        <f>IF(E15&gt;275,275,E15)</f>
        <v>100</v>
      </c>
      <c r="F16" s="1"/>
      <c r="I16" s="38" t="s">
        <v>225</v>
      </c>
      <c r="J16" s="31"/>
      <c r="K16" s="31"/>
      <c r="AD16" s="34"/>
      <c r="AE16" s="34" t="s">
        <v>211</v>
      </c>
      <c r="AF16" s="34" t="s">
        <v>199</v>
      </c>
      <c r="AG16" s="34" t="s">
        <v>212</v>
      </c>
      <c r="AH16" s="34" t="s">
        <v>213</v>
      </c>
      <c r="AI16" s="34" t="s">
        <v>214</v>
      </c>
      <c r="AJ16" s="34" t="s">
        <v>215</v>
      </c>
      <c r="AK16" s="34" t="s">
        <v>216</v>
      </c>
      <c r="AL16" s="34" t="s">
        <v>217</v>
      </c>
    </row>
    <row r="17" spans="1:38" ht="12">
      <c r="A17" s="1" t="s">
        <v>5</v>
      </c>
      <c r="E17" s="1" t="s">
        <v>6</v>
      </c>
      <c r="F17" s="1"/>
      <c r="I17" s="32" t="s">
        <v>205</v>
      </c>
      <c r="J17" s="32">
        <v>60.36819249440982</v>
      </c>
      <c r="K17" s="32">
        <v>16.607674717075984</v>
      </c>
      <c r="O17" s="39"/>
      <c r="AD17" s="32" t="s">
        <v>205</v>
      </c>
      <c r="AE17" s="32">
        <v>-2.1432948598056942</v>
      </c>
      <c r="AF17" s="32">
        <v>0.14229696563197283</v>
      </c>
      <c r="AG17" s="32">
        <v>-15.062126239212759</v>
      </c>
      <c r="AH17" s="32">
        <v>0.00011322717128624679</v>
      </c>
      <c r="AI17" s="32">
        <v>-2.538375391825176</v>
      </c>
      <c r="AJ17" s="32">
        <v>-1.7482143277862123</v>
      </c>
      <c r="AK17" s="32">
        <v>-2.538375391825176</v>
      </c>
      <c r="AL17" s="32">
        <v>-1.7482143277862123</v>
      </c>
    </row>
    <row r="18" spans="1:38" ht="12.75" thickBot="1">
      <c r="A18" s="1" t="s">
        <v>7</v>
      </c>
      <c r="E18" s="4">
        <v>0.1</v>
      </c>
      <c r="F18" s="4"/>
      <c r="I18" s="33" t="s">
        <v>218</v>
      </c>
      <c r="J18" s="33">
        <v>0.008273214880278486</v>
      </c>
      <c r="K18" s="33">
        <v>0.0006504247183923791</v>
      </c>
      <c r="M18" s="42">
        <f>M5/$I6</f>
        <v>0.007900871733705917</v>
      </c>
      <c r="O18" s="39"/>
      <c r="P18" s="42"/>
      <c r="AD18" s="33" t="s">
        <v>218</v>
      </c>
      <c r="AE18" s="33">
        <v>0.8431662736911913</v>
      </c>
      <c r="AF18" s="33">
        <v>0.012473000853073535</v>
      </c>
      <c r="AG18" s="33">
        <v>67.59931179539866</v>
      </c>
      <c r="AH18" s="33">
        <v>2.869120756787146E-07</v>
      </c>
      <c r="AI18" s="33">
        <v>0.8085355997971551</v>
      </c>
      <c r="AJ18" s="33">
        <v>0.8777969475852276</v>
      </c>
      <c r="AK18" s="33">
        <v>0.8085355997971551</v>
      </c>
      <c r="AL18" s="33">
        <v>0.8777969475852276</v>
      </c>
    </row>
    <row r="19" spans="1:6" ht="12">
      <c r="A19" s="1" t="s">
        <v>8</v>
      </c>
      <c r="E19" s="1">
        <v>10</v>
      </c>
      <c r="F19" s="1"/>
    </row>
    <row r="20" spans="1:9" ht="12">
      <c r="A20" s="1" t="s">
        <v>9</v>
      </c>
      <c r="E20" s="1">
        <v>10</v>
      </c>
      <c r="F20" s="1"/>
      <c r="I20" t="s">
        <v>226</v>
      </c>
    </row>
    <row r="21" spans="1:30" ht="12">
      <c r="A21" s="1" t="s">
        <v>10</v>
      </c>
      <c r="E21" s="1">
        <v>15</v>
      </c>
      <c r="F21" s="1"/>
      <c r="I21" s="32" t="s">
        <v>205</v>
      </c>
      <c r="J21" s="32">
        <v>94.26318660481377</v>
      </c>
      <c r="K21" s="32">
        <v>33.844443479998006</v>
      </c>
      <c r="O21" s="39"/>
      <c r="AD21" t="s">
        <v>194</v>
      </c>
    </row>
    <row r="22" spans="1:16" ht="12.75" thickBot="1">
      <c r="A22" s="1" t="s">
        <v>11</v>
      </c>
      <c r="I22" s="33" t="s">
        <v>218</v>
      </c>
      <c r="J22" s="33">
        <v>0.007500738271205764</v>
      </c>
      <c r="K22" s="33">
        <v>0.0006194944860919952</v>
      </c>
      <c r="M22" s="41">
        <f>M9/$I10</f>
        <v>0.009637235016436384</v>
      </c>
      <c r="O22" s="39"/>
      <c r="P22" s="41"/>
    </row>
    <row r="23" spans="4:31" ht="12">
      <c r="D23" s="14" t="s">
        <v>12</v>
      </c>
      <c r="E23" s="4">
        <v>3</v>
      </c>
      <c r="F23" s="4"/>
      <c r="AD23" s="35" t="s">
        <v>195</v>
      </c>
      <c r="AE23" s="35"/>
    </row>
    <row r="24" spans="4:31" ht="12">
      <c r="D24" s="14" t="s">
        <v>13</v>
      </c>
      <c r="E24" s="2">
        <v>0.9</v>
      </c>
      <c r="F24" s="2"/>
      <c r="J24" s="17" t="s">
        <v>188</v>
      </c>
      <c r="K24" s="17" t="s">
        <v>186</v>
      </c>
      <c r="L24" s="17" t="s">
        <v>187</v>
      </c>
      <c r="AD24" s="32" t="s">
        <v>196</v>
      </c>
      <c r="AE24" s="32">
        <v>0.9977474687186703</v>
      </c>
    </row>
    <row r="25" spans="4:31" ht="12">
      <c r="D25" s="14" t="s">
        <v>14</v>
      </c>
      <c r="E25" s="4">
        <v>1</v>
      </c>
      <c r="F25" s="4"/>
      <c r="J25" s="27" t="s">
        <v>189</v>
      </c>
      <c r="K25" s="27" t="s">
        <v>190</v>
      </c>
      <c r="L25" s="27" t="s">
        <v>190</v>
      </c>
      <c r="M25" s="17" t="s">
        <v>223</v>
      </c>
      <c r="AD25" s="32" t="s">
        <v>197</v>
      </c>
      <c r="AE25" s="32">
        <v>0.9955000113345138</v>
      </c>
    </row>
    <row r="26" spans="1:31" ht="12">
      <c r="A26" s="1" t="s">
        <v>15</v>
      </c>
      <c r="AD26" s="32" t="s">
        <v>198</v>
      </c>
      <c r="AE26" s="32">
        <v>0.9943750141681422</v>
      </c>
    </row>
    <row r="27" spans="4:31" ht="12">
      <c r="D27" s="1" t="s">
        <v>16</v>
      </c>
      <c r="E27" s="2">
        <v>4</v>
      </c>
      <c r="F27" s="2"/>
      <c r="J27" s="28">
        <f>D108/1000</f>
        <v>664.5853882986319</v>
      </c>
      <c r="K27" s="28">
        <f>D145/1000</f>
        <v>195.65921509750953</v>
      </c>
      <c r="L27" s="44">
        <f>J27*D123+K27</f>
        <v>258.39137430523505</v>
      </c>
      <c r="M27" s="37">
        <f>D135/D118/1000</f>
        <v>270.9452938684095</v>
      </c>
      <c r="AD27" s="32" t="s">
        <v>199</v>
      </c>
      <c r="AE27" s="32">
        <v>0.05937659395699033</v>
      </c>
    </row>
    <row r="28" spans="4:31" ht="12.75" thickBot="1">
      <c r="D28" s="1" t="s">
        <v>17</v>
      </c>
      <c r="E28" s="2">
        <v>0.8</v>
      </c>
      <c r="F28" s="2"/>
      <c r="AD28" s="33" t="s">
        <v>200</v>
      </c>
      <c r="AE28" s="33">
        <v>6</v>
      </c>
    </row>
    <row r="29" spans="1:6" ht="12">
      <c r="A29" s="15" t="s">
        <v>18</v>
      </c>
      <c r="D29" s="14" t="s">
        <v>12</v>
      </c>
      <c r="E29" s="2">
        <v>2.1</v>
      </c>
      <c r="F29" s="2"/>
    </row>
    <row r="30" spans="4:30" ht="12.75" thickBot="1">
      <c r="D30" s="14" t="s">
        <v>13</v>
      </c>
      <c r="E30" s="2">
        <v>0.8</v>
      </c>
      <c r="F30" s="2"/>
      <c r="AD30" t="s">
        <v>201</v>
      </c>
    </row>
    <row r="31" spans="4:35" ht="12">
      <c r="D31" s="14" t="s">
        <v>14</v>
      </c>
      <c r="E31" s="5">
        <v>0.75</v>
      </c>
      <c r="F31" s="2"/>
      <c r="AD31" s="34"/>
      <c r="AE31" s="34" t="s">
        <v>206</v>
      </c>
      <c r="AF31" s="34" t="s">
        <v>207</v>
      </c>
      <c r="AG31" s="34" t="s">
        <v>208</v>
      </c>
      <c r="AH31" s="34" t="s">
        <v>209</v>
      </c>
      <c r="AI31" s="34" t="s">
        <v>210</v>
      </c>
    </row>
    <row r="32" spans="4:35" ht="12">
      <c r="D32" s="14" t="s">
        <v>19</v>
      </c>
      <c r="E32" s="2">
        <v>0.9</v>
      </c>
      <c r="F32" s="2"/>
      <c r="AD32" s="32" t="s">
        <v>202</v>
      </c>
      <c r="AE32" s="32">
        <v>1</v>
      </c>
      <c r="AF32" s="32">
        <v>3.119754382688145</v>
      </c>
      <c r="AG32" s="32">
        <v>3.119754382688145</v>
      </c>
      <c r="AH32" s="32">
        <v>884.8911278108477</v>
      </c>
      <c r="AI32" s="32">
        <v>7.605131203369901E-06</v>
      </c>
    </row>
    <row r="33" spans="4:34" ht="12">
      <c r="D33" s="14" t="s">
        <v>20</v>
      </c>
      <c r="E33" s="6">
        <v>1.075</v>
      </c>
      <c r="F33" s="2"/>
      <c r="AC33" s="32" t="s">
        <v>203</v>
      </c>
      <c r="AD33" s="32">
        <v>4</v>
      </c>
      <c r="AE33" s="32">
        <v>0.014102319639733202</v>
      </c>
      <c r="AF33" s="32">
        <v>0.0035255799099333006</v>
      </c>
      <c r="AG33" s="32"/>
      <c r="AH33" s="32"/>
    </row>
    <row r="34" spans="1:34" ht="12.75" thickBot="1">
      <c r="A34" s="1" t="s">
        <v>21</v>
      </c>
      <c r="E34" s="1">
        <v>100</v>
      </c>
      <c r="F34" s="1"/>
      <c r="AC34" s="33" t="s">
        <v>204</v>
      </c>
      <c r="AD34" s="33">
        <v>5</v>
      </c>
      <c r="AE34" s="33">
        <v>3.1338567023278783</v>
      </c>
      <c r="AF34" s="33"/>
      <c r="AG34" s="33"/>
      <c r="AH34" s="33"/>
    </row>
    <row r="35" spans="1:6" ht="12.75" thickBot="1">
      <c r="A35" s="1" t="s">
        <v>22</v>
      </c>
      <c r="E35" s="2">
        <v>0.1</v>
      </c>
      <c r="F35" s="2"/>
    </row>
    <row r="36" spans="1:37" ht="12">
      <c r="A36" s="1" t="s">
        <v>23</v>
      </c>
      <c r="E36" s="1">
        <v>0</v>
      </c>
      <c r="F36" s="1"/>
      <c r="AC36" s="34"/>
      <c r="AD36" s="34" t="s">
        <v>211</v>
      </c>
      <c r="AE36" s="34" t="s">
        <v>199</v>
      </c>
      <c r="AF36" s="34" t="s">
        <v>212</v>
      </c>
      <c r="AG36" s="34" t="s">
        <v>213</v>
      </c>
      <c r="AH36" s="34" t="s">
        <v>214</v>
      </c>
      <c r="AI36" s="34" t="s">
        <v>215</v>
      </c>
      <c r="AJ36" s="34" t="s">
        <v>216</v>
      </c>
      <c r="AK36" s="34" t="s">
        <v>217</v>
      </c>
    </row>
    <row r="37" spans="1:37" ht="12">
      <c r="A37" s="1" t="s">
        <v>24</v>
      </c>
      <c r="E37" s="1">
        <v>0</v>
      </c>
      <c r="F37" s="1"/>
      <c r="AC37" s="32" t="s">
        <v>205</v>
      </c>
      <c r="AD37" s="32">
        <v>-3.0325062069458832</v>
      </c>
      <c r="AE37" s="32">
        <v>0.30493290202451473</v>
      </c>
      <c r="AF37" s="32">
        <v>-9.944831098292202</v>
      </c>
      <c r="AG37" s="32">
        <v>0.0005741684047842677</v>
      </c>
      <c r="AH37" s="32">
        <v>-3.879137423760957</v>
      </c>
      <c r="AI37" s="32">
        <v>-2.1858749901308094</v>
      </c>
      <c r="AJ37" s="32">
        <v>-3.879137423760957</v>
      </c>
      <c r="AK37" s="32">
        <v>-2.1858749901308094</v>
      </c>
    </row>
    <row r="38" spans="1:37" ht="12.75" thickBot="1">
      <c r="A38" s="1" t="s">
        <v>25</v>
      </c>
      <c r="E38" s="1" t="s">
        <v>227</v>
      </c>
      <c r="F38" s="1"/>
      <c r="AC38" s="33" t="s">
        <v>218</v>
      </c>
      <c r="AD38" s="33">
        <v>0.7951050652420043</v>
      </c>
      <c r="AE38" s="33">
        <v>0.026728808518088065</v>
      </c>
      <c r="AF38" s="33">
        <v>29.747119655705433</v>
      </c>
      <c r="AG38" s="33">
        <v>7.6051312033697375E-06</v>
      </c>
      <c r="AH38" s="33">
        <v>0.720893841955031</v>
      </c>
      <c r="AI38" s="33">
        <v>0.8693162885289776</v>
      </c>
      <c r="AJ38" s="33">
        <v>0.720893841955031</v>
      </c>
      <c r="AK38" s="33">
        <v>0.8693162885289776</v>
      </c>
    </row>
    <row r="39" spans="1:6" ht="12">
      <c r="A39" s="1" t="s">
        <v>26</v>
      </c>
      <c r="E39" s="2">
        <v>1.1</v>
      </c>
      <c r="F39" s="2"/>
    </row>
    <row r="40" spans="1:6" ht="12">
      <c r="A40" s="1"/>
      <c r="E40" s="2"/>
      <c r="F40" s="2"/>
    </row>
    <row r="41" spans="1:29" ht="12">
      <c r="A41" s="1" t="s">
        <v>27</v>
      </c>
      <c r="AC41" t="s">
        <v>194</v>
      </c>
    </row>
    <row r="42" spans="1:6" ht="12.75" thickBot="1">
      <c r="A42" s="1" t="s">
        <v>28</v>
      </c>
      <c r="C42" s="5" t="s">
        <v>29</v>
      </c>
      <c r="D42" s="5"/>
      <c r="E42" s="5" t="s">
        <v>30</v>
      </c>
      <c r="F42" s="5"/>
    </row>
    <row r="43" spans="1:30" ht="12">
      <c r="A43" s="13" t="s">
        <v>31</v>
      </c>
      <c r="C43" s="5"/>
      <c r="D43" s="5"/>
      <c r="E43" s="5"/>
      <c r="F43" s="5"/>
      <c r="AC43" s="35" t="s">
        <v>195</v>
      </c>
      <c r="AD43" s="35"/>
    </row>
    <row r="44" spans="1:30" ht="12">
      <c r="A44" s="1" t="s">
        <v>32</v>
      </c>
      <c r="C44" s="16" t="s">
        <v>33</v>
      </c>
      <c r="D44" s="5"/>
      <c r="E44" s="7">
        <v>0.53</v>
      </c>
      <c r="F44" s="7"/>
      <c r="G44" s="5"/>
      <c r="AC44" s="32" t="s">
        <v>196</v>
      </c>
      <c r="AD44" s="32">
        <v>0.9986485956368315</v>
      </c>
    </row>
    <row r="45" spans="1:30" ht="12">
      <c r="A45" s="1"/>
      <c r="C45" s="16" t="s">
        <v>34</v>
      </c>
      <c r="D45" s="5"/>
      <c r="E45" s="7">
        <v>0.5</v>
      </c>
      <c r="F45" s="7"/>
      <c r="G45" s="5"/>
      <c r="AC45" s="32" t="s">
        <v>197</v>
      </c>
      <c r="AD45" s="32">
        <v>0.9972990175674158</v>
      </c>
    </row>
    <row r="46" spans="1:30" ht="12">
      <c r="A46" s="1" t="s">
        <v>35</v>
      </c>
      <c r="C46" s="16" t="s">
        <v>36</v>
      </c>
      <c r="D46" s="5"/>
      <c r="E46" s="7">
        <v>2.95</v>
      </c>
      <c r="F46" s="7"/>
      <c r="G46" s="5"/>
      <c r="AC46" s="32" t="s">
        <v>198</v>
      </c>
      <c r="AD46" s="32">
        <v>0.9966237719592697</v>
      </c>
    </row>
    <row r="47" spans="1:30" ht="12">
      <c r="A47" s="1"/>
      <c r="C47" s="16" t="s">
        <v>37</v>
      </c>
      <c r="D47" s="5"/>
      <c r="E47" s="7">
        <v>1.53</v>
      </c>
      <c r="F47" s="7"/>
      <c r="G47" s="5"/>
      <c r="AC47" s="32" t="s">
        <v>199</v>
      </c>
      <c r="AD47" s="32">
        <v>0.04657753015421502</v>
      </c>
    </row>
    <row r="48" spans="1:30" ht="12.75" thickBot="1">
      <c r="A48" s="1" t="s">
        <v>38</v>
      </c>
      <c r="C48" s="16" t="s">
        <v>39</v>
      </c>
      <c r="D48" s="5"/>
      <c r="E48" s="7">
        <v>0.63</v>
      </c>
      <c r="F48" s="7"/>
      <c r="G48" s="5"/>
      <c r="AC48" s="33" t="s">
        <v>200</v>
      </c>
      <c r="AD48" s="33">
        <v>6</v>
      </c>
    </row>
    <row r="49" spans="1:7" ht="12">
      <c r="A49" s="1" t="s">
        <v>40</v>
      </c>
      <c r="C49" s="16" t="s">
        <v>39</v>
      </c>
      <c r="D49" s="5"/>
      <c r="E49" s="7">
        <v>0.61</v>
      </c>
      <c r="F49" s="7"/>
      <c r="G49" s="5"/>
    </row>
    <row r="50" spans="1:29" ht="12.75" thickBot="1">
      <c r="A50" s="1" t="s">
        <v>41</v>
      </c>
      <c r="C50" s="16" t="s">
        <v>42</v>
      </c>
      <c r="D50" s="5"/>
      <c r="E50" s="7">
        <v>0.44</v>
      </c>
      <c r="F50" s="7"/>
      <c r="G50" s="5"/>
      <c r="AC50" t="s">
        <v>201</v>
      </c>
    </row>
    <row r="51" spans="1:34" ht="12">
      <c r="A51" s="1"/>
      <c r="C51" s="16" t="s">
        <v>43</v>
      </c>
      <c r="D51" s="5"/>
      <c r="E51" s="7">
        <v>0.44</v>
      </c>
      <c r="F51" s="7"/>
      <c r="AC51" s="34"/>
      <c r="AD51" s="34" t="s">
        <v>206</v>
      </c>
      <c r="AE51" s="34" t="s">
        <v>207</v>
      </c>
      <c r="AF51" s="34" t="s">
        <v>208</v>
      </c>
      <c r="AG51" s="34" t="s">
        <v>209</v>
      </c>
      <c r="AH51" s="34" t="s">
        <v>210</v>
      </c>
    </row>
    <row r="52" spans="1:34" ht="12.75" thickBot="1">
      <c r="A52" s="1"/>
      <c r="C52" s="5"/>
      <c r="D52" s="5"/>
      <c r="E52" s="7"/>
      <c r="F52" s="7"/>
      <c r="G52" s="19"/>
      <c r="AC52" s="32" t="s">
        <v>202</v>
      </c>
      <c r="AD52" s="32">
        <v>1</v>
      </c>
      <c r="AE52" s="32">
        <v>3.2041772634428853</v>
      </c>
      <c r="AF52" s="32">
        <v>3.2041772634428853</v>
      </c>
      <c r="AG52" s="32">
        <v>1476.9426198944338</v>
      </c>
      <c r="AH52" s="32">
        <v>2.7382065982852565E-06</v>
      </c>
    </row>
    <row r="53" spans="1:34" ht="12">
      <c r="A53" s="15" t="s">
        <v>44</v>
      </c>
      <c r="E53" s="26">
        <f>K58</f>
        <v>59057.14040591071</v>
      </c>
      <c r="F53" s="7"/>
      <c r="G53" s="19" t="s">
        <v>179</v>
      </c>
      <c r="I53" s="20">
        <f>0.3028*Qea^0.5</f>
        <v>46.1290176744571</v>
      </c>
      <c r="J53" t="s">
        <v>180</v>
      </c>
      <c r="K53" s="21">
        <f>22.1*I53^1.55</f>
        <v>8385.950479599962</v>
      </c>
      <c r="AC53" s="32" t="s">
        <v>203</v>
      </c>
      <c r="AD53" s="32">
        <v>4</v>
      </c>
      <c r="AE53" s="32">
        <v>0.008677865261067237</v>
      </c>
      <c r="AF53" s="32">
        <v>0.0021694663152668093</v>
      </c>
      <c r="AG53" s="32"/>
      <c r="AH53" s="32"/>
    </row>
    <row r="54" spans="6:34" ht="12.75" thickBot="1">
      <c r="F54" s="7"/>
      <c r="G54" s="19"/>
      <c r="H54" s="22" t="s">
        <v>181</v>
      </c>
      <c r="I54" s="23">
        <f>ROUND(1.34*0.000181*Qea*12,0)</f>
        <v>68</v>
      </c>
      <c r="J54" t="s">
        <v>182</v>
      </c>
      <c r="K54" s="21">
        <f>94.7*I54^0.821</f>
        <v>3025.7970584121113</v>
      </c>
      <c r="AC54" s="33" t="s">
        <v>204</v>
      </c>
      <c r="AD54" s="33">
        <v>5</v>
      </c>
      <c r="AE54" s="33">
        <v>3.2128551287039526</v>
      </c>
      <c r="AF54" s="33"/>
      <c r="AG54" s="33"/>
      <c r="AH54" s="33"/>
    </row>
    <row r="55" spans="3:11" ht="12.75" thickBot="1">
      <c r="C55" s="1" t="s">
        <v>45</v>
      </c>
      <c r="F55" s="7"/>
      <c r="H55" t="s">
        <v>183</v>
      </c>
      <c r="I55" s="24">
        <v>200</v>
      </c>
      <c r="J55" t="s">
        <v>184</v>
      </c>
      <c r="K55" s="21">
        <f>24*I55*0.3028/12*(Qea^0.5)</f>
        <v>18451.60706978284</v>
      </c>
    </row>
    <row r="56" spans="8:37" ht="12">
      <c r="H56" t="s">
        <v>221</v>
      </c>
      <c r="K56" s="26">
        <f>1.5*K55</f>
        <v>27677.41060467426</v>
      </c>
      <c r="AC56" s="34"/>
      <c r="AD56" s="34" t="s">
        <v>211</v>
      </c>
      <c r="AE56" s="34" t="s">
        <v>199</v>
      </c>
      <c r="AF56" s="34" t="s">
        <v>212</v>
      </c>
      <c r="AG56" s="34" t="s">
        <v>213</v>
      </c>
      <c r="AH56" s="34" t="s">
        <v>214</v>
      </c>
      <c r="AI56" s="34" t="s">
        <v>215</v>
      </c>
      <c r="AJ56" s="34" t="s">
        <v>216</v>
      </c>
      <c r="AK56" s="34" t="s">
        <v>217</v>
      </c>
    </row>
    <row r="57" spans="1:37" ht="12">
      <c r="A57" s="1" t="s">
        <v>46</v>
      </c>
      <c r="H57" t="s">
        <v>185</v>
      </c>
      <c r="I57">
        <v>1</v>
      </c>
      <c r="K57" s="25">
        <f>I57*4.84*(0.3028*Qea^0.5)^1.5</f>
        <v>1516.375193441534</v>
      </c>
      <c r="AC57" s="32" t="s">
        <v>205</v>
      </c>
      <c r="AD57" s="32">
        <v>-2.8351431585391573</v>
      </c>
      <c r="AE57" s="32">
        <v>0.23920236060268366</v>
      </c>
      <c r="AF57" s="32">
        <v>-11.852488208711053</v>
      </c>
      <c r="AG57" s="32">
        <v>0.0002901211396242956</v>
      </c>
      <c r="AH57" s="32">
        <v>-3.4992767573654557</v>
      </c>
      <c r="AI57" s="32">
        <v>-2.171009559712859</v>
      </c>
      <c r="AJ57" s="32">
        <v>-3.4992767573654557</v>
      </c>
      <c r="AK57" s="32">
        <v>-2.171009559712859</v>
      </c>
    </row>
    <row r="58" spans="3:37" ht="12.75" thickBot="1">
      <c r="C58" s="1"/>
      <c r="D58" t="s">
        <v>47</v>
      </c>
      <c r="E58" s="5">
        <f>E23*E24*E25</f>
        <v>2.7</v>
      </c>
      <c r="F58" s="2"/>
      <c r="K58" s="26">
        <f>SUM(K53:K57)</f>
        <v>59057.14040591071</v>
      </c>
      <c r="AC58" s="33" t="s">
        <v>218</v>
      </c>
      <c r="AD58" s="33">
        <v>0.8057913213888321</v>
      </c>
      <c r="AE58" s="33">
        <v>0.020967216234048035</v>
      </c>
      <c r="AF58" s="33">
        <v>38.43101117449878</v>
      </c>
      <c r="AG58" s="33">
        <v>2.738206598285197E-06</v>
      </c>
      <c r="AH58" s="33">
        <v>0.7475768759301727</v>
      </c>
      <c r="AI58" s="33">
        <v>0.8640057668474915</v>
      </c>
      <c r="AJ58" s="33">
        <v>0.7475768759301727</v>
      </c>
      <c r="AK58" s="33">
        <v>0.8640057668474915</v>
      </c>
    </row>
    <row r="59" spans="4:6" ht="12">
      <c r="D59" s="1" t="s">
        <v>48</v>
      </c>
      <c r="E59" s="7">
        <f>E23*E24*E25</f>
        <v>2.7</v>
      </c>
      <c r="F59" s="2"/>
    </row>
    <row r="60" spans="4:6" ht="12">
      <c r="D60" s="1" t="s">
        <v>49</v>
      </c>
      <c r="E60" s="7">
        <f>2.878*E27*E28*(E16^-0.2335)*E18^-0.06021*(0.7471+0.0853*LN(E19))</f>
        <v>3.40563036527426</v>
      </c>
      <c r="F60" s="7"/>
    </row>
    <row r="61" spans="4:6" ht="12">
      <c r="D61" s="1" t="s">
        <v>50</v>
      </c>
      <c r="E61" s="7">
        <f>E29*E30*E31*E32*E33</f>
        <v>1.2190500000000004</v>
      </c>
      <c r="F61" s="7"/>
    </row>
    <row r="62" ht="12">
      <c r="A62" s="1" t="s">
        <v>51</v>
      </c>
    </row>
    <row r="63" spans="3:6" ht="12">
      <c r="C63" s="1"/>
      <c r="D63" t="s">
        <v>47</v>
      </c>
      <c r="E63" s="3">
        <f>E14/E58</f>
        <v>8595.534877060702</v>
      </c>
      <c r="F63" s="3"/>
    </row>
    <row r="64" spans="3:6" ht="12">
      <c r="C64" s="1"/>
      <c r="D64" t="s">
        <v>48</v>
      </c>
      <c r="E64" s="3">
        <f>E14/E59</f>
        <v>8595.534877060702</v>
      </c>
      <c r="F64" s="3"/>
    </row>
    <row r="65" spans="4:6" ht="12">
      <c r="D65" s="1" t="s">
        <v>49</v>
      </c>
      <c r="E65" s="3">
        <f>E14/E60</f>
        <v>6814.581055156562</v>
      </c>
      <c r="F65" s="3"/>
    </row>
    <row r="66" spans="4:6" ht="12">
      <c r="D66" s="1" t="s">
        <v>50</v>
      </c>
      <c r="E66" s="3">
        <f>E14/E61</f>
        <v>19037.729517299445</v>
      </c>
      <c r="F66" s="3"/>
    </row>
    <row r="67" ht="12">
      <c r="A67" s="1" t="s">
        <v>52</v>
      </c>
    </row>
    <row r="68" spans="3:6" ht="12">
      <c r="C68" s="1"/>
      <c r="D68" t="s">
        <v>47</v>
      </c>
      <c r="E68" s="3">
        <f>VLOOKUP(E63,B174:E186,4)*E63</f>
        <v>12893.302315591052</v>
      </c>
      <c r="F68" s="3"/>
    </row>
    <row r="69" spans="4:6" ht="12">
      <c r="D69" s="1" t="s">
        <v>48</v>
      </c>
      <c r="E69" s="3">
        <f>VLOOKUP(E64,B174:E186,4)*E64</f>
        <v>12893.302315591052</v>
      </c>
      <c r="F69" s="3"/>
    </row>
    <row r="70" spans="4:6" ht="12">
      <c r="D70" s="1" t="s">
        <v>49</v>
      </c>
      <c r="E70" s="3">
        <f>E65</f>
        <v>6814.581055156562</v>
      </c>
      <c r="F70" s="3"/>
    </row>
    <row r="71" spans="4:6" ht="12">
      <c r="D71" s="1" t="s">
        <v>50</v>
      </c>
      <c r="E71" s="3">
        <f>E66</f>
        <v>19037.729517299445</v>
      </c>
      <c r="F71" s="3"/>
    </row>
    <row r="72" spans="1:6" ht="12">
      <c r="A72" s="15" t="s">
        <v>53</v>
      </c>
      <c r="D72" s="1"/>
      <c r="E72" s="4">
        <f>(8/12)*3.1416*24</f>
        <v>50.26559999999999</v>
      </c>
      <c r="F72" s="3"/>
    </row>
    <row r="73" spans="1:6" ht="12">
      <c r="A73" s="15" t="s">
        <v>54</v>
      </c>
      <c r="D73" s="1"/>
      <c r="E73" s="3">
        <f>TRUNC(E69/E72)+1</f>
        <v>257</v>
      </c>
      <c r="F73" s="3"/>
    </row>
    <row r="74" spans="1:6" ht="12">
      <c r="A74" s="15" t="s">
        <v>55</v>
      </c>
      <c r="D74" s="1"/>
      <c r="E74" s="4">
        <f>(5/12)*3.1416*8</f>
        <v>10.472</v>
      </c>
      <c r="F74" s="3"/>
    </row>
    <row r="75" spans="1:6" ht="12">
      <c r="A75" s="15" t="s">
        <v>56</v>
      </c>
      <c r="D75" s="1"/>
      <c r="E75" s="3">
        <f>TRUNC(E68/E74)+1</f>
        <v>1232</v>
      </c>
      <c r="F75" s="3"/>
    </row>
    <row r="76" spans="1:6" ht="12">
      <c r="A76" s="1" t="s">
        <v>57</v>
      </c>
      <c r="C76" t="s">
        <v>58</v>
      </c>
      <c r="E76" s="5">
        <f>3.1416*(4.5/12)*8</f>
        <v>9.4248</v>
      </c>
      <c r="F76" s="6"/>
    </row>
    <row r="77" spans="1:6" ht="12">
      <c r="A77" s="1"/>
      <c r="C77" t="s">
        <v>59</v>
      </c>
      <c r="E77" s="5">
        <f>3.1416*(5.125/12)*10</f>
        <v>13.41725</v>
      </c>
      <c r="F77" s="6"/>
    </row>
    <row r="78" spans="1:6" ht="12">
      <c r="A78" s="1" t="s">
        <v>60</v>
      </c>
      <c r="D78" t="s">
        <v>61</v>
      </c>
      <c r="E78" s="1">
        <f>TRUNC(E70/E76)+1</f>
        <v>724</v>
      </c>
      <c r="F78" s="1"/>
    </row>
    <row r="79" spans="1:6" ht="12">
      <c r="A79" s="1"/>
      <c r="D79" t="s">
        <v>62</v>
      </c>
      <c r="E79" s="1">
        <f>TRUNC(E70/E77)+1</f>
        <v>508</v>
      </c>
      <c r="F79" s="1"/>
    </row>
    <row r="80" spans="1:6" ht="12">
      <c r="A80" s="13" t="s">
        <v>63</v>
      </c>
      <c r="E80" s="1">
        <v>153</v>
      </c>
      <c r="F80" s="1"/>
    </row>
    <row r="81" spans="1:6" ht="12">
      <c r="A81" s="13" t="s">
        <v>64</v>
      </c>
      <c r="E81" s="1">
        <f>TRUNC(E71/E80)+1</f>
        <v>125</v>
      </c>
      <c r="F81" s="1"/>
    </row>
    <row r="82" ht="12">
      <c r="A82" s="1" t="s">
        <v>65</v>
      </c>
    </row>
    <row r="83" spans="3:6" ht="12">
      <c r="C83" s="1"/>
      <c r="D83" t="s">
        <v>47</v>
      </c>
      <c r="E83" s="7">
        <f>E39*E58+E21*(E18/7000)*E58^2*E20</f>
        <v>2.985621428571429</v>
      </c>
      <c r="F83" s="7"/>
    </row>
    <row r="84" spans="4:6" ht="12">
      <c r="D84" s="1" t="s">
        <v>48</v>
      </c>
      <c r="E84" s="7">
        <f>E39*E59+E21*(E18/7000)*E59^2*E20</f>
        <v>2.985621428571429</v>
      </c>
      <c r="F84" s="7"/>
    </row>
    <row r="85" spans="4:6" ht="12">
      <c r="D85" s="1" t="s">
        <v>49</v>
      </c>
      <c r="E85" s="7">
        <f>6.08*E60*(E34)^-0.65+E21*(E18/7000)*E60*E20*E60</f>
        <v>1.0626234835771322</v>
      </c>
      <c r="F85" s="7"/>
    </row>
    <row r="86" spans="4:6" ht="12">
      <c r="D86" s="1" t="s">
        <v>50</v>
      </c>
      <c r="E86" s="7">
        <f>E39*E61+E21*(E18/7000)*E61^2*E20</f>
        <v>1.3441394633625006</v>
      </c>
      <c r="F86" s="7"/>
    </row>
    <row r="87" spans="1:6" ht="12">
      <c r="A87" s="15" t="s">
        <v>66</v>
      </c>
      <c r="D87" s="1"/>
      <c r="E87" s="7">
        <v>3</v>
      </c>
      <c r="F87" s="7"/>
    </row>
    <row r="88" spans="1:6" ht="12">
      <c r="A88" s="36" t="s">
        <v>222</v>
      </c>
      <c r="D88" s="1"/>
      <c r="E88" s="7">
        <v>4</v>
      </c>
      <c r="F88" s="7"/>
    </row>
    <row r="90" ht="12">
      <c r="C90" s="1" t="s">
        <v>67</v>
      </c>
    </row>
    <row r="91" ht="12">
      <c r="A91" s="1" t="s">
        <v>68</v>
      </c>
    </row>
    <row r="92" spans="1:3" ht="12">
      <c r="A92" s="1" t="s">
        <v>69</v>
      </c>
      <c r="C92" s="1" t="s">
        <v>70</v>
      </c>
    </row>
    <row r="93" spans="2:6" ht="12">
      <c r="B93" s="1" t="s">
        <v>71</v>
      </c>
      <c r="C93" s="1" t="s">
        <v>72</v>
      </c>
      <c r="D93" s="1" t="s">
        <v>73</v>
      </c>
      <c r="E93" s="1" t="s">
        <v>74</v>
      </c>
      <c r="F93" s="1" t="s">
        <v>75</v>
      </c>
    </row>
    <row r="94" ht="12">
      <c r="A94" s="1" t="s">
        <v>76</v>
      </c>
    </row>
    <row r="95" spans="1:6" ht="12">
      <c r="A95" s="1" t="s">
        <v>77</v>
      </c>
      <c r="B95" s="8">
        <f>IF(E48=0,0,IF(E68&gt;=30000,96230+3.33*E68,23040+5.789*E68))</f>
        <v>97679.3271049566</v>
      </c>
      <c r="C95" s="8">
        <f>IF(E50=0,0,37730+4.623*E69)</f>
        <v>97335.73660497743</v>
      </c>
      <c r="D95" s="8">
        <f>IF(E44=0,0,13540+8.885*E70)</f>
        <v>74087.55267506605</v>
      </c>
      <c r="E95" s="8">
        <f>IF(E44=0,0,2307+7.163*E70)</f>
        <v>51119.844098086454</v>
      </c>
      <c r="F95" s="8">
        <f>IF(E46=0,0,3285+0.8686*E70)</f>
        <v>9204.145104508989</v>
      </c>
    </row>
    <row r="96" spans="1:6" ht="12">
      <c r="A96" s="1" t="s">
        <v>78</v>
      </c>
      <c r="B96" s="8">
        <f>E68*MINA(E48,E49)</f>
        <v>7864.914412510541</v>
      </c>
      <c r="C96" s="8">
        <f>MINA(E50,E51)*E69</f>
        <v>5673.053018860063</v>
      </c>
      <c r="D96" s="8">
        <f>IF(E44=0,0,E44*E70)</f>
        <v>3611.727959232978</v>
      </c>
      <c r="E96" s="8">
        <f>IF(E44=0,0,E44*E70)</f>
        <v>3611.727959232978</v>
      </c>
      <c r="F96" s="8">
        <f>IF(E46=0,0,E71*MINA(E46,E47))</f>
        <v>29127.726161468152</v>
      </c>
    </row>
    <row r="97" spans="1:6" ht="12">
      <c r="A97" s="1" t="s">
        <v>79</v>
      </c>
      <c r="B97" s="8"/>
      <c r="C97" s="8"/>
      <c r="D97" s="8">
        <f>IF(E45=0,0,E45*E70)</f>
        <v>3407.290527578281</v>
      </c>
      <c r="E97" s="8">
        <f>IF(E45=0,0,E45*E70)</f>
        <v>3407.290527578281</v>
      </c>
      <c r="F97" s="8"/>
    </row>
    <row r="98" spans="1:6" ht="12">
      <c r="A98" s="1" t="s">
        <v>80</v>
      </c>
      <c r="B98" s="8">
        <f>IF(E48=0,0,IF(E56&gt;=30000,(26330+0.5675*E56)*E36,(6295+1.231*E56)*E36))</f>
        <v>0</v>
      </c>
      <c r="C98" s="8">
        <f>IF(E50=0,0,(13010+0.8889*E69)*E36)</f>
        <v>0</v>
      </c>
      <c r="D98" s="8">
        <f>IF(E44=0,0,(1041+2.23*E70)*E36)</f>
        <v>0</v>
      </c>
      <c r="E98" s="8">
        <f>IF(E44=0,0,(-195+2.734*E70)*E36)</f>
        <v>0</v>
      </c>
      <c r="F98" s="8">
        <f>IF(E46=0,0,(2184+0.2412*E70)*E36)</f>
        <v>0</v>
      </c>
    </row>
    <row r="99" spans="1:6" ht="12">
      <c r="A99" s="1" t="s">
        <v>81</v>
      </c>
      <c r="B99" s="8">
        <f>IF(E48=0,0,IF(E56&gt;=30000,(51280+1.435*E56)*E37,(13970+2.684*E56)*E37))</f>
        <v>0</v>
      </c>
      <c r="C99" s="8">
        <f>IF(E50=0,0,(26220+2.002*E69)*E37)</f>
        <v>0</v>
      </c>
      <c r="D99" s="8">
        <f>IF(E44=0,0,(1811+4.252*E70)*E37)</f>
        <v>0</v>
      </c>
      <c r="E99" s="8">
        <f>IF(E44=0,0,(3969+2.964*E70)*E37)</f>
        <v>0</v>
      </c>
      <c r="F99" s="8">
        <f>IF(E46=0,0,(4533+0.6903*E70)*E37)</f>
        <v>0</v>
      </c>
    </row>
    <row r="100" spans="1:6" ht="12">
      <c r="A100" s="1" t="s">
        <v>82</v>
      </c>
      <c r="B100" s="1">
        <v>0</v>
      </c>
      <c r="C100" s="1">
        <v>0</v>
      </c>
      <c r="D100" s="8">
        <f>IF(E44=0,0,IF(E37=1,E78*(3.8486+1.5734*E76),E78*(3.4217*EXP(E76*0.0593))))</f>
        <v>4332.151310137948</v>
      </c>
      <c r="E100" s="8">
        <f>IF(E44=0,0,IF(E37=1,E78*(3.8486+1.5734*E76),E78*(3.4217*EXP(E76*0.0593))))</f>
        <v>4332.151310137948</v>
      </c>
      <c r="F100" s="8">
        <v>0</v>
      </c>
    </row>
    <row r="101" spans="1:6" ht="12">
      <c r="A101" s="1" t="s">
        <v>83</v>
      </c>
      <c r="B101" s="1">
        <v>0</v>
      </c>
      <c r="C101" s="1">
        <v>0</v>
      </c>
      <c r="D101" s="8">
        <f>IF(E44=0,0,IF(E37=1,E79*(8.8486+1.2284*E77),E79*(2.5212*E77^0.5686)))</f>
        <v>5606.095395719844</v>
      </c>
      <c r="E101" s="8">
        <f>IF(E44=0,0,IF(E37=1,E79*(8.8486+1.2284*E77),E79*(2.5212*E77^0.5686)))</f>
        <v>5606.095395719844</v>
      </c>
      <c r="F101" s="8">
        <v>0</v>
      </c>
    </row>
    <row r="102" spans="1:6" ht="12">
      <c r="A102" s="1" t="s">
        <v>84</v>
      </c>
      <c r="B102" s="1">
        <f>IF(E48=0,0,E53)</f>
        <v>59057.14040591071</v>
      </c>
      <c r="C102" s="1">
        <f>IF(E50=0,0,E53)</f>
        <v>59057.14040591071</v>
      </c>
      <c r="D102" s="8">
        <f>IF(E44=0,0,E53)</f>
        <v>59057.14040591071</v>
      </c>
      <c r="E102" s="8">
        <f>IF(E44=0,0,E53)</f>
        <v>59057.14040591071</v>
      </c>
      <c r="F102" s="8">
        <f>IF(E46=0,0,E53)</f>
        <v>59057.14040591071</v>
      </c>
    </row>
    <row r="103" ht="12">
      <c r="A103" s="1" t="s">
        <v>76</v>
      </c>
    </row>
    <row r="104" spans="1:6" ht="12">
      <c r="A104" s="1" t="s">
        <v>85</v>
      </c>
      <c r="B104" s="8">
        <f>SUM(B95:B102)</f>
        <v>164601.38192337783</v>
      </c>
      <c r="C104" s="8">
        <f>SUM(C95:C102)</f>
        <v>162065.9300297482</v>
      </c>
      <c r="D104" s="8">
        <f>D95+D96+D98+D99+D100+D102</f>
        <v>141088.57235034768</v>
      </c>
      <c r="E104" s="8">
        <f>E95+E96+E98+E99+E100+E102</f>
        <v>118120.8637733681</v>
      </c>
      <c r="F104" s="8">
        <f>F95+F96+F98+F99+F100+F102</f>
        <v>97389.01167188786</v>
      </c>
    </row>
    <row r="105" spans="1:6" ht="12">
      <c r="A105" s="1" t="s">
        <v>86</v>
      </c>
      <c r="B105" s="8"/>
      <c r="C105" s="8"/>
      <c r="D105" s="8">
        <f>D95+D97+D98+D99+D101+D102</f>
        <v>142158.07900427488</v>
      </c>
      <c r="E105" s="8">
        <f>E95+E97+E98+E99+E101+E102</f>
        <v>119190.37042729529</v>
      </c>
      <c r="F105" s="8"/>
    </row>
    <row r="106" spans="1:6" ht="12">
      <c r="A106" s="1" t="s">
        <v>87</v>
      </c>
      <c r="B106" s="8">
        <f>1.18*B104</f>
        <v>194229.63066958584</v>
      </c>
      <c r="C106" s="8">
        <f>1.18*C104</f>
        <v>191237.79743510287</v>
      </c>
      <c r="D106" s="8">
        <f>1.18*MINA(D104,D105)</f>
        <v>166484.51537341025</v>
      </c>
      <c r="E106" s="8">
        <f>1.18*MINA(E104,E105)</f>
        <v>139382.61925257434</v>
      </c>
      <c r="F106" s="8">
        <f>1.18*MINA(F104,F105)</f>
        <v>114919.03377282766</v>
      </c>
    </row>
    <row r="107" spans="1:6" ht="12">
      <c r="A107" s="1" t="s">
        <v>88</v>
      </c>
      <c r="B107" s="8">
        <f>1.0517*1.091*E10/100*B106*Retrofit</f>
        <v>445634.5573239138</v>
      </c>
      <c r="C107" s="8">
        <f>($E$10/108.7)*C106*Retrofit</f>
        <v>351796.0360067883</v>
      </c>
      <c r="D107" s="8">
        <f>($E$10/108.7)*D106*Retrofit</f>
        <v>306260.5476030562</v>
      </c>
      <c r="E107" s="8">
        <f>($E$10/108.7)*E106*Retrofit</f>
        <v>256404.61038011604</v>
      </c>
      <c r="F107" s="8">
        <f>(F10/108.7)*F106</f>
        <v>0</v>
      </c>
    </row>
    <row r="108" spans="1:6" ht="12">
      <c r="A108" s="1" t="s">
        <v>89</v>
      </c>
      <c r="B108" s="8">
        <f>2.17*B107</f>
        <v>967026.9893928929</v>
      </c>
      <c r="C108" s="8">
        <f>2.17*C107</f>
        <v>763397.3981347306</v>
      </c>
      <c r="D108" s="8">
        <f>2.17*D107</f>
        <v>664585.3882986319</v>
      </c>
      <c r="E108" s="8">
        <f>2.17*E107</f>
        <v>556398.0045248518</v>
      </c>
      <c r="F108" s="8">
        <f>2.17*F107</f>
        <v>0</v>
      </c>
    </row>
    <row r="109" spans="1:6" ht="12">
      <c r="A109" s="1" t="s">
        <v>90</v>
      </c>
      <c r="B109" s="1">
        <f>B108/E14</f>
        <v>41.66792984290286</v>
      </c>
      <c r="C109" s="8">
        <f>C108/E14</f>
        <v>32.8937967364309</v>
      </c>
      <c r="D109" s="8">
        <f>D108/E14</f>
        <v>28.63611630077764</v>
      </c>
      <c r="E109" s="8">
        <f>E108/E14</f>
        <v>23.974463248257152</v>
      </c>
      <c r="F109" s="8">
        <f>F108/E14</f>
        <v>0</v>
      </c>
    </row>
    <row r="110" ht="12">
      <c r="A110" s="1" t="s">
        <v>91</v>
      </c>
    </row>
    <row r="112" ht="12">
      <c r="C112" s="1" t="s">
        <v>92</v>
      </c>
    </row>
    <row r="113" spans="1:4" ht="12">
      <c r="A113" s="1" t="s">
        <v>93</v>
      </c>
      <c r="D113" s="1">
        <v>8000</v>
      </c>
    </row>
    <row r="114" spans="1:4" ht="12">
      <c r="A114" s="1" t="s">
        <v>94</v>
      </c>
      <c r="D114" s="5">
        <v>15.06</v>
      </c>
    </row>
    <row r="115" spans="1:4" ht="12">
      <c r="A115" s="1" t="s">
        <v>95</v>
      </c>
      <c r="D115" s="9">
        <v>18.9</v>
      </c>
    </row>
    <row r="116" spans="1:4" ht="12">
      <c r="A116" s="1" t="s">
        <v>96</v>
      </c>
      <c r="D116" s="2">
        <f>IF(E14&lt;50000,1,3)</f>
        <v>1</v>
      </c>
    </row>
    <row r="117" spans="1:4" ht="12">
      <c r="A117" s="1" t="s">
        <v>97</v>
      </c>
      <c r="D117" s="2">
        <f>IF(E15&lt;50000,1,2)</f>
        <v>1</v>
      </c>
    </row>
    <row r="118" spans="1:4" ht="12">
      <c r="A118" s="1" t="s">
        <v>98</v>
      </c>
      <c r="D118" s="10">
        <v>0.0671</v>
      </c>
    </row>
    <row r="119" spans="1:4" ht="12">
      <c r="A119" s="1" t="s">
        <v>99</v>
      </c>
      <c r="D119" s="5">
        <v>0.25</v>
      </c>
    </row>
    <row r="120" spans="1:4" ht="12">
      <c r="A120" s="1" t="s">
        <v>100</v>
      </c>
      <c r="D120" s="1">
        <v>25</v>
      </c>
    </row>
    <row r="121" spans="1:4" ht="12">
      <c r="A121" s="1" t="s">
        <v>101</v>
      </c>
      <c r="D121" s="5">
        <v>0.07</v>
      </c>
    </row>
    <row r="122" spans="1:4" ht="12">
      <c r="A122" s="1" t="s">
        <v>102</v>
      </c>
      <c r="D122" s="1">
        <v>20</v>
      </c>
    </row>
    <row r="123" spans="1:4" ht="12">
      <c r="A123" s="1" t="s">
        <v>103</v>
      </c>
      <c r="D123" s="11">
        <f>D121*(1+D121)^D122/((1+D121)^D122-1)</f>
        <v>0.0943929257432557</v>
      </c>
    </row>
    <row r="124" spans="1:4" ht="12">
      <c r="A124" s="1" t="s">
        <v>104</v>
      </c>
      <c r="D124" s="1">
        <v>2</v>
      </c>
    </row>
    <row r="125" spans="1:4" ht="12">
      <c r="A125" s="1" t="s">
        <v>105</v>
      </c>
      <c r="B125" s="31"/>
      <c r="D125" s="11">
        <f>D121*(1+D121)^D124/((1+D121)^D124-1)</f>
        <v>0.5530917874396134</v>
      </c>
    </row>
    <row r="126" spans="1:4" ht="12">
      <c r="A126" s="1" t="s">
        <v>106</v>
      </c>
      <c r="D126" s="5">
        <v>0.04</v>
      </c>
    </row>
    <row r="128" ht="12">
      <c r="C128" s="1" t="s">
        <v>107</v>
      </c>
    </row>
    <row r="129" spans="1:6" ht="12">
      <c r="A129" s="1" t="s">
        <v>108</v>
      </c>
      <c r="B129" s="1" t="s">
        <v>109</v>
      </c>
      <c r="C129" s="1" t="s">
        <v>110</v>
      </c>
      <c r="D129" s="1" t="s">
        <v>111</v>
      </c>
      <c r="E129" s="1" t="s">
        <v>112</v>
      </c>
      <c r="F129" s="1" t="s">
        <v>75</v>
      </c>
    </row>
    <row r="130" ht="12">
      <c r="A130" s="1" t="s">
        <v>76</v>
      </c>
    </row>
    <row r="131" spans="1:6" ht="12">
      <c r="A131" s="1" t="s">
        <v>113</v>
      </c>
      <c r="B131" s="8">
        <f>IF(E48=0,0,(D113/8)*D116*D114)</f>
        <v>15060</v>
      </c>
      <c r="C131" s="8">
        <f>IF(E50=0,0,(D113/8)*D116*D114)</f>
        <v>15060</v>
      </c>
      <c r="D131" s="8">
        <f>IF(E44=0,0,(D113/8)*D116*D114)</f>
        <v>15060</v>
      </c>
      <c r="E131" s="8">
        <f>IF(E44=0,0,(D113/8)*D116*D114)</f>
        <v>15060</v>
      </c>
      <c r="F131" s="8">
        <f>IF(E46=0,0,(E113/8)*E116*E114)</f>
        <v>0</v>
      </c>
    </row>
    <row r="132" spans="1:6" ht="12">
      <c r="A132" s="1" t="s">
        <v>114</v>
      </c>
      <c r="B132" s="8">
        <f>0.15*B131</f>
        <v>2259</v>
      </c>
      <c r="C132" s="8">
        <f>0.15*C131</f>
        <v>2259</v>
      </c>
      <c r="D132" s="8">
        <f>0.15*D131</f>
        <v>2259</v>
      </c>
      <c r="E132" s="8">
        <f>0.15*E131</f>
        <v>2259</v>
      </c>
      <c r="F132" s="8">
        <f>0.15*F131</f>
        <v>0</v>
      </c>
    </row>
    <row r="133" spans="1:6" ht="12">
      <c r="A133" s="1" t="s">
        <v>115</v>
      </c>
      <c r="B133" s="8">
        <f>IF(E48=0,0,D115*D117*(D113/8))</f>
        <v>18900</v>
      </c>
      <c r="C133" s="8">
        <f>IF(E50=0,0,D115*D117*(D113/8))</f>
        <v>18900</v>
      </c>
      <c r="D133" s="8">
        <f>IF(E44=0,0,D115*D117*(D113/8))</f>
        <v>18900</v>
      </c>
      <c r="E133" s="8">
        <f>IF(E44=0,0,D115*D117*(D113/8))</f>
        <v>18900</v>
      </c>
      <c r="F133" s="8">
        <f>IF(E46=0,0,E115*E117*(E113/8))</f>
        <v>0</v>
      </c>
    </row>
    <row r="134" spans="1:6" ht="12">
      <c r="A134" s="1" t="s">
        <v>116</v>
      </c>
      <c r="B134" s="8">
        <f>B133</f>
        <v>18900</v>
      </c>
      <c r="C134" s="8">
        <f>C133</f>
        <v>18900</v>
      </c>
      <c r="D134" s="8">
        <f>D133</f>
        <v>18900</v>
      </c>
      <c r="E134" s="8">
        <f>E133</f>
        <v>18900</v>
      </c>
      <c r="F134" s="8">
        <f>F133</f>
        <v>0</v>
      </c>
    </row>
    <row r="135" spans="1:6" ht="12">
      <c r="A135" s="1" t="s">
        <v>117</v>
      </c>
      <c r="B135" s="8">
        <f>IF(E48=0,0,(0.000181*E14*(E83+E88)*D113+0.053*E68*(D113/8760))*D118)</f>
        <v>15793.769061033398</v>
      </c>
      <c r="C135" s="8">
        <f>IF(E50=0,0,0.000181*D113*(E35*E69*E59*1.5*6.5+E14*(E84+E87+E88)*D118))</f>
        <v>71664.06530641794</v>
      </c>
      <c r="D135" s="8">
        <f>IF(E44=0,0,0.000181*E14*(E85+E87+E88)*D113*D118)</f>
        <v>18180.42921857028</v>
      </c>
      <c r="E135" s="8">
        <f>IF(E44=0,0,0.000181*E14*(E85+E87+E88)*D113*D118)</f>
        <v>18180.42921857028</v>
      </c>
      <c r="F135" s="8">
        <f>IF(E46=0,0,0.000181*D113*E14*(E86+E87+E88)*D118)</f>
        <v>18815.220283142433</v>
      </c>
    </row>
    <row r="136" spans="1:6" ht="12">
      <c r="A136" s="1" t="s">
        <v>118</v>
      </c>
      <c r="B136" s="8">
        <v>0</v>
      </c>
      <c r="C136" s="1">
        <v>0</v>
      </c>
      <c r="D136" s="8">
        <f>IF(E44=0,0,E14*(2/1000)*(D119/1000)*D113*60)</f>
        <v>5569.9066003353355</v>
      </c>
      <c r="E136" s="8">
        <f>IF(E44=0,0,E14*(2/1000)*(D119/1000)*D113*60)</f>
        <v>5569.9066003353355</v>
      </c>
      <c r="F136" s="8">
        <f>IF(E46=0,0,E14*(2/1000)*(D119/1000)*D113*60)</f>
        <v>5569.9066003353355</v>
      </c>
    </row>
    <row r="137" spans="1:6" ht="12">
      <c r="A137" s="1" t="s">
        <v>119</v>
      </c>
      <c r="B137" s="1">
        <f>IF(E48=0,0,D125*(D115*1.6*E75*15/60+1.08*E68*AVERAGEA(E48,E49)))*E10/100</f>
        <v>13232.78408767248</v>
      </c>
      <c r="C137" s="8">
        <f>IF(E50=0,0,D125*(D115*1.6*E73*15/60+1.08*E69*MINA(E50,E51)))*E10/100</f>
        <v>5949.99230032654</v>
      </c>
      <c r="D137" s="8">
        <f>IF(E44=0,0,IF(D104/D105&lt;1,D125*(D115*1.6*E78*10/60+1.08*(E10/100)*(D96+D100)),D125*(D115*1.6*E79*10/60+1.08*(E10/100)*(D97+D101))))</f>
        <v>8343.917130120886</v>
      </c>
      <c r="E137" s="8">
        <f>IF(E44=0,0,IF(E104/E105&lt;1,D125*(D115*1.6*E78*10/60+1.08*(E96+E100)),D125*(D115*1.6*E79*10/60+1.08*(E97+E101))))*E10/100</f>
        <v>9016.137997076881</v>
      </c>
      <c r="F137" s="8">
        <f>IF(E46=0,0,D125*(D115*1.6*E81*10/60+1.08*F96))*E10/100</f>
        <v>23658.902684764707</v>
      </c>
    </row>
    <row r="138" spans="1:6" ht="12">
      <c r="A138" s="1" t="s">
        <v>120</v>
      </c>
      <c r="B138" s="1">
        <f>IF(E48=0,0,E18*(1/7000)*E14*60*D113*(1/2000)*D120)</f>
        <v>1989.2523572626199</v>
      </c>
      <c r="C138" s="8">
        <f>IF(E50=0,0,E18*(1/7000)*E14*60*D113*(1/2000)*D120)</f>
        <v>1989.2523572626199</v>
      </c>
      <c r="D138" s="8">
        <f>IF(E44=0,0,E18*(1/7000)*E14*60*D113*(1/2000)*D120)</f>
        <v>1989.2523572626199</v>
      </c>
      <c r="E138" s="8">
        <f>IF(E44=0,0,E18*(1/7000)*E14*60*D113*(1/2000)*D120)</f>
        <v>1989.2523572626199</v>
      </c>
      <c r="F138" s="8">
        <f>IF(E46=0,0,E18*(1/7000)*E14*60*D113*(1/2000)*D120)</f>
        <v>1989.2523572626199</v>
      </c>
    </row>
    <row r="139" spans="1:6" ht="12">
      <c r="A139" s="1" t="s">
        <v>121</v>
      </c>
      <c r="B139" s="8">
        <f>0.6*SUM(B131:B134)</f>
        <v>33071.4</v>
      </c>
      <c r="C139" s="8">
        <f>0.6*SUM(C131:C134)</f>
        <v>33071.4</v>
      </c>
      <c r="D139" s="8">
        <f>0.6*SUM(D131:D134)</f>
        <v>33071.4</v>
      </c>
      <c r="E139" s="8">
        <f>0.6*SUM(E131:E134)</f>
        <v>33071.4</v>
      </c>
      <c r="F139" s="8">
        <f>0.6*SUM(F131:F134)</f>
        <v>0</v>
      </c>
    </row>
    <row r="140" spans="1:6" ht="12">
      <c r="A140" s="1" t="s">
        <v>122</v>
      </c>
      <c r="B140" s="1">
        <f>B108*D126</f>
        <v>38681.07957571572</v>
      </c>
      <c r="C140" s="8">
        <f>C108*D126</f>
        <v>30535.895925389224</v>
      </c>
      <c r="D140" s="8">
        <f>D108*D126</f>
        <v>26583.415531945277</v>
      </c>
      <c r="E140" s="8">
        <f>E108*D126</f>
        <v>22255.92018099407</v>
      </c>
      <c r="F140" s="8">
        <f>F108*D126</f>
        <v>0</v>
      </c>
    </row>
    <row r="141" spans="1:6" ht="12">
      <c r="A141" s="1" t="s">
        <v>123</v>
      </c>
      <c r="B141" s="1">
        <f>IF(E48=0,0,+D123*(B108-B137/D125))</f>
        <v>89022.14528875105</v>
      </c>
      <c r="C141" s="8">
        <f>IF(E50=0,0,D123*(C108-C137/D125))</f>
        <v>71043.86368723756</v>
      </c>
      <c r="D141" s="8">
        <f>IF(E44=0,0,D123*(D108-D137/D125))</f>
        <v>61308.151894730705</v>
      </c>
      <c r="E141" s="8">
        <f>IF(E44=0,0,D123*(E108-E137/D125))</f>
        <v>50981.30422599831</v>
      </c>
      <c r="F141" s="8">
        <f>IF(E46=0,0,D123*(F108-F137/D125))</f>
        <v>-4037.725916394541</v>
      </c>
    </row>
    <row r="142" spans="1:6" ht="12">
      <c r="A142" s="1" t="s">
        <v>76</v>
      </c>
      <c r="E142" s="12" t="s">
        <v>124</v>
      </c>
      <c r="F142" s="12"/>
    </row>
    <row r="143" spans="1:6" ht="12">
      <c r="A143" s="1" t="s">
        <v>125</v>
      </c>
      <c r="B143" s="8">
        <f>SUM(B131:B141)</f>
        <v>246909.4303704353</v>
      </c>
      <c r="C143" s="8">
        <f>SUM(C131:C141)</f>
        <v>269373.4695766339</v>
      </c>
      <c r="D143" s="8">
        <f>SUM(D131:D141)</f>
        <v>210165.47273296508</v>
      </c>
      <c r="E143" s="8">
        <f>SUM(E131:E141)</f>
        <v>196183.3505802375</v>
      </c>
      <c r="F143" s="8">
        <f>SUM(F131:F141)</f>
        <v>45995.55600911056</v>
      </c>
    </row>
    <row r="144" spans="1:6" ht="12">
      <c r="A144" s="1" t="s">
        <v>126</v>
      </c>
      <c r="B144" s="1">
        <f>B143/(E18*(1/7000)*E14*60*D113*(1/2000))</f>
        <v>3103.043078835453</v>
      </c>
      <c r="C144" s="3">
        <f>C143/(E18*(1/7000)*E14*60*D113*(1/2000))</f>
        <v>3385.360693342531</v>
      </c>
      <c r="D144" s="3">
        <f>D143/(E18*(1/7000)*E14*60*D113*(1/2000))</f>
        <v>2641.262079766624</v>
      </c>
      <c r="E144" s="3">
        <f>E143/(E18*(1/7000)*E14*60*D113*(1/2000))</f>
        <v>2465.5412605643764</v>
      </c>
      <c r="F144" s="3">
        <f>F143/(E18*(1/7000)*E14*60*D113*(1/2000))</f>
        <v>578.0507918111047</v>
      </c>
    </row>
    <row r="145" spans="1:6" ht="12">
      <c r="A145" s="1" t="s">
        <v>236</v>
      </c>
      <c r="B145" s="37">
        <f>(SUM(B131:B136)+SUM(B138:B140))*($E$10/100)+B137</f>
        <v>206068.48688157366</v>
      </c>
      <c r="C145" s="37">
        <f>(SUM(C131:C136)+SUM(C138:C140))*($E$10/100)+C137</f>
        <v>262406.9828173595</v>
      </c>
      <c r="D145" s="37">
        <f>(SUM(D131:D136)+SUM(D138:D140))*($E$10/100)+D137</f>
        <v>195659.21509750953</v>
      </c>
      <c r="E145" s="37">
        <f>(SUM(E131:E136)+SUM(E138:E140))*($E$10/100)+E137</f>
        <v>190562.54801695145</v>
      </c>
      <c r="F145" s="37">
        <f>(SUM(F131:F136)+SUM(F138:F140))*($E$10/100)+F137</f>
        <v>58818.001929464954</v>
      </c>
    </row>
    <row r="147" ht="12">
      <c r="C147" s="1" t="s">
        <v>127</v>
      </c>
    </row>
    <row r="149" spans="1:6" ht="12">
      <c r="A149" s="1" t="s">
        <v>108</v>
      </c>
      <c r="B149" s="1" t="s">
        <v>109</v>
      </c>
      <c r="C149" s="1" t="s">
        <v>110</v>
      </c>
      <c r="D149" s="1" t="s">
        <v>73</v>
      </c>
      <c r="E149" s="1" t="s">
        <v>128</v>
      </c>
      <c r="F149" s="1" t="s">
        <v>75</v>
      </c>
    </row>
    <row r="150" ht="12">
      <c r="A150" s="1" t="s">
        <v>76</v>
      </c>
    </row>
    <row r="151" spans="1:6" ht="12">
      <c r="A151" s="1" t="s">
        <v>113</v>
      </c>
      <c r="B151" s="12">
        <f>B131/(B143+0.00001)</f>
        <v>0.060994025124093965</v>
      </c>
      <c r="C151" s="12">
        <f>C131/C143</f>
        <v>0.055907510207554384</v>
      </c>
      <c r="D151" s="12">
        <f>D131/D143</f>
        <v>0.07165782183039714</v>
      </c>
      <c r="E151" s="12">
        <f>E131/E143</f>
        <v>0.07676492401347063</v>
      </c>
      <c r="F151" s="12">
        <f>F131/(F143+0.00000001)</f>
        <v>0</v>
      </c>
    </row>
    <row r="152" spans="1:6" ht="12">
      <c r="A152" s="1" t="s">
        <v>114</v>
      </c>
      <c r="B152" s="12">
        <f>B132/(B143+0.000001)</f>
        <v>0.009149103768947585</v>
      </c>
      <c r="C152" s="12">
        <f>C132/C143</f>
        <v>0.008386126531133157</v>
      </c>
      <c r="D152" s="12">
        <f>D132/D143</f>
        <v>0.010748673274559572</v>
      </c>
      <c r="E152" s="12">
        <f>E132/E143</f>
        <v>0.011514738602020595</v>
      </c>
      <c r="F152" s="12">
        <f>F132/(F143+0.00000001)</f>
        <v>0</v>
      </c>
    </row>
    <row r="153" spans="1:6" ht="12">
      <c r="A153" s="1" t="s">
        <v>115</v>
      </c>
      <c r="B153" s="12">
        <f>B133/(B143+0.000001)</f>
        <v>0.07654628651310728</v>
      </c>
      <c r="C153" s="12">
        <f>C133/C143</f>
        <v>0.07016281161505829</v>
      </c>
      <c r="D153" s="12">
        <f>D133/D143</f>
        <v>0.08992913895049841</v>
      </c>
      <c r="E153" s="12">
        <f>E133/E143</f>
        <v>0.09633845045515238</v>
      </c>
      <c r="F153" s="12">
        <f>F133/(F143+0.00000001)</f>
        <v>0</v>
      </c>
    </row>
    <row r="154" spans="1:6" ht="12">
      <c r="A154" s="1" t="s">
        <v>116</v>
      </c>
      <c r="B154" s="12">
        <f>B134/(B143+0.000001)</f>
        <v>0.07654628651310728</v>
      </c>
      <c r="C154" s="12">
        <f>C134/C143</f>
        <v>0.07016281161505829</v>
      </c>
      <c r="D154" s="12">
        <f>D134/D143</f>
        <v>0.08992913895049841</v>
      </c>
      <c r="E154" s="12">
        <f>E134/E143</f>
        <v>0.09633845045515238</v>
      </c>
      <c r="F154" s="12">
        <f>F134/(F143+0.00000001)</f>
        <v>0</v>
      </c>
    </row>
    <row r="155" spans="1:6" ht="12">
      <c r="A155" s="1" t="s">
        <v>121</v>
      </c>
      <c r="B155" s="12">
        <f>B139/(B143+0.000001)</f>
        <v>0.13394142115288762</v>
      </c>
      <c r="C155" s="12">
        <f>C139/C143</f>
        <v>0.12277155598128249</v>
      </c>
      <c r="D155" s="12">
        <f>D139/D143</f>
        <v>0.1573588638035721</v>
      </c>
      <c r="E155" s="12">
        <f>E139/E143</f>
        <v>0.1685739381154776</v>
      </c>
      <c r="F155" s="12">
        <f>F139/(F143+0.00000001)</f>
        <v>0</v>
      </c>
    </row>
    <row r="156" spans="1:6" ht="12">
      <c r="A156" s="1" t="s">
        <v>76</v>
      </c>
      <c r="B156" s="1"/>
      <c r="C156" s="1"/>
      <c r="D156" s="1"/>
      <c r="E156" s="1"/>
      <c r="F156" s="1"/>
    </row>
    <row r="157" spans="1:6" ht="12">
      <c r="A157" s="1" t="s">
        <v>129</v>
      </c>
      <c r="B157" s="12">
        <f>SUM(B151:B155)</f>
        <v>0.3571771230721438</v>
      </c>
      <c r="C157" s="12">
        <f>SUM(C151:C155)</f>
        <v>0.32739081595008657</v>
      </c>
      <c r="D157" s="12">
        <f>SUM(D151:D155)</f>
        <v>0.41962363680952564</v>
      </c>
      <c r="E157" s="12">
        <f>SUM(E151:E155)</f>
        <v>0.4495305016412736</v>
      </c>
      <c r="F157" s="12">
        <f>SUM(F151:F155)</f>
        <v>0</v>
      </c>
    </row>
    <row r="158" spans="1:6" ht="12">
      <c r="A158" s="1" t="s">
        <v>118</v>
      </c>
      <c r="B158" s="12">
        <v>0</v>
      </c>
      <c r="C158" s="12">
        <v>0</v>
      </c>
      <c r="D158" s="12">
        <f>D136/D143</f>
        <v>0.02650248172501876</v>
      </c>
      <c r="E158" s="12">
        <f>E136/E143</f>
        <v>0.028391331801917035</v>
      </c>
      <c r="F158" s="12">
        <f>F136/(F143+0.00000001)</f>
        <v>0.1210966250572309</v>
      </c>
    </row>
    <row r="159" spans="1:6" ht="12">
      <c r="A159" s="1" t="s">
        <v>119</v>
      </c>
      <c r="B159" s="12">
        <f>B137/(B143+0.00001)</f>
        <v>0.05359367630180652</v>
      </c>
      <c r="C159" s="12">
        <f>C137/C143</f>
        <v>0.02208826396184436</v>
      </c>
      <c r="D159" s="12">
        <f>D137/D143</f>
        <v>0.039701655184448945</v>
      </c>
      <c r="E159" s="12">
        <f>E137/E143</f>
        <v>0.045957712366571854</v>
      </c>
      <c r="F159" s="12">
        <f>F137/(F143+0.00000001)</f>
        <v>0.5143736642747254</v>
      </c>
    </row>
    <row r="160" spans="1:6" ht="12">
      <c r="A160" s="1" t="s">
        <v>120</v>
      </c>
      <c r="B160" s="12">
        <f>B138/(B143+0.00001)</f>
        <v>0.008056607453986678</v>
      </c>
      <c r="C160" s="12">
        <f>C138/C143</f>
        <v>0.007384737481345388</v>
      </c>
      <c r="D160" s="12">
        <f>D138/D143</f>
        <v>0.009465172044649557</v>
      </c>
      <c r="E160" s="12">
        <f>E138/E143</f>
        <v>0.010139761357827513</v>
      </c>
      <c r="F160" s="12">
        <f>F138/(F143+0.00000001)</f>
        <v>0.04324879466329675</v>
      </c>
    </row>
    <row r="161" spans="1:6" ht="12">
      <c r="A161" s="1" t="s">
        <v>117</v>
      </c>
      <c r="B161" s="12">
        <f>B135/(B143+0.000001)</f>
        <v>0.06396583977077841</v>
      </c>
      <c r="C161" s="12">
        <f>C135/C143</f>
        <v>0.26603980495573737</v>
      </c>
      <c r="D161" s="12">
        <f>D135/D143</f>
        <v>0.0865053092791803</v>
      </c>
      <c r="E161" s="12">
        <f>E135/E143</f>
        <v>0.0926706020913565</v>
      </c>
      <c r="F161" s="12">
        <f>F135/(F143+0.00000001)</f>
        <v>0.4090660471505448</v>
      </c>
    </row>
    <row r="162" spans="1:6" ht="12">
      <c r="A162" s="1" t="s">
        <v>122</v>
      </c>
      <c r="B162" s="12">
        <f>B140/(B143+0.0000001)</f>
        <v>0.15666100528305982</v>
      </c>
      <c r="C162" s="12">
        <f>C140/C143</f>
        <v>0.11335895837619632</v>
      </c>
      <c r="D162" s="12">
        <f>D140/D143</f>
        <v>0.12648802482281185</v>
      </c>
      <c r="E162" s="12">
        <f>E140/E143</f>
        <v>0.11344449014235573</v>
      </c>
      <c r="F162" s="12">
        <f>F140/(F143+0.00000001)</f>
        <v>0</v>
      </c>
    </row>
    <row r="163" spans="1:6" ht="12">
      <c r="A163" s="1" t="s">
        <v>123</v>
      </c>
      <c r="B163" s="12">
        <f>B141/(B143+0.000001)</f>
        <v>0.36054574811027523</v>
      </c>
      <c r="C163" s="12">
        <f>C141/C143</f>
        <v>0.26373741927478994</v>
      </c>
      <c r="D163" s="12">
        <f>D141/D143</f>
        <v>0.29171372013436503</v>
      </c>
      <c r="E163" s="12">
        <f>E141/E143</f>
        <v>0.25986560059869784</v>
      </c>
      <c r="F163" s="12">
        <f>F141/(F143+0.00000001)</f>
        <v>-0.08778513114601531</v>
      </c>
    </row>
    <row r="164" spans="1:6" ht="12">
      <c r="A164" s="1" t="s">
        <v>76</v>
      </c>
      <c r="B164" s="1"/>
      <c r="C164" s="1"/>
      <c r="D164" s="1"/>
      <c r="E164" s="1"/>
      <c r="F164" s="1"/>
    </row>
    <row r="165" spans="1:6" ht="12">
      <c r="A165" s="1" t="s">
        <v>130</v>
      </c>
      <c r="B165" s="12">
        <f>B162+B163</f>
        <v>0.5172067533933351</v>
      </c>
      <c r="C165" s="12">
        <f>C162+C163</f>
        <v>0.37709637765098625</v>
      </c>
      <c r="D165" s="12">
        <f>D162+D163</f>
        <v>0.4182017449571769</v>
      </c>
      <c r="E165" s="12">
        <f>E162+E163</f>
        <v>0.3733100907410536</v>
      </c>
      <c r="F165" s="12">
        <f>F162+F163</f>
        <v>-0.08778513114601531</v>
      </c>
    </row>
    <row r="166" spans="1:6" ht="12">
      <c r="A166" s="1" t="s">
        <v>131</v>
      </c>
      <c r="E166" s="12" t="s">
        <v>124</v>
      </c>
      <c r="F166" s="12"/>
    </row>
    <row r="167" spans="1:6" ht="12">
      <c r="A167" s="1" t="s">
        <v>132</v>
      </c>
      <c r="B167" s="12">
        <f>SUM(B157:B163)</f>
        <v>0.9999999999920504</v>
      </c>
      <c r="C167" s="12">
        <f>SUM(C157:C163)</f>
        <v>1</v>
      </c>
      <c r="D167" s="12">
        <f>SUM(D157:D163)</f>
        <v>1</v>
      </c>
      <c r="E167" s="12">
        <f>SUM(E157:E163)</f>
        <v>1</v>
      </c>
      <c r="F167" s="12">
        <f>SUM(F157:F163)</f>
        <v>0.9999999999997827</v>
      </c>
    </row>
    <row r="168" ht="12">
      <c r="A168" s="1" t="s">
        <v>91</v>
      </c>
    </row>
    <row r="170" ht="12">
      <c r="B170" s="1" t="s">
        <v>133</v>
      </c>
    </row>
    <row r="172" spans="2:6" ht="12">
      <c r="B172" s="1" t="s">
        <v>134</v>
      </c>
      <c r="E172" s="1" t="s">
        <v>135</v>
      </c>
      <c r="F172" s="1"/>
    </row>
    <row r="173" ht="12">
      <c r="A173" s="1" t="s">
        <v>31</v>
      </c>
    </row>
    <row r="174" spans="2:6" ht="12">
      <c r="B174" s="1">
        <v>1</v>
      </c>
      <c r="E174" s="12">
        <v>2</v>
      </c>
      <c r="F174" s="12"/>
    </row>
    <row r="175" spans="2:6" ht="12">
      <c r="B175" s="1">
        <v>4001</v>
      </c>
      <c r="E175" s="12">
        <v>1.5</v>
      </c>
      <c r="F175" s="12"/>
    </row>
    <row r="176" spans="2:6" ht="12">
      <c r="B176" s="1">
        <v>12001</v>
      </c>
      <c r="E176" s="12">
        <v>1.25</v>
      </c>
      <c r="F176" s="12"/>
    </row>
    <row r="177" spans="2:6" ht="12">
      <c r="B177" s="1">
        <v>24001</v>
      </c>
      <c r="E177" s="12">
        <v>1.17</v>
      </c>
      <c r="F177" s="12"/>
    </row>
    <row r="178" spans="2:6" ht="12">
      <c r="B178" s="1">
        <v>36001</v>
      </c>
      <c r="E178" s="12">
        <v>1.125</v>
      </c>
      <c r="F178" s="12"/>
    </row>
    <row r="179" spans="2:6" ht="12">
      <c r="B179" s="1">
        <v>48001</v>
      </c>
      <c r="E179" s="12">
        <v>1.11</v>
      </c>
      <c r="F179" s="12"/>
    </row>
    <row r="180" spans="2:6" ht="12">
      <c r="B180" s="1">
        <v>60001</v>
      </c>
      <c r="E180" s="12">
        <v>1.1</v>
      </c>
      <c r="F180" s="12"/>
    </row>
    <row r="181" spans="2:6" ht="12">
      <c r="B181" s="1">
        <v>72001</v>
      </c>
      <c r="E181" s="12">
        <v>1.09</v>
      </c>
      <c r="F181" s="12"/>
    </row>
    <row r="182" spans="2:6" ht="12">
      <c r="B182" s="1">
        <v>84001</v>
      </c>
      <c r="E182" s="12">
        <v>1.08</v>
      </c>
      <c r="F182" s="12"/>
    </row>
    <row r="183" spans="2:6" ht="12">
      <c r="B183" s="1">
        <v>96001</v>
      </c>
      <c r="E183" s="12">
        <v>1.07</v>
      </c>
      <c r="F183" s="12"/>
    </row>
    <row r="184" spans="2:6" ht="12">
      <c r="B184" s="1">
        <v>108001</v>
      </c>
      <c r="E184" s="12">
        <v>1.06</v>
      </c>
      <c r="F184" s="12"/>
    </row>
    <row r="185" spans="2:6" ht="12">
      <c r="B185" s="1">
        <v>132001</v>
      </c>
      <c r="E185" s="12">
        <v>1.05</v>
      </c>
      <c r="F185" s="12"/>
    </row>
    <row r="186" spans="2:6" ht="12">
      <c r="B186" s="1">
        <v>180001</v>
      </c>
      <c r="E186" s="12">
        <v>1.04</v>
      </c>
      <c r="F186" s="12"/>
    </row>
    <row r="190" ht="12">
      <c r="A190" s="1" t="s">
        <v>136</v>
      </c>
    </row>
    <row r="191" ht="12">
      <c r="A191" s="1" t="s">
        <v>137</v>
      </c>
    </row>
    <row r="192" ht="12">
      <c r="A192" t="s">
        <v>138</v>
      </c>
    </row>
    <row r="194" ht="12">
      <c r="A194" s="1" t="s">
        <v>139</v>
      </c>
    </row>
    <row r="196" ht="12">
      <c r="A196" s="1" t="s">
        <v>140</v>
      </c>
    </row>
    <row r="197" ht="12">
      <c r="A197" s="1" t="s">
        <v>141</v>
      </c>
    </row>
    <row r="198" ht="12">
      <c r="A198" s="1" t="s">
        <v>142</v>
      </c>
    </row>
    <row r="199" ht="12">
      <c r="A199" s="1" t="s">
        <v>143</v>
      </c>
    </row>
    <row r="201" ht="12">
      <c r="A201" s="1" t="s">
        <v>144</v>
      </c>
    </row>
    <row r="202" ht="12">
      <c r="A202" s="1" t="s">
        <v>145</v>
      </c>
    </row>
    <row r="203" ht="12">
      <c r="A203" s="1" t="s">
        <v>146</v>
      </c>
    </row>
    <row r="204" ht="12">
      <c r="A204" s="1"/>
    </row>
    <row r="205" ht="12">
      <c r="A205" s="1" t="s">
        <v>147</v>
      </c>
    </row>
    <row r="206" ht="12">
      <c r="A206" s="1"/>
    </row>
    <row r="207" ht="12">
      <c r="A207" s="1" t="s">
        <v>148</v>
      </c>
    </row>
    <row r="209" ht="12">
      <c r="A209" s="1" t="s">
        <v>149</v>
      </c>
    </row>
    <row r="210" ht="12">
      <c r="A210" s="1" t="s">
        <v>150</v>
      </c>
    </row>
    <row r="211" ht="12">
      <c r="A211" s="1" t="s">
        <v>151</v>
      </c>
    </row>
    <row r="214" ht="12">
      <c r="C214" t="s">
        <v>152</v>
      </c>
    </row>
    <row r="215" ht="12">
      <c r="C215" t="s">
        <v>153</v>
      </c>
    </row>
    <row r="216" spans="1:13" ht="12">
      <c r="A216" t="s">
        <v>154</v>
      </c>
      <c r="I216" t="s">
        <v>155</v>
      </c>
      <c r="L216" t="s">
        <v>156</v>
      </c>
      <c r="M216" s="7"/>
    </row>
    <row r="217" spans="1:13" ht="12">
      <c r="A217" s="17" t="s">
        <v>28</v>
      </c>
      <c r="B217" s="17" t="s">
        <v>157</v>
      </c>
      <c r="C217" s="17" t="s">
        <v>158</v>
      </c>
      <c r="D217" s="17" t="s">
        <v>159</v>
      </c>
      <c r="E217" s="17" t="s">
        <v>160</v>
      </c>
      <c r="F217" s="17" t="s">
        <v>161</v>
      </c>
      <c r="G217" s="17" t="s">
        <v>162</v>
      </c>
      <c r="H217" s="17" t="s">
        <v>163</v>
      </c>
      <c r="I217" s="17" t="s">
        <v>164</v>
      </c>
      <c r="J217" s="17" t="s">
        <v>165</v>
      </c>
      <c r="K217" s="17" t="s">
        <v>166</v>
      </c>
      <c r="L217" s="17" t="s">
        <v>167</v>
      </c>
      <c r="M217" s="7"/>
    </row>
    <row r="218" spans="1:13" ht="12">
      <c r="A218" s="15" t="s">
        <v>168</v>
      </c>
      <c r="J218" s="15" t="s">
        <v>169</v>
      </c>
      <c r="M218" s="7"/>
    </row>
    <row r="219" spans="1:13" ht="12">
      <c r="A219" t="s">
        <v>170</v>
      </c>
      <c r="B219" s="15" t="s">
        <v>171</v>
      </c>
      <c r="C219" s="7">
        <v>0.75</v>
      </c>
      <c r="D219" s="7">
        <v>0.81</v>
      </c>
      <c r="E219" s="7">
        <v>2.17</v>
      </c>
      <c r="F219" s="7">
        <v>1.24</v>
      </c>
      <c r="G219" s="7">
        <v>1.92</v>
      </c>
      <c r="H219" s="18" t="s">
        <v>172</v>
      </c>
      <c r="I219" s="7">
        <v>12.21</v>
      </c>
      <c r="J219" s="7">
        <v>4.06</v>
      </c>
      <c r="K219" s="7">
        <v>2.87</v>
      </c>
      <c r="L219" s="7">
        <v>20.66</v>
      </c>
      <c r="M219" s="7"/>
    </row>
    <row r="220" spans="2:13" ht="12">
      <c r="B220" s="15" t="s">
        <v>34</v>
      </c>
      <c r="C220" s="7">
        <v>0.67</v>
      </c>
      <c r="D220" s="7">
        <v>0.72</v>
      </c>
      <c r="E220" s="7">
        <v>1.95</v>
      </c>
      <c r="F220" s="7">
        <v>1.15</v>
      </c>
      <c r="G220" s="7">
        <v>1.6</v>
      </c>
      <c r="H220" s="18" t="s">
        <v>172</v>
      </c>
      <c r="I220" s="7">
        <v>9.7</v>
      </c>
      <c r="J220" s="7">
        <v>3.85</v>
      </c>
      <c r="K220" s="7">
        <v>2.62</v>
      </c>
      <c r="L220" s="18" t="s">
        <v>172</v>
      </c>
      <c r="M220" s="7"/>
    </row>
    <row r="221" spans="1:13" ht="12">
      <c r="A221" t="s">
        <v>173</v>
      </c>
      <c r="B221" s="15" t="s">
        <v>171</v>
      </c>
      <c r="C221" s="7">
        <v>0.53</v>
      </c>
      <c r="D221" s="7">
        <v>0.53</v>
      </c>
      <c r="E221" s="7">
        <v>1.84</v>
      </c>
      <c r="F221" s="7">
        <v>0.95</v>
      </c>
      <c r="G221" s="7">
        <v>1.69</v>
      </c>
      <c r="H221" s="18" t="s">
        <v>172</v>
      </c>
      <c r="I221" s="7">
        <v>12.92</v>
      </c>
      <c r="J221" s="7">
        <v>3.6</v>
      </c>
      <c r="K221" s="7">
        <v>2.42</v>
      </c>
      <c r="L221" s="7">
        <v>16.67</v>
      </c>
      <c r="M221" s="7"/>
    </row>
    <row r="222" spans="2:13" ht="12">
      <c r="B222" s="15" t="s">
        <v>34</v>
      </c>
      <c r="C222" s="7">
        <v>0.5</v>
      </c>
      <c r="D222" s="7">
        <v>0.6</v>
      </c>
      <c r="E222" s="7">
        <v>1.77</v>
      </c>
      <c r="F222" s="7">
        <v>0.98</v>
      </c>
      <c r="G222" s="7">
        <v>1.55</v>
      </c>
      <c r="H222" s="18" t="s">
        <v>172</v>
      </c>
      <c r="I222" s="7">
        <v>9</v>
      </c>
      <c r="J222" s="7">
        <v>3.51</v>
      </c>
      <c r="K222" s="7">
        <v>2.3</v>
      </c>
      <c r="L222" s="18" t="s">
        <v>172</v>
      </c>
      <c r="M222" s="7"/>
    </row>
    <row r="223" spans="1:13" ht="12">
      <c r="A223" t="s">
        <v>174</v>
      </c>
      <c r="B223">
        <v>4.875</v>
      </c>
      <c r="C223" s="7">
        <v>2.95</v>
      </c>
      <c r="D223" s="18" t="s">
        <v>172</v>
      </c>
      <c r="E223" s="7">
        <v>6.12</v>
      </c>
      <c r="F223" s="18" t="s">
        <v>172</v>
      </c>
      <c r="G223" s="18" t="s">
        <v>172</v>
      </c>
      <c r="H223" s="18" t="s">
        <v>172</v>
      </c>
      <c r="I223" s="18" t="s">
        <v>172</v>
      </c>
      <c r="J223" s="18" t="s">
        <v>172</v>
      </c>
      <c r="K223" s="18" t="s">
        <v>172</v>
      </c>
      <c r="L223" s="18" t="s">
        <v>172</v>
      </c>
      <c r="M223" s="7"/>
    </row>
    <row r="224" spans="2:13" ht="12">
      <c r="B224">
        <v>6.125</v>
      </c>
      <c r="C224" s="7">
        <v>1.53</v>
      </c>
      <c r="D224" s="18" t="s">
        <v>172</v>
      </c>
      <c r="E224" s="7">
        <v>4.67</v>
      </c>
      <c r="F224" s="18" t="s">
        <v>172</v>
      </c>
      <c r="G224" s="18" t="s">
        <v>172</v>
      </c>
      <c r="H224" s="18" t="s">
        <v>172</v>
      </c>
      <c r="I224" s="18" t="s">
        <v>172</v>
      </c>
      <c r="J224" s="18" t="s">
        <v>172</v>
      </c>
      <c r="K224" s="18" t="s">
        <v>172</v>
      </c>
      <c r="L224" s="18" t="s">
        <v>172</v>
      </c>
      <c r="M224" s="7"/>
    </row>
    <row r="225" spans="1:13" ht="12">
      <c r="A225" t="s">
        <v>175</v>
      </c>
      <c r="B225">
        <v>5</v>
      </c>
      <c r="C225" s="7">
        <v>0.63</v>
      </c>
      <c r="D225" s="7">
        <v>0.88</v>
      </c>
      <c r="E225" s="7">
        <v>1.61</v>
      </c>
      <c r="F225" s="7">
        <v>1.03</v>
      </c>
      <c r="G225" s="18" t="s">
        <v>172</v>
      </c>
      <c r="H225" s="7">
        <v>0.7</v>
      </c>
      <c r="I225" s="18" t="s">
        <v>172</v>
      </c>
      <c r="J225" s="18" t="s">
        <v>172</v>
      </c>
      <c r="K225" s="18" t="s">
        <v>172</v>
      </c>
      <c r="L225" s="18" t="s">
        <v>172</v>
      </c>
      <c r="M225" s="7"/>
    </row>
    <row r="226" spans="1:13" ht="12">
      <c r="A226" t="s">
        <v>176</v>
      </c>
      <c r="B226">
        <v>5</v>
      </c>
      <c r="C226" s="7">
        <v>0.61</v>
      </c>
      <c r="D226" s="7">
        <v>1.01</v>
      </c>
      <c r="E226" s="7">
        <v>1.53</v>
      </c>
      <c r="F226" s="7">
        <v>1.04</v>
      </c>
      <c r="G226" s="18" t="s">
        <v>172</v>
      </c>
      <c r="H226" s="7">
        <v>0.59</v>
      </c>
      <c r="I226" s="18" t="s">
        <v>172</v>
      </c>
      <c r="J226" s="18" t="s">
        <v>172</v>
      </c>
      <c r="K226" s="18" t="s">
        <v>172</v>
      </c>
      <c r="L226" s="18" t="s">
        <v>172</v>
      </c>
      <c r="M226" s="7"/>
    </row>
    <row r="227" spans="1:13" ht="12">
      <c r="A227" t="s">
        <v>177</v>
      </c>
      <c r="B227">
        <v>8</v>
      </c>
      <c r="C227" s="7">
        <v>0.63</v>
      </c>
      <c r="D227" s="7">
        <v>1.52</v>
      </c>
      <c r="E227" s="7">
        <v>1.35</v>
      </c>
      <c r="F227" s="18" t="s">
        <v>172</v>
      </c>
      <c r="G227" s="7">
        <v>1.14</v>
      </c>
      <c r="H227" s="18" t="s">
        <v>172</v>
      </c>
      <c r="I227" s="18" t="s">
        <v>172</v>
      </c>
      <c r="J227" s="18" t="s">
        <v>172</v>
      </c>
      <c r="K227" s="18" t="s">
        <v>172</v>
      </c>
      <c r="L227" s="18" t="s">
        <v>172</v>
      </c>
      <c r="M227" s="7"/>
    </row>
    <row r="228" spans="2:12" ht="12">
      <c r="B228">
        <v>11.5</v>
      </c>
      <c r="C228" s="7">
        <v>0.62</v>
      </c>
      <c r="D228" s="18" t="s">
        <v>172</v>
      </c>
      <c r="E228" s="7">
        <v>1.43</v>
      </c>
      <c r="F228" s="18" t="s">
        <v>172</v>
      </c>
      <c r="G228" s="7">
        <v>1.01</v>
      </c>
      <c r="H228" s="18" t="s">
        <v>172</v>
      </c>
      <c r="I228" s="18" t="s">
        <v>172</v>
      </c>
      <c r="J228" s="18" t="s">
        <v>172</v>
      </c>
      <c r="K228" s="18" t="s">
        <v>172</v>
      </c>
      <c r="L228" s="18" t="s">
        <v>172</v>
      </c>
    </row>
    <row r="229" spans="1:13" ht="12">
      <c r="A229" t="s">
        <v>178</v>
      </c>
      <c r="B229">
        <v>8</v>
      </c>
      <c r="C229" s="7">
        <v>0.44</v>
      </c>
      <c r="D229" s="18" t="s">
        <v>172</v>
      </c>
      <c r="E229" s="7">
        <v>1.39</v>
      </c>
      <c r="F229" s="18" t="s">
        <v>172</v>
      </c>
      <c r="G229" s="7">
        <v>0.95</v>
      </c>
      <c r="H229" s="18" t="s">
        <v>172</v>
      </c>
      <c r="I229" s="18" t="s">
        <v>172</v>
      </c>
      <c r="J229" s="18" t="s">
        <v>172</v>
      </c>
      <c r="K229" s="18" t="s">
        <v>172</v>
      </c>
      <c r="L229" s="18" t="s">
        <v>172</v>
      </c>
      <c r="M229" s="7"/>
    </row>
    <row r="230" spans="2:13" ht="12">
      <c r="B230">
        <v>11.5</v>
      </c>
      <c r="C230" s="7">
        <v>0.44</v>
      </c>
      <c r="D230" s="18" t="s">
        <v>172</v>
      </c>
      <c r="E230" s="7">
        <v>1.17</v>
      </c>
      <c r="F230" s="18" t="s">
        <v>172</v>
      </c>
      <c r="G230" s="7">
        <v>0.75</v>
      </c>
      <c r="H230" s="18" t="s">
        <v>172</v>
      </c>
      <c r="I230" s="18" t="s">
        <v>172</v>
      </c>
      <c r="J230" s="18" t="s">
        <v>172</v>
      </c>
      <c r="K230" s="18" t="s">
        <v>172</v>
      </c>
      <c r="L230" s="18" t="s">
        <v>172</v>
      </c>
      <c r="M230" s="7"/>
    </row>
    <row r="231" spans="3:13" ht="12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2">
      <c r="A232" s="7"/>
      <c r="B232" s="7"/>
      <c r="C232" s="7"/>
      <c r="D232" s="7"/>
      <c r="F232" s="7"/>
      <c r="G232" s="7"/>
      <c r="H232" s="7"/>
      <c r="I232" s="7"/>
      <c r="J232" s="7"/>
      <c r="M232" s="7"/>
    </row>
    <row r="233" spans="1:13" ht="12">
      <c r="A233" s="1"/>
      <c r="C233" s="16"/>
      <c r="D233" s="7"/>
      <c r="F233" s="7"/>
      <c r="G233" s="7"/>
      <c r="H233" s="7"/>
      <c r="I233" s="7"/>
      <c r="J233" s="7"/>
      <c r="K233" s="7"/>
      <c r="L233" s="7"/>
      <c r="M233" s="7"/>
    </row>
    <row r="234" spans="1:13" ht="12">
      <c r="A234" s="1"/>
      <c r="C234" s="16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2">
      <c r="A235" s="1"/>
      <c r="C235" s="16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2">
      <c r="A236" s="1"/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2">
      <c r="A237" s="1"/>
      <c r="C237" s="16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2">
      <c r="A238" s="1"/>
      <c r="C238" s="16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2">
      <c r="A239" s="1"/>
      <c r="C239" s="16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2">
      <c r="A240" s="1"/>
      <c r="C240" s="16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3:13" ht="12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3:13" ht="12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3:12" ht="12"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3:12" ht="12"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3:12" ht="12"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3:12" ht="12">
      <c r="C246" s="7"/>
      <c r="D246" s="7"/>
      <c r="E246" s="7"/>
      <c r="F246" s="7"/>
      <c r="G246" s="7"/>
      <c r="H246" s="7"/>
      <c r="I246" s="7"/>
      <c r="J246" s="7"/>
      <c r="K246" s="7"/>
      <c r="L246" s="7"/>
    </row>
  </sheetData>
  <printOptions/>
  <pageMargins left="0.75" right="0.75" top="1" bottom="1" header="0.5" footer="0.5"/>
  <pageSetup fitToHeight="1" fitToWidth="1" horizontalDpi="600" verticalDpi="6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43"/>
  <sheetViews>
    <sheetView workbookViewId="0" topLeftCell="A1">
      <selection activeCell="H38" sqref="A1:H38"/>
    </sheetView>
  </sheetViews>
  <sheetFormatPr defaultColWidth="9.00390625" defaultRowHeight="12.75"/>
  <cols>
    <col min="2" max="2" width="11.00390625" style="0" customWidth="1"/>
    <col min="5" max="5" width="10.625" style="0" customWidth="1"/>
    <col min="6" max="6" width="11.25390625" style="0" customWidth="1"/>
  </cols>
  <sheetData>
    <row r="1" spans="1:22" ht="12.75">
      <c r="A1" s="29"/>
      <c r="B1" s="29" t="s">
        <v>219</v>
      </c>
      <c r="C1" s="29"/>
      <c r="D1" s="29"/>
      <c r="V1" s="43" t="s">
        <v>228</v>
      </c>
    </row>
    <row r="2" spans="6:23" ht="12">
      <c r="F2" t="s">
        <v>241</v>
      </c>
      <c r="U2" s="17" t="s">
        <v>192</v>
      </c>
      <c r="V2" s="17" t="s">
        <v>186</v>
      </c>
      <c r="W2" s="17" t="s">
        <v>223</v>
      </c>
    </row>
    <row r="3" spans="1:23" ht="12">
      <c r="A3" t="s">
        <v>237</v>
      </c>
      <c r="B3" t="s">
        <v>240</v>
      </c>
      <c r="C3" t="s">
        <v>232</v>
      </c>
      <c r="D3" t="s">
        <v>238</v>
      </c>
      <c r="E3" t="s">
        <v>239</v>
      </c>
      <c r="F3" s="48" t="s">
        <v>188</v>
      </c>
      <c r="G3" t="s">
        <v>186</v>
      </c>
      <c r="H3" t="s">
        <v>187</v>
      </c>
      <c r="U3" s="17" t="s">
        <v>193</v>
      </c>
      <c r="V3" s="30">
        <v>-1000</v>
      </c>
      <c r="W3" s="17" t="s">
        <v>224</v>
      </c>
    </row>
    <row r="4" spans="1:8" ht="12">
      <c r="A4">
        <v>1</v>
      </c>
      <c r="B4">
        <v>500</v>
      </c>
      <c r="C4">
        <v>2000</v>
      </c>
      <c r="D4" s="37">
        <f aca="true" t="shared" si="0" ref="D4:D32">5000*A4^(2/3)</f>
        <v>5000</v>
      </c>
      <c r="E4" s="47">
        <f>B4/1000</f>
        <v>0.5</v>
      </c>
      <c r="F4" s="45">
        <v>252.54270330374197</v>
      </c>
      <c r="G4" s="45">
        <v>46.503435224005834</v>
      </c>
      <c r="H4" s="45">
        <v>70.34167986395701</v>
      </c>
    </row>
    <row r="5" spans="1:23" ht="12">
      <c r="A5">
        <v>1.4</v>
      </c>
      <c r="B5">
        <v>1000</v>
      </c>
      <c r="C5">
        <v>2000</v>
      </c>
      <c r="D5" s="37">
        <f t="shared" si="0"/>
        <v>6257.324745675973</v>
      </c>
      <c r="E5" s="47">
        <f aca="true" t="shared" si="1" ref="E5:E31">B5/1000</f>
        <v>1</v>
      </c>
      <c r="F5" s="45">
        <v>285.3470735811038</v>
      </c>
      <c r="G5" s="45">
        <v>49.1677580687934</v>
      </c>
      <c r="H5" s="45">
        <v>76.10250319638985</v>
      </c>
      <c r="U5" s="31">
        <v>10000</v>
      </c>
      <c r="V5" s="40">
        <v>28.131039597659946</v>
      </c>
      <c r="W5" s="40">
        <v>25.39690359265106</v>
      </c>
    </row>
    <row r="6" spans="1:23" ht="12">
      <c r="A6">
        <v>1.8</v>
      </c>
      <c r="B6">
        <v>1500</v>
      </c>
      <c r="C6">
        <v>2000</v>
      </c>
      <c r="D6" s="37">
        <f t="shared" si="0"/>
        <v>7398.63622299141</v>
      </c>
      <c r="E6" s="47">
        <f t="shared" si="1"/>
        <v>1.5</v>
      </c>
      <c r="F6" s="46">
        <v>314.28108795988027</v>
      </c>
      <c r="G6" s="46">
        <v>51.54578632763341</v>
      </c>
      <c r="H6" s="46">
        <v>81.21169772594</v>
      </c>
      <c r="U6" s="31">
        <v>20000</v>
      </c>
      <c r="V6" s="40">
        <v>36.14504698581122</v>
      </c>
      <c r="W6" s="40">
        <v>50.79380718530212</v>
      </c>
    </row>
    <row r="7" spans="1:23" ht="12">
      <c r="A7">
        <v>2.2</v>
      </c>
      <c r="B7">
        <v>2000</v>
      </c>
      <c r="C7">
        <v>2000</v>
      </c>
      <c r="D7" s="37">
        <f t="shared" si="0"/>
        <v>8457.69055811492</v>
      </c>
      <c r="E7" s="47">
        <f t="shared" si="1"/>
        <v>2</v>
      </c>
      <c r="F7" s="46">
        <v>340.2130045981009</v>
      </c>
      <c r="G7" s="46">
        <v>53.70047849754178</v>
      </c>
      <c r="H7" s="46">
        <v>85.81417937746022</v>
      </c>
      <c r="U7" s="31">
        <v>30000</v>
      </c>
      <c r="V7" s="40">
        <v>44.020911710784816</v>
      </c>
      <c r="W7" s="40">
        <v>76.19071077795321</v>
      </c>
    </row>
    <row r="8" spans="1:23" ht="12">
      <c r="A8">
        <v>2.6</v>
      </c>
      <c r="B8">
        <v>2500</v>
      </c>
      <c r="C8">
        <v>2000</v>
      </c>
      <c r="D8" s="37">
        <f t="shared" si="0"/>
        <v>9454.071945982809</v>
      </c>
      <c r="E8" s="47">
        <f t="shared" si="1"/>
        <v>2.5</v>
      </c>
      <c r="F8" s="46">
        <v>364.1048120533234</v>
      </c>
      <c r="G8" s="46">
        <v>55.70034889092361</v>
      </c>
      <c r="H8" s="46">
        <v>90.06926737783505</v>
      </c>
      <c r="U8" s="31">
        <v>40000</v>
      </c>
      <c r="V8" s="40">
        <v>51.8137214513552</v>
      </c>
      <c r="W8" s="40">
        <v>101.58761437060424</v>
      </c>
    </row>
    <row r="9" spans="1:23" ht="12">
      <c r="A9">
        <v>3</v>
      </c>
      <c r="B9">
        <v>3000</v>
      </c>
      <c r="C9">
        <v>2000</v>
      </c>
      <c r="D9" s="37">
        <f t="shared" si="0"/>
        <v>10400.419115259521</v>
      </c>
      <c r="E9" s="47">
        <f t="shared" si="1"/>
        <v>3</v>
      </c>
      <c r="F9" s="46">
        <v>386.23171896353693</v>
      </c>
      <c r="G9" s="46">
        <v>57.57386265648889</v>
      </c>
      <c r="H9" s="46">
        <v>94.03140462430403</v>
      </c>
      <c r="U9" s="31">
        <v>50000</v>
      </c>
      <c r="V9" s="40">
        <v>79.41564883128562</v>
      </c>
      <c r="W9" s="40">
        <v>126.9845179632553</v>
      </c>
    </row>
    <row r="10" spans="1:23" ht="12">
      <c r="A10">
        <v>3.5</v>
      </c>
      <c r="B10">
        <v>3500</v>
      </c>
      <c r="C10">
        <v>2000</v>
      </c>
      <c r="D10" s="37">
        <f t="shared" si="0"/>
        <v>11526.090730146117</v>
      </c>
      <c r="E10" s="47">
        <f t="shared" si="1"/>
        <v>3.5</v>
      </c>
      <c r="F10" s="46">
        <v>412.4057319172329</v>
      </c>
      <c r="G10" s="46">
        <v>59.789447679606226</v>
      </c>
      <c r="H10" s="46">
        <v>98.7176313085626</v>
      </c>
      <c r="U10" s="31">
        <v>60000</v>
      </c>
      <c r="V10" s="40">
        <v>87.1270844259178</v>
      </c>
      <c r="W10" s="40">
        <v>152.38142155590643</v>
      </c>
    </row>
    <row r="11" spans="1:23" ht="12">
      <c r="A11">
        <v>4</v>
      </c>
      <c r="B11">
        <v>4000</v>
      </c>
      <c r="C11">
        <v>2000</v>
      </c>
      <c r="D11" s="37">
        <f t="shared" si="0"/>
        <v>12599.210498948729</v>
      </c>
      <c r="E11" s="47">
        <f t="shared" si="1"/>
        <v>4</v>
      </c>
      <c r="F11" s="46">
        <v>436.79190783024484</v>
      </c>
      <c r="G11" s="46">
        <v>61.86865811157514</v>
      </c>
      <c r="H11" s="46">
        <v>103.09872423265043</v>
      </c>
      <c r="U11" s="31">
        <v>80000</v>
      </c>
      <c r="V11" s="40">
        <v>102.46116231804785</v>
      </c>
      <c r="W11" s="40">
        <v>203.17522874120849</v>
      </c>
    </row>
    <row r="12" spans="1:23" ht="12">
      <c r="A12">
        <v>4.5</v>
      </c>
      <c r="B12">
        <v>4500</v>
      </c>
      <c r="C12">
        <v>2000</v>
      </c>
      <c r="D12" s="37">
        <f t="shared" si="0"/>
        <v>13628.40444624105</v>
      </c>
      <c r="E12" s="47">
        <f t="shared" si="1"/>
        <v>4.5</v>
      </c>
      <c r="F12" s="46">
        <v>459.89618097129704</v>
      </c>
      <c r="G12" s="46">
        <v>63.850281647397075</v>
      </c>
      <c r="H12" s="46">
        <v>107.2612277074276</v>
      </c>
      <c r="U12" s="31">
        <v>100000</v>
      </c>
      <c r="V12" s="40">
        <v>117.72225285320697</v>
      </c>
      <c r="W12" s="40">
        <v>253.9690359265106</v>
      </c>
    </row>
    <row r="13" spans="1:23" ht="12">
      <c r="A13">
        <v>5</v>
      </c>
      <c r="B13">
        <v>5000</v>
      </c>
      <c r="C13">
        <v>2000</v>
      </c>
      <c r="D13" s="37">
        <f t="shared" si="0"/>
        <v>14620.088691064328</v>
      </c>
      <c r="E13" s="47">
        <f t="shared" si="1"/>
        <v>5</v>
      </c>
      <c r="F13" s="46">
        <v>481.9214970683189</v>
      </c>
      <c r="G13" s="46">
        <v>65.74830664783681</v>
      </c>
      <c r="H13" s="46">
        <v>111.23828673468526</v>
      </c>
      <c r="U13" s="31">
        <v>120000</v>
      </c>
      <c r="V13" s="40">
        <v>132.91744272579757</v>
      </c>
      <c r="W13" s="40">
        <v>304.76284311181286</v>
      </c>
    </row>
    <row r="14" spans="1:23" ht="12">
      <c r="A14">
        <v>5.5</v>
      </c>
      <c r="B14">
        <v>5500</v>
      </c>
      <c r="C14">
        <v>2000</v>
      </c>
      <c r="D14" s="37">
        <f t="shared" si="0"/>
        <v>15579.19921092438</v>
      </c>
      <c r="E14" s="47">
        <f t="shared" si="1"/>
        <v>5.5</v>
      </c>
      <c r="F14" s="45">
        <v>502.83602640431945</v>
      </c>
      <c r="G14" s="45">
        <v>67.56347199541929</v>
      </c>
      <c r="H14" s="45">
        <v>115.02763569683597</v>
      </c>
      <c r="U14" s="31">
        <v>180000</v>
      </c>
      <c r="V14" s="40">
        <v>178.26852153107063</v>
      </c>
      <c r="W14" s="40">
        <v>457.14426466771914</v>
      </c>
    </row>
    <row r="15" spans="1:8" ht="12">
      <c r="A15">
        <v>6</v>
      </c>
      <c r="B15">
        <v>6000</v>
      </c>
      <c r="C15">
        <v>2000</v>
      </c>
      <c r="D15" s="37">
        <f t="shared" si="0"/>
        <v>16509.63624447313</v>
      </c>
      <c r="E15" s="47">
        <f t="shared" si="1"/>
        <v>6</v>
      </c>
      <c r="F15" s="45">
        <v>523.1305797735023</v>
      </c>
      <c r="G15" s="45">
        <v>69.32387420412428</v>
      </c>
      <c r="H15" s="45">
        <v>118.70370017471078</v>
      </c>
    </row>
    <row r="16" spans="1:8" ht="12">
      <c r="A16">
        <v>6.5</v>
      </c>
      <c r="B16">
        <v>6500</v>
      </c>
      <c r="C16">
        <v>2000</v>
      </c>
      <c r="D16" s="37">
        <f t="shared" si="0"/>
        <v>17414.549419706538</v>
      </c>
      <c r="E16" s="47">
        <f t="shared" si="1"/>
        <v>6.5</v>
      </c>
      <c r="F16" s="46">
        <v>542.712520623752</v>
      </c>
      <c r="G16" s="46">
        <v>71.02612809749691</v>
      </c>
      <c r="H16" s="46">
        <v>122.25435075666985</v>
      </c>
    </row>
    <row r="17" spans="1:21" ht="12">
      <c r="A17">
        <v>7</v>
      </c>
      <c r="B17">
        <v>7000</v>
      </c>
      <c r="C17">
        <v>2000</v>
      </c>
      <c r="D17" s="37">
        <f t="shared" si="0"/>
        <v>18296.528550114854</v>
      </c>
      <c r="E17" s="47">
        <f t="shared" si="1"/>
        <v>7</v>
      </c>
      <c r="F17" s="46">
        <v>561.5070708261829</v>
      </c>
      <c r="G17" s="46">
        <v>72.67507681828914</v>
      </c>
      <c r="H17" s="46">
        <v>125.67737205909805</v>
      </c>
      <c r="U17" s="38" t="s">
        <v>225</v>
      </c>
    </row>
    <row r="18" spans="1:22" ht="12">
      <c r="A18">
        <v>7.5</v>
      </c>
      <c r="B18">
        <v>7500</v>
      </c>
      <c r="C18">
        <v>2000</v>
      </c>
      <c r="D18" s="37">
        <f t="shared" si="0"/>
        <v>19157.735809838825</v>
      </c>
      <c r="E18" s="47">
        <f t="shared" si="1"/>
        <v>7.5</v>
      </c>
      <c r="F18" s="46">
        <v>579.8820640278407</v>
      </c>
      <c r="G18" s="46">
        <v>74.27629684223871</v>
      </c>
      <c r="H18" s="46">
        <v>129.01306145186453</v>
      </c>
      <c r="U18" s="32" t="s">
        <v>205</v>
      </c>
      <c r="V18" s="39">
        <v>20.296702364887953</v>
      </c>
    </row>
    <row r="19" spans="1:22" ht="12">
      <c r="A19">
        <v>8</v>
      </c>
      <c r="B19">
        <v>8000</v>
      </c>
      <c r="C19">
        <v>2000</v>
      </c>
      <c r="D19" s="37">
        <f t="shared" si="0"/>
        <v>19999.999999999996</v>
      </c>
      <c r="E19" s="47">
        <f t="shared" si="1"/>
        <v>8</v>
      </c>
      <c r="F19" s="46">
        <v>597.616632130544</v>
      </c>
      <c r="G19" s="46">
        <v>75.84157043991515</v>
      </c>
      <c r="H19" s="46">
        <v>132.25235281954815</v>
      </c>
      <c r="U19" s="32" t="s">
        <v>218</v>
      </c>
      <c r="V19" s="39">
        <v>0.0007892391028605937</v>
      </c>
    </row>
    <row r="20" spans="1:8" ht="12">
      <c r="A20">
        <v>8.5</v>
      </c>
      <c r="B20">
        <v>8500</v>
      </c>
      <c r="C20">
        <v>2000</v>
      </c>
      <c r="D20" s="37">
        <f t="shared" si="0"/>
        <v>20824.885463759896</v>
      </c>
      <c r="E20" s="47">
        <f t="shared" si="1"/>
        <v>8.5</v>
      </c>
      <c r="F20" s="46">
        <v>615.0260795756495</v>
      </c>
      <c r="G20" s="46">
        <v>77.36582566017124</v>
      </c>
      <c r="H20" s="46">
        <v>135.4199367197212</v>
      </c>
    </row>
    <row r="21" spans="1:21" ht="12">
      <c r="A21">
        <v>9</v>
      </c>
      <c r="B21">
        <v>9000</v>
      </c>
      <c r="C21">
        <v>2000</v>
      </c>
      <c r="D21" s="37">
        <f t="shared" si="0"/>
        <v>21633.743554611126</v>
      </c>
      <c r="E21" s="47">
        <f t="shared" si="1"/>
        <v>9</v>
      </c>
      <c r="F21" s="46">
        <v>631.8805703095859</v>
      </c>
      <c r="G21" s="46">
        <v>78.86013093094287</v>
      </c>
      <c r="H21" s="46">
        <v>138.50518668278167</v>
      </c>
      <c r="U21" t="s">
        <v>226</v>
      </c>
    </row>
    <row r="22" spans="1:22" ht="12">
      <c r="A22">
        <v>9.5</v>
      </c>
      <c r="B22">
        <v>9500</v>
      </c>
      <c r="C22">
        <v>2000</v>
      </c>
      <c r="D22" s="37">
        <f t="shared" si="0"/>
        <v>22427.75179616246</v>
      </c>
      <c r="E22" s="47">
        <f t="shared" si="1"/>
        <v>9.5</v>
      </c>
      <c r="F22" s="46">
        <v>648.3051849101204</v>
      </c>
      <c r="G22" s="46">
        <v>80.30908005872377</v>
      </c>
      <c r="H22" s="46">
        <v>141.5045032369124</v>
      </c>
      <c r="U22" s="32" t="s">
        <v>205</v>
      </c>
      <c r="V22" s="39">
        <v>41.56273661086361</v>
      </c>
    </row>
    <row r="23" spans="1:22" ht="12">
      <c r="A23">
        <v>10</v>
      </c>
      <c r="B23">
        <v>10000</v>
      </c>
      <c r="C23">
        <v>2000</v>
      </c>
      <c r="D23" s="37">
        <f t="shared" si="0"/>
        <v>23207.944168063896</v>
      </c>
      <c r="E23" s="47">
        <f t="shared" si="1"/>
        <v>10</v>
      </c>
      <c r="F23" s="46">
        <v>664.5853882986319</v>
      </c>
      <c r="G23" s="46">
        <v>81.75106228364514</v>
      </c>
      <c r="H23" s="46">
        <v>144.48322149137064</v>
      </c>
      <c r="U23" s="32" t="s">
        <v>218</v>
      </c>
      <c r="V23" s="39">
        <v>0.0007602299881697369</v>
      </c>
    </row>
    <row r="24" spans="1:8" ht="12">
      <c r="A24">
        <v>5</v>
      </c>
      <c r="B24">
        <v>12000</v>
      </c>
      <c r="C24">
        <v>4000</v>
      </c>
      <c r="D24" s="37">
        <f t="shared" si="0"/>
        <v>14620.088691064328</v>
      </c>
      <c r="E24" s="47">
        <f t="shared" si="1"/>
        <v>12</v>
      </c>
      <c r="F24" s="45">
        <v>481.9214970683189</v>
      </c>
      <c r="G24" s="45">
        <v>100.54341150641615</v>
      </c>
      <c r="H24" s="45">
        <v>146.03339159326458</v>
      </c>
    </row>
    <row r="25" spans="1:8" ht="12">
      <c r="A25">
        <v>6</v>
      </c>
      <c r="B25">
        <v>15000</v>
      </c>
      <c r="C25">
        <v>4000</v>
      </c>
      <c r="D25" s="37">
        <f t="shared" si="0"/>
        <v>16509.63624447313</v>
      </c>
      <c r="E25" s="47">
        <f t="shared" si="1"/>
        <v>15</v>
      </c>
      <c r="F25" s="45">
        <v>523.1305797735023</v>
      </c>
      <c r="G25" s="45">
        <v>104.81740161000704</v>
      </c>
      <c r="H25" s="45">
        <v>154.19722758059353</v>
      </c>
    </row>
    <row r="26" spans="1:8" ht="12">
      <c r="A26">
        <v>7</v>
      </c>
      <c r="B26">
        <v>20000</v>
      </c>
      <c r="C26">
        <v>4000</v>
      </c>
      <c r="D26" s="37">
        <f t="shared" si="0"/>
        <v>18296.528550114854</v>
      </c>
      <c r="E26" s="47">
        <f t="shared" si="1"/>
        <v>20</v>
      </c>
      <c r="F26" s="46">
        <v>561.5070708261829</v>
      </c>
      <c r="G26" s="46">
        <v>108.82908290522535</v>
      </c>
      <c r="H26" s="46">
        <v>161.83137814603424</v>
      </c>
    </row>
    <row r="27" spans="1:22" ht="12">
      <c r="A27">
        <v>9</v>
      </c>
      <c r="B27">
        <v>25000</v>
      </c>
      <c r="C27">
        <v>4000</v>
      </c>
      <c r="D27" s="37">
        <f t="shared" si="0"/>
        <v>21633.743554611126</v>
      </c>
      <c r="E27" s="47">
        <f t="shared" si="1"/>
        <v>25</v>
      </c>
      <c r="F27" s="46">
        <v>631.8805703095859</v>
      </c>
      <c r="G27" s="46">
        <v>116.24765252275999</v>
      </c>
      <c r="H27" s="46">
        <v>175.8927082745988</v>
      </c>
      <c r="V27" t="s">
        <v>194</v>
      </c>
    </row>
    <row r="28" spans="1:8" ht="12">
      <c r="A28">
        <v>10</v>
      </c>
      <c r="B28">
        <v>30000</v>
      </c>
      <c r="C28">
        <v>4000</v>
      </c>
      <c r="D28" s="37">
        <f t="shared" si="0"/>
        <v>23207.944168063896</v>
      </c>
      <c r="E28" s="47">
        <f t="shared" si="1"/>
        <v>30</v>
      </c>
      <c r="F28" s="46">
        <v>664.5853882986319</v>
      </c>
      <c r="G28" s="46">
        <v>119.72044655493326</v>
      </c>
      <c r="H28" s="46">
        <v>182.45260576265878</v>
      </c>
    </row>
    <row r="29" spans="1:23" ht="12">
      <c r="A29">
        <v>8.5</v>
      </c>
      <c r="B29">
        <v>35000</v>
      </c>
      <c r="C29">
        <v>6000</v>
      </c>
      <c r="D29" s="37">
        <f t="shared" si="0"/>
        <v>20824.885463759896</v>
      </c>
      <c r="E29" s="47">
        <f t="shared" si="1"/>
        <v>35</v>
      </c>
      <c r="F29" s="46">
        <v>615.0260795756495</v>
      </c>
      <c r="G29" s="46">
        <v>151.54292175620753</v>
      </c>
      <c r="H29" s="46">
        <v>209.59703281575747</v>
      </c>
      <c r="V29" s="39" t="s">
        <v>195</v>
      </c>
      <c r="W29" s="39"/>
    </row>
    <row r="30" spans="1:23" ht="12">
      <c r="A30">
        <v>10</v>
      </c>
      <c r="B30">
        <v>40000</v>
      </c>
      <c r="C30">
        <v>6000</v>
      </c>
      <c r="D30" s="37">
        <f t="shared" si="0"/>
        <v>23207.944168063896</v>
      </c>
      <c r="E30" s="47">
        <f t="shared" si="1"/>
        <v>40</v>
      </c>
      <c r="F30" s="46">
        <v>664.5853882986319</v>
      </c>
      <c r="G30" s="46">
        <v>157.6898308262214</v>
      </c>
      <c r="H30" s="46">
        <v>220.4219900339469</v>
      </c>
      <c r="V30" s="39" t="s">
        <v>196</v>
      </c>
      <c r="W30" s="39">
        <v>0.9999801196087271</v>
      </c>
    </row>
    <row r="31" spans="1:23" ht="12">
      <c r="A31">
        <v>12</v>
      </c>
      <c r="B31">
        <v>45000</v>
      </c>
      <c r="C31">
        <v>6000</v>
      </c>
      <c r="D31" s="37">
        <f t="shared" si="0"/>
        <v>26207.41394208897</v>
      </c>
      <c r="E31" s="47">
        <f t="shared" si="1"/>
        <v>45</v>
      </c>
      <c r="F31" s="46">
        <v>725.827382729963</v>
      </c>
      <c r="G31" s="46">
        <v>165.35554872091845</v>
      </c>
      <c r="H31" s="46">
        <v>233.8685189613695</v>
      </c>
      <c r="V31" s="39" t="s">
        <v>197</v>
      </c>
      <c r="W31" s="39">
        <v>0.9999602396126842</v>
      </c>
    </row>
    <row r="32" spans="1:23" ht="12">
      <c r="A32">
        <v>14</v>
      </c>
      <c r="B32">
        <v>50000</v>
      </c>
      <c r="C32">
        <v>6000</v>
      </c>
      <c r="D32" s="37">
        <f t="shared" si="0"/>
        <v>29043.928667818513</v>
      </c>
      <c r="E32" s="47">
        <f aca="true" t="shared" si="2" ref="E32:E38">B32/1000</f>
        <v>50</v>
      </c>
      <c r="F32" s="46">
        <v>783.1477439772773</v>
      </c>
      <c r="G32" s="46">
        <v>172.57350077910368</v>
      </c>
      <c r="H32" s="46">
        <v>246.49710762234903</v>
      </c>
      <c r="V32" s="39" t="s">
        <v>198</v>
      </c>
      <c r="W32" s="39">
        <v>0.9999403594190264</v>
      </c>
    </row>
    <row r="33" spans="1:23" ht="12">
      <c r="A33">
        <v>10</v>
      </c>
      <c r="B33">
        <v>55000</v>
      </c>
      <c r="C33">
        <v>8000</v>
      </c>
      <c r="D33" s="37">
        <f aca="true" t="shared" si="3" ref="D33:D38">5000*A33^(2/3)</f>
        <v>23207.944168063896</v>
      </c>
      <c r="E33" s="47">
        <f t="shared" si="2"/>
        <v>55</v>
      </c>
      <c r="F33" s="46">
        <v>664.5853882986319</v>
      </c>
      <c r="G33" s="46">
        <v>195.65921509750953</v>
      </c>
      <c r="H33" s="46">
        <v>258.39137430523505</v>
      </c>
      <c r="V33" s="39" t="s">
        <v>199</v>
      </c>
      <c r="W33" s="39">
        <v>0.07868872994739662</v>
      </c>
    </row>
    <row r="34" spans="1:9" ht="12">
      <c r="A34">
        <v>12</v>
      </c>
      <c r="B34">
        <v>60000</v>
      </c>
      <c r="C34">
        <v>8000</v>
      </c>
      <c r="D34" s="37">
        <f t="shared" si="3"/>
        <v>26207.41394208897</v>
      </c>
      <c r="E34" s="47">
        <f t="shared" si="2"/>
        <v>60</v>
      </c>
      <c r="F34" s="46">
        <v>725.827382729963</v>
      </c>
      <c r="G34" s="46">
        <v>204.43360967851436</v>
      </c>
      <c r="H34" s="46">
        <v>272.94657991896537</v>
      </c>
      <c r="I34" s="37"/>
    </row>
    <row r="35" spans="1:9" ht="12">
      <c r="A35">
        <v>15</v>
      </c>
      <c r="B35">
        <v>65000</v>
      </c>
      <c r="C35">
        <v>8000</v>
      </c>
      <c r="D35" s="37">
        <f t="shared" si="3"/>
        <v>30411.009977867</v>
      </c>
      <c r="E35" s="47">
        <f t="shared" si="2"/>
        <v>65</v>
      </c>
      <c r="F35" s="46">
        <v>810.4778810549716</v>
      </c>
      <c r="G35" s="46">
        <v>216.67272461954414</v>
      </c>
      <c r="H35" s="46">
        <v>293.1761030625173</v>
      </c>
      <c r="I35" s="37"/>
    </row>
    <row r="36" spans="1:9" ht="12">
      <c r="A36">
        <v>20</v>
      </c>
      <c r="B36">
        <f>0.7*A36*C36</f>
        <v>28000</v>
      </c>
      <c r="C36">
        <v>2000</v>
      </c>
      <c r="D36" s="37">
        <f t="shared" si="3"/>
        <v>36840.31498640386</v>
      </c>
      <c r="E36" s="47">
        <f t="shared" si="2"/>
        <v>28</v>
      </c>
      <c r="F36" s="46">
        <v>936.9318854742663</v>
      </c>
      <c r="G36" s="46">
        <v>106.20385051569541</v>
      </c>
      <c r="H36" s="46">
        <v>194.6435924077564</v>
      </c>
      <c r="I36" s="37"/>
    </row>
    <row r="37" spans="1:9" ht="12">
      <c r="A37">
        <v>25</v>
      </c>
      <c r="B37">
        <f>0.7*A37*C37</f>
        <v>35000</v>
      </c>
      <c r="C37">
        <v>2000</v>
      </c>
      <c r="D37" s="37">
        <f t="shared" si="3"/>
        <v>42749.398666917405</v>
      </c>
      <c r="E37" s="47">
        <f t="shared" si="2"/>
        <v>35</v>
      </c>
      <c r="F37" s="46">
        <v>1050.965470808209</v>
      </c>
      <c r="G37" s="46">
        <v>116.59052486469186</v>
      </c>
      <c r="H37" s="46">
        <v>215.79423050941688</v>
      </c>
      <c r="I37" s="37"/>
    </row>
    <row r="38" spans="1:9" ht="12">
      <c r="A38">
        <v>30</v>
      </c>
      <c r="B38">
        <f>0.7*A38*C38</f>
        <v>42000</v>
      </c>
      <c r="C38">
        <v>2000</v>
      </c>
      <c r="D38" s="37">
        <f t="shared" si="3"/>
        <v>48274.46923028148</v>
      </c>
      <c r="E38" s="47">
        <f t="shared" si="2"/>
        <v>42</v>
      </c>
      <c r="F38" s="46">
        <v>1156.2067095823168</v>
      </c>
      <c r="G38" s="46">
        <v>126.2357591839719</v>
      </c>
      <c r="H38" s="46">
        <v>235.37349326542952</v>
      </c>
      <c r="I38" s="37"/>
    </row>
    <row r="39" spans="4:9" ht="12">
      <c r="D39" s="37"/>
      <c r="E39" s="47"/>
      <c r="F39" s="46"/>
      <c r="G39" s="46"/>
      <c r="H39" s="46"/>
      <c r="I39" s="37"/>
    </row>
    <row r="40" spans="4:9" ht="12">
      <c r="D40" s="37"/>
      <c r="E40" s="47"/>
      <c r="F40" s="46"/>
      <c r="G40" s="46"/>
      <c r="H40" s="46"/>
      <c r="I40" s="37"/>
    </row>
    <row r="41" spans="4:9" ht="12">
      <c r="D41" s="37"/>
      <c r="E41" s="47"/>
      <c r="F41" s="46"/>
      <c r="G41" s="46"/>
      <c r="H41" s="46"/>
      <c r="I41" s="37"/>
    </row>
    <row r="42" spans="4:9" ht="12">
      <c r="D42" s="37"/>
      <c r="E42" s="47"/>
      <c r="F42" s="46"/>
      <c r="G42" s="46"/>
      <c r="H42" s="46"/>
      <c r="I42" s="37"/>
    </row>
    <row r="43" spans="4:9" ht="12">
      <c r="D43" s="37"/>
      <c r="E43" s="47"/>
      <c r="F43" s="46"/>
      <c r="G43" s="46"/>
      <c r="H43" s="46"/>
      <c r="I43" s="37"/>
    </row>
  </sheetData>
  <printOptions/>
  <pageMargins left="1" right="1" top="1" bottom="1" header="0.5" footer="0.5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Triangle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Coburn</dc:creator>
  <cp:keywords/>
  <dc:description/>
  <cp:lastModifiedBy>cchin</cp:lastModifiedBy>
  <cp:lastPrinted>2007-12-07T17:33:19Z</cp:lastPrinted>
  <dcterms:created xsi:type="dcterms:W3CDTF">2000-04-03T14:50:11Z</dcterms:created>
  <dcterms:modified xsi:type="dcterms:W3CDTF">2007-12-12T20:11:26Z</dcterms:modified>
  <cp:category/>
  <cp:version/>
  <cp:contentType/>
  <cp:contentStatus/>
</cp:coreProperties>
</file>