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0" windowWidth="7680" windowHeight="9105" activeTab="0"/>
  </bookViews>
  <sheets>
    <sheet name="NDB-2005" sheetId="1" r:id="rId1"/>
  </sheets>
  <definedNames>
    <definedName name="_Fill" hidden="1">'NDB-2005'!$F$7</definedName>
    <definedName name="_Regression_Int" localSheetId="0" hidden="1">1</definedName>
    <definedName name="_xlnm.Print_Area" localSheetId="0">'NDB-2005'!$A$1:$BY$63</definedName>
    <definedName name="Print_Area_MI" localSheetId="0">'NDB-2005'!$BV$1:$BX$62</definedName>
    <definedName name="_xlnm.Print_Titles" localSheetId="0">'NDB-2005'!$A:$A,'NDB-2005'!$1:$1</definedName>
    <definedName name="Print_Titles_MI" localSheetId="0">'NDB-2005'!$A:$A</definedName>
  </definedNames>
  <calcPr fullCalcOnLoad="1"/>
</workbook>
</file>

<file path=xl/sharedStrings.xml><?xml version="1.0" encoding="utf-8"?>
<sst xmlns="http://schemas.openxmlformats.org/spreadsheetml/2006/main" count="349" uniqueCount="233">
  <si>
    <t xml:space="preserve">                          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</si>
  <si>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</si>
  <si>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</si>
  <si>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</si>
  <si>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</si>
  <si>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</si>
  <si>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</si>
  <si>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</si>
  <si>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</si>
  <si>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</si>
  <si>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</si>
  <si>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</si>
  <si>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</si>
  <si>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</si>
  <si>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</si>
  <si>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</si>
  <si>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COLUMN P</t>
  </si>
  <si>
    <t>COLUMN Q</t>
  </si>
  <si>
    <t>COLUMN R</t>
  </si>
  <si>
    <t>COLUMN S</t>
  </si>
  <si>
    <t>COLUMN T</t>
  </si>
  <si>
    <t>COLUMN U</t>
  </si>
  <si>
    <t>COLUMN V</t>
  </si>
  <si>
    <t>COLUMN W</t>
  </si>
  <si>
    <t>COLUMN X</t>
  </si>
  <si>
    <t>COLUMN Y</t>
  </si>
  <si>
    <t>COLUMN Z</t>
  </si>
  <si>
    <t>COLUMN AA</t>
  </si>
  <si>
    <t>COLUMN AB</t>
  </si>
  <si>
    <t>COLUMN AC</t>
  </si>
  <si>
    <t>COLUMN AD</t>
  </si>
  <si>
    <t>COLUMN AE</t>
  </si>
  <si>
    <t>COLUMN AF</t>
  </si>
  <si>
    <t>COLUMN AG</t>
  </si>
  <si>
    <t>COLUMN AH</t>
  </si>
  <si>
    <t>COLUMN AI</t>
  </si>
  <si>
    <t>COLUMN AJ</t>
  </si>
  <si>
    <t>COLUMN AK</t>
  </si>
  <si>
    <t>COLUMN AL</t>
  </si>
  <si>
    <t>COLUMN AM</t>
  </si>
  <si>
    <t>COLUMN AN</t>
  </si>
  <si>
    <t>COLUMN AO</t>
  </si>
  <si>
    <t>COLUMN AP</t>
  </si>
  <si>
    <t>COLUMN AQ</t>
  </si>
  <si>
    <t>COLUMN AR</t>
  </si>
  <si>
    <t>COLUMN AS</t>
  </si>
  <si>
    <t>COLUMN AT</t>
  </si>
  <si>
    <t>COLUMN AU</t>
  </si>
  <si>
    <t>COLUMN AV</t>
  </si>
  <si>
    <t>COLUMN AW</t>
  </si>
  <si>
    <t>COLUMN AX</t>
  </si>
  <si>
    <t>COLUMN AY</t>
  </si>
  <si>
    <t>COLUMN AZ</t>
  </si>
  <si>
    <t>COLUMN BA</t>
  </si>
  <si>
    <t>COLUMN BB</t>
  </si>
  <si>
    <t>COLUMN BC</t>
  </si>
  <si>
    <t>COLUMN BD</t>
  </si>
  <si>
    <t>COLUMN BE</t>
  </si>
  <si>
    <t>COLUMN BF</t>
  </si>
  <si>
    <t>COLUMN BG</t>
  </si>
  <si>
    <t>COLUMN BH</t>
  </si>
  <si>
    <t>COLUMN BI</t>
  </si>
  <si>
    <t>COLUMN BJ</t>
  </si>
  <si>
    <t>COLUMN BK</t>
  </si>
  <si>
    <t>COLUMN BL</t>
  </si>
  <si>
    <t>COLUMN BM</t>
  </si>
  <si>
    <t>COLUMN BN</t>
  </si>
  <si>
    <t>COLUMN BO</t>
  </si>
  <si>
    <t>COLUMN BP</t>
  </si>
  <si>
    <t>COLUMN BQ</t>
  </si>
  <si>
    <t>COLUMN BR</t>
  </si>
  <si>
    <t>COLUMN BS</t>
  </si>
  <si>
    <t>COLUMN BT</t>
  </si>
  <si>
    <t>COLUMN BU</t>
  </si>
  <si>
    <t>COLUMN BV</t>
  </si>
  <si>
    <t>COLUMN BW</t>
  </si>
  <si>
    <t>COLUMN BX</t>
  </si>
  <si>
    <t>MBTUs CO</t>
  </si>
  <si>
    <t>EXPENDITURES</t>
  </si>
  <si>
    <t>MBTUs NG</t>
  </si>
  <si>
    <t>MBTUs FO</t>
  </si>
  <si>
    <t>MBTUs KE</t>
  </si>
  <si>
    <t>MBTUs LPG</t>
  </si>
  <si>
    <t>MBTUs EL</t>
  </si>
  <si>
    <t>Avg BTUs</t>
  </si>
  <si>
    <t xml:space="preserve">MBTUs EL </t>
  </si>
  <si>
    <t>Percent of</t>
  </si>
  <si>
    <t>-</t>
  </si>
  <si>
    <t>LOTOALL</t>
  </si>
  <si>
    <t>FOR HEAT</t>
  </si>
  <si>
    <t>COAL</t>
  </si>
  <si>
    <t>LOW INCOME</t>
  </si>
  <si>
    <t>NG</t>
  </si>
  <si>
    <t xml:space="preserve"> </t>
  </si>
  <si>
    <t>FO</t>
  </si>
  <si>
    <t>KE</t>
  </si>
  <si>
    <t>LPG</t>
  </si>
  <si>
    <t>EL</t>
  </si>
  <si>
    <t>Mean Wood</t>
  </si>
  <si>
    <t>Wood</t>
  </si>
  <si>
    <t>MBTUs Wood</t>
  </si>
  <si>
    <t>TOTAL</t>
  </si>
  <si>
    <t>LOTOALL-EL</t>
  </si>
  <si>
    <t>Home Energy</t>
  </si>
  <si>
    <t>New Formula</t>
  </si>
  <si>
    <t xml:space="preserve">            </t>
  </si>
  <si>
    <t>Census</t>
  </si>
  <si>
    <t>Heating</t>
  </si>
  <si>
    <t>Cooling</t>
  </si>
  <si>
    <t>All Coal</t>
  </si>
  <si>
    <t>Low Income</t>
  </si>
  <si>
    <t>by Region</t>
  </si>
  <si>
    <t>NORMAL YEAR</t>
  </si>
  <si>
    <t xml:space="preserve"> ALL NG</t>
  </si>
  <si>
    <t>LOTOALL-NG</t>
  </si>
  <si>
    <t>MULTIUNIT FO</t>
  </si>
  <si>
    <t>ALL FO-KE</t>
  </si>
  <si>
    <t>LOTOALL-FO</t>
  </si>
  <si>
    <t>LOTOALL-KE</t>
  </si>
  <si>
    <t xml:space="preserve"> ALL LPG</t>
  </si>
  <si>
    <t>LOTOALL-LPG</t>
  </si>
  <si>
    <t xml:space="preserve"> ALL EL</t>
  </si>
  <si>
    <t>Consumption</t>
  </si>
  <si>
    <t>Cords/Low Income</t>
  </si>
  <si>
    <t>Normal Year</t>
  </si>
  <si>
    <t>State</t>
  </si>
  <si>
    <t>Total</t>
  </si>
  <si>
    <t>Expenditures</t>
  </si>
  <si>
    <t>Factors</t>
  </si>
  <si>
    <t>Region</t>
  </si>
  <si>
    <t>AIA Zone</t>
  </si>
  <si>
    <t>Heaters</t>
  </si>
  <si>
    <t>Coal Heaters</t>
  </si>
  <si>
    <t>NG Heaters</t>
  </si>
  <si>
    <t xml:space="preserve"> / OTHER FO</t>
  </si>
  <si>
    <t>Enhanced</t>
  </si>
  <si>
    <t>FO-KE Heaters</t>
  </si>
  <si>
    <t>LPG Heaters</t>
  </si>
  <si>
    <t>EL Heaters</t>
  </si>
  <si>
    <t>EL-HEAT</t>
  </si>
  <si>
    <t>Wood Heaters</t>
  </si>
  <si>
    <t>Factor</t>
  </si>
  <si>
    <t>WOOD</t>
  </si>
  <si>
    <t>HEAT</t>
  </si>
  <si>
    <t>Households</t>
  </si>
  <si>
    <t>EL-COOL</t>
  </si>
  <si>
    <t>Alabama</t>
  </si>
  <si>
    <t>Alaska</t>
  </si>
  <si>
    <t>NA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</si>
  <si>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</si>
  <si>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</si>
  <si>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</si>
  <si>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</si>
  <si>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</si>
  <si>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</si>
  <si>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</si>
  <si>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</si>
  <si>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</si>
  <si>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</si>
  <si>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</si>
  <si>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</si>
  <si>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</si>
  <si>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</si>
  <si>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</si>
  <si>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</si>
  <si>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</si>
  <si>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</si>
  <si>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</si>
  <si>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</si>
  <si>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</si>
  <si>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</si>
  <si>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</si>
  <si>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</si>
  <si>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</si>
  <si>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</si>
  <si>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</si>
  <si>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</si>
  <si>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</si>
  <si>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</si>
  <si>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</si>
  <si>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</si>
  <si>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</si>
  <si>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</si>
  <si>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</si>
  <si>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</si>
  <si>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</si>
  <si>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</si>
  <si>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</si>
  <si>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</si>
  <si>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</si>
  <si>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</si>
  <si>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</si>
  <si>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</si>
  <si>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</si>
  <si>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</si>
  <si>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</si>
  <si>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</si>
  <si>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</si>
  <si>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Million BTUs</t>
  </si>
  <si>
    <t>FUEL OIL (FO)</t>
  </si>
  <si>
    <t xml:space="preserve">    KEROSENE (KE)</t>
  </si>
  <si>
    <t>Total HDDs</t>
  </si>
  <si>
    <t xml:space="preserve"> Coal (CO)</t>
  </si>
  <si>
    <t>FUEL OIL</t>
  </si>
  <si>
    <t>NATURAL GAS</t>
  </si>
  <si>
    <t>KEROSENE</t>
  </si>
  <si>
    <t>Electricity (EL)</t>
  </si>
  <si>
    <t>Total CDDs</t>
  </si>
  <si>
    <t>HEAT + COOL</t>
  </si>
  <si>
    <t>STATE 1999</t>
  </si>
  <si>
    <t>FO - % HEAT</t>
  </si>
  <si>
    <t>NG - % HEAT</t>
  </si>
  <si>
    <t>KE - % HEAT</t>
  </si>
  <si>
    <t>LPG - % HEAT</t>
  </si>
  <si>
    <t>EL - % HEAT</t>
  </si>
  <si>
    <t>Price</t>
  </si>
  <si>
    <t>SEDR 97</t>
  </si>
  <si>
    <t>SEDR 99</t>
  </si>
  <si>
    <t>Nat.Gas (NG)</t>
  </si>
  <si>
    <t>COLUMN BY</t>
  </si>
  <si>
    <t>State 30-yr</t>
  </si>
  <si>
    <t>Norm HDDs</t>
  </si>
  <si>
    <t>Norm CDDs</t>
  </si>
  <si>
    <t>(Nom$/Mil Btu)</t>
  </si>
  <si>
    <t xml:space="preserve"> (Nom$/Mil Btu)</t>
  </si>
  <si>
    <t>EL - % COOL</t>
  </si>
  <si>
    <t>FOR COOL</t>
  </si>
  <si>
    <t>1971-2000</t>
  </si>
  <si>
    <t>SEDR 00</t>
  </si>
  <si>
    <t>STATE 2003</t>
  </si>
  <si>
    <t>SEDS 03 FO</t>
  </si>
  <si>
    <t>2003 Avg BTUs</t>
  </si>
  <si>
    <t>Data Base for FY 2005 LIHEAP Allocation Formula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</si>
</sst>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.00000000_)"/>
    <numFmt numFmtId="167" formatCode="0_)"/>
    <numFmt numFmtId="168" formatCode="0.0000_)"/>
    <numFmt numFmtId="169" formatCode="0.00000_)"/>
    <numFmt numFmtId="170" formatCode="&quot;$&quot;#,##0.000_);\(&quot;$&quot;#,##0.000\)"/>
    <numFmt numFmtId="171" formatCode="00000"/>
    <numFmt numFmtId="172" formatCode="0.000000000"/>
    <numFmt numFmtId="173" formatCode="0.00000000"/>
    <numFmt numFmtId="174" formatCode="dd\-mmm\-yy"/>
    <numFmt numFmtId="175" formatCode="0.000000000%"/>
  </numFmts>
  <fonts count="6">
    <font>
      <sz val="10"/>
      <name val="Courier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15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5" fontId="2" fillId="2" borderId="0" xfId="0" applyNumberFormat="1" applyFont="1" applyFill="1" applyBorder="1" applyAlignment="1" applyProtection="1">
      <alignment/>
      <protection/>
    </xf>
    <xf numFmtId="5" fontId="2" fillId="2" borderId="0" xfId="0" applyNumberFormat="1" applyFont="1" applyFill="1" applyAlignment="1" applyProtection="1">
      <alignment/>
      <protection/>
    </xf>
    <xf numFmtId="10" fontId="2" fillId="2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3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>
      <alignment/>
    </xf>
    <xf numFmtId="5" fontId="3" fillId="2" borderId="0" xfId="0" applyNumberFormat="1" applyFont="1" applyFill="1" applyBorder="1" applyAlignment="1" applyProtection="1">
      <alignment/>
      <protection/>
    </xf>
    <xf numFmtId="5" fontId="3" fillId="2" borderId="0" xfId="0" applyNumberFormat="1" applyFont="1" applyFill="1" applyAlignment="1" applyProtection="1">
      <alignment/>
      <protection/>
    </xf>
    <xf numFmtId="10" fontId="3" fillId="2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5" fontId="4" fillId="0" borderId="0" xfId="0" applyNumberFormat="1" applyFont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>
      <alignment horizontal="center"/>
    </xf>
    <xf numFmtId="5" fontId="3" fillId="2" borderId="0" xfId="0" applyNumberFormat="1" applyFont="1" applyFill="1" applyBorder="1" applyAlignment="1" applyProtection="1">
      <alignment horizontal="center"/>
      <protection/>
    </xf>
    <xf numFmtId="5" fontId="3" fillId="2" borderId="0" xfId="0" applyNumberFormat="1" applyFont="1" applyFill="1" applyAlignment="1" applyProtection="1">
      <alignment horizontal="center"/>
      <protection/>
    </xf>
    <xf numFmtId="10" fontId="3" fillId="2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3" fillId="2" borderId="0" xfId="0" applyFont="1" applyFill="1" applyAlignment="1" applyProtection="1">
      <alignment horizontal="right"/>
      <protection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2" borderId="0" xfId="0" applyFont="1" applyFill="1" applyAlignment="1" applyProtection="1">
      <alignment horizontal="left"/>
      <protection/>
    </xf>
    <xf numFmtId="37" fontId="3" fillId="2" borderId="0" xfId="0" applyNumberFormat="1" applyFont="1" applyFill="1" applyAlignment="1" applyProtection="1">
      <alignment horizontal="right"/>
      <protection/>
    </xf>
    <xf numFmtId="37" fontId="3" fillId="2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Alignment="1">
      <alignment/>
    </xf>
    <xf numFmtId="43" fontId="3" fillId="2" borderId="0" xfId="0" applyNumberFormat="1" applyFont="1" applyFill="1" applyAlignment="1" applyProtection="1">
      <alignment/>
      <protection/>
    </xf>
    <xf numFmtId="165" fontId="3" fillId="2" borderId="0" xfId="0" applyNumberFormat="1" applyFont="1" applyFill="1" applyAlignment="1" applyProtection="1">
      <alignment horizontal="center"/>
      <protection/>
    </xf>
    <xf numFmtId="37" fontId="3" fillId="2" borderId="0" xfId="0" applyNumberFormat="1" applyFont="1" applyFill="1" applyAlignment="1" applyProtection="1">
      <alignment/>
      <protection/>
    </xf>
    <xf numFmtId="3" fontId="3" fillId="0" borderId="0" xfId="0" applyNumberFormat="1" applyFont="1" applyAlignment="1">
      <alignment/>
    </xf>
    <xf numFmtId="168" fontId="3" fillId="2" borderId="0" xfId="0" applyNumberFormat="1" applyFont="1" applyFill="1" applyAlignment="1" applyProtection="1">
      <alignment/>
      <protection/>
    </xf>
    <xf numFmtId="173" fontId="3" fillId="2" borderId="0" xfId="0" applyNumberFormat="1" applyFont="1" applyFill="1" applyAlignment="1" applyProtection="1">
      <alignment/>
      <protection/>
    </xf>
    <xf numFmtId="172" fontId="3" fillId="2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5" fontId="3" fillId="2" borderId="0" xfId="0" applyNumberFormat="1" applyFont="1" applyFill="1" applyAlignment="1" applyProtection="1">
      <alignment horizontal="left"/>
      <protection/>
    </xf>
    <xf numFmtId="168" fontId="3" fillId="0" borderId="0" xfId="0" applyNumberFormat="1" applyFont="1" applyAlignment="1" applyProtection="1">
      <alignment/>
      <protection/>
    </xf>
    <xf numFmtId="41" fontId="3" fillId="2" borderId="0" xfId="0" applyNumberFormat="1" applyFont="1" applyFill="1" applyAlignment="1">
      <alignment/>
    </xf>
    <xf numFmtId="41" fontId="3" fillId="2" borderId="0" xfId="0" applyNumberFormat="1" applyFont="1" applyFill="1" applyAlignment="1" applyProtection="1">
      <alignment/>
      <protection/>
    </xf>
    <xf numFmtId="7" fontId="3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Alignment="1" applyProtection="1">
      <alignment/>
      <protection/>
    </xf>
    <xf numFmtId="9" fontId="3" fillId="2" borderId="0" xfId="0" applyNumberFormat="1" applyFont="1" applyFill="1" applyAlignment="1" applyProtection="1">
      <alignment/>
      <protection/>
    </xf>
    <xf numFmtId="169" fontId="3" fillId="2" borderId="0" xfId="0" applyNumberFormat="1" applyFont="1" applyFill="1" applyBorder="1" applyAlignment="1" applyProtection="1">
      <alignment/>
      <protection/>
    </xf>
    <xf numFmtId="170" fontId="3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Q74"/>
  <sheetViews>
    <sheetView showGridLines="0" tabSelected="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" sqref="B7"/>
    </sheetView>
  </sheetViews>
  <sheetFormatPr defaultColWidth="19.625" defaultRowHeight="12.75"/>
  <cols>
    <col min="1" max="1" width="14.625" style="12" customWidth="1"/>
    <col min="2" max="2" width="11.875" style="12" customWidth="1"/>
    <col min="3" max="3" width="10.00390625" style="12" customWidth="1"/>
    <col min="4" max="4" width="10.50390625" style="12" customWidth="1"/>
    <col min="5" max="5" width="12.625" style="12" bestFit="1" customWidth="1"/>
    <col min="6" max="6" width="15.75390625" style="22" customWidth="1"/>
    <col min="7" max="7" width="16.75390625" style="12" customWidth="1"/>
    <col min="8" max="8" width="13.625" style="12" customWidth="1"/>
    <col min="9" max="9" width="12.25390625" style="12" customWidth="1"/>
    <col min="10" max="10" width="14.875" style="12" bestFit="1" customWidth="1"/>
    <col min="11" max="11" width="15.75390625" style="12" customWidth="1"/>
    <col min="12" max="12" width="17.25390625" style="12" bestFit="1" customWidth="1"/>
    <col min="13" max="13" width="17.125" style="12" bestFit="1" customWidth="1"/>
    <col min="14" max="14" width="15.00390625" style="15" bestFit="1" customWidth="1"/>
    <col min="15" max="15" width="18.25390625" style="12" customWidth="1"/>
    <col min="16" max="16" width="16.25390625" style="12" customWidth="1"/>
    <col min="17" max="17" width="14.75390625" style="12" customWidth="1"/>
    <col min="18" max="18" width="15.00390625" style="12" customWidth="1"/>
    <col min="19" max="19" width="16.25390625" style="12" customWidth="1"/>
    <col min="20" max="20" width="18.75390625" style="12" customWidth="1"/>
    <col min="21" max="21" width="18.25390625" style="12" bestFit="1" customWidth="1"/>
    <col min="22" max="22" width="18.50390625" style="15" bestFit="1" customWidth="1"/>
    <col min="23" max="23" width="14.75390625" style="12" customWidth="1"/>
    <col min="24" max="24" width="15.875" style="12" bestFit="1" customWidth="1"/>
    <col min="25" max="26" width="14.50390625" style="12" customWidth="1"/>
    <col min="27" max="27" width="19.625" style="12" customWidth="1"/>
    <col min="28" max="28" width="15.75390625" style="12" customWidth="1"/>
    <col min="29" max="29" width="17.75390625" style="12" customWidth="1"/>
    <col min="30" max="30" width="21.00390625" style="12" customWidth="1"/>
    <col min="31" max="31" width="18.25390625" style="12" bestFit="1" customWidth="1"/>
    <col min="32" max="32" width="18.50390625" style="15" bestFit="1" customWidth="1"/>
    <col min="33" max="33" width="20.50390625" style="12" bestFit="1" customWidth="1"/>
    <col min="34" max="34" width="13.625" style="12" customWidth="1"/>
    <col min="35" max="35" width="12.875" style="12" customWidth="1"/>
    <col min="36" max="36" width="14.875" style="12" customWidth="1"/>
    <col min="37" max="37" width="13.125" style="12" customWidth="1"/>
    <col min="38" max="38" width="17.50390625" style="12" customWidth="1"/>
    <col min="39" max="39" width="18.25390625" style="12" bestFit="1" customWidth="1"/>
    <col min="40" max="40" width="16.125" style="15" bestFit="1" customWidth="1"/>
    <col min="41" max="41" width="16.25390625" style="12" customWidth="1"/>
    <col min="42" max="42" width="13.50390625" style="12" customWidth="1"/>
    <col min="43" max="43" width="11.125" style="12" customWidth="1"/>
    <col min="44" max="44" width="15.00390625" style="12" customWidth="1"/>
    <col min="45" max="45" width="14.50390625" style="12" customWidth="1"/>
    <col min="46" max="46" width="18.50390625" style="12" bestFit="1" customWidth="1"/>
    <col min="47" max="47" width="17.125" style="12" bestFit="1" customWidth="1"/>
    <col min="48" max="48" width="18.50390625" style="15" bestFit="1" customWidth="1"/>
    <col min="49" max="49" width="16.875" style="12" bestFit="1" customWidth="1"/>
    <col min="50" max="50" width="13.375" style="12" customWidth="1"/>
    <col min="51" max="51" width="15.00390625" style="12" bestFit="1" customWidth="1"/>
    <col min="52" max="52" width="13.875" style="12" bestFit="1" customWidth="1"/>
    <col min="53" max="53" width="14.125" style="12" customWidth="1"/>
    <col min="54" max="54" width="17.25390625" style="12" bestFit="1" customWidth="1"/>
    <col min="55" max="55" width="17.125" style="12" bestFit="1" customWidth="1"/>
    <col min="56" max="56" width="18.50390625" style="15" bestFit="1" customWidth="1"/>
    <col min="57" max="57" width="13.875" style="12" customWidth="1"/>
    <col min="58" max="58" width="14.375" style="12" customWidth="1"/>
    <col min="59" max="59" width="18.50390625" style="12" customWidth="1"/>
    <col min="60" max="60" width="14.00390625" style="12" customWidth="1"/>
    <col min="61" max="61" width="18.50390625" style="12" bestFit="1" customWidth="1"/>
    <col min="62" max="62" width="16.125" style="15" bestFit="1" customWidth="1"/>
    <col min="63" max="63" width="19.625" style="15" bestFit="1" customWidth="1"/>
    <col min="64" max="64" width="19.375" style="12" bestFit="1" customWidth="1"/>
    <col min="65" max="65" width="12.75390625" style="12" customWidth="1"/>
    <col min="66" max="66" width="13.75390625" style="12" customWidth="1"/>
    <col min="67" max="67" width="19.375" style="12" customWidth="1"/>
    <col min="68" max="68" width="18.125" style="12" customWidth="1"/>
    <col min="69" max="69" width="13.50390625" style="12" customWidth="1"/>
    <col min="70" max="70" width="13.875" style="12" bestFit="1" customWidth="1"/>
    <col min="71" max="71" width="18.50390625" style="12" bestFit="1" customWidth="1"/>
    <col min="72" max="72" width="17.125" style="12" bestFit="1" customWidth="1"/>
    <col min="73" max="73" width="18.25390625" style="15" bestFit="1" customWidth="1"/>
    <col min="74" max="74" width="19.375" style="12" bestFit="1" customWidth="1"/>
    <col min="75" max="75" width="13.75390625" style="12" bestFit="1" customWidth="1"/>
    <col min="76" max="76" width="14.875" style="12" bestFit="1" customWidth="1"/>
    <col min="77" max="77" width="15.00390625" style="12" hidden="1" customWidth="1"/>
    <col min="78" max="140" width="19.625" style="19" customWidth="1"/>
    <col min="141" max="141" width="21.625" style="19" customWidth="1"/>
    <col min="142" max="16384" width="19.625" style="19" customWidth="1"/>
  </cols>
  <sheetData>
    <row r="1" spans="1:147" s="9" customFormat="1" ht="12.75">
      <c r="A1" s="1" t="s">
        <v>232</v>
      </c>
      <c r="B1" s="1"/>
      <c r="C1" s="1"/>
      <c r="D1" s="1"/>
      <c r="E1" s="2"/>
      <c r="F1" s="3" t="s">
        <v>0</v>
      </c>
      <c r="G1" s="4">
        <v>38692</v>
      </c>
      <c r="H1" s="1"/>
      <c r="I1" s="1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5"/>
      <c r="W1" s="1"/>
      <c r="X1" s="1"/>
      <c r="Y1" s="1"/>
      <c r="Z1" s="1"/>
      <c r="AA1" s="1"/>
      <c r="AB1" s="1"/>
      <c r="AC1" s="1"/>
      <c r="AD1" s="1"/>
      <c r="AE1" s="1"/>
      <c r="AF1" s="6"/>
      <c r="AG1" s="1"/>
      <c r="AH1" s="1"/>
      <c r="AI1" s="1"/>
      <c r="AJ1" s="1"/>
      <c r="AK1" s="1"/>
      <c r="AL1" s="1"/>
      <c r="AM1" s="1"/>
      <c r="AN1" s="6"/>
      <c r="AO1" s="1"/>
      <c r="AP1" s="1"/>
      <c r="AQ1" s="1"/>
      <c r="AR1" s="1"/>
      <c r="AS1" s="1"/>
      <c r="AT1" s="1"/>
      <c r="AU1" s="1"/>
      <c r="AV1" s="6"/>
      <c r="AW1" s="1"/>
      <c r="AX1" s="1"/>
      <c r="AY1" s="1"/>
      <c r="AZ1" s="1"/>
      <c r="BA1" s="1"/>
      <c r="BB1" s="1"/>
      <c r="BC1" s="1"/>
      <c r="BD1" s="6"/>
      <c r="BE1" s="1"/>
      <c r="BF1" s="1"/>
      <c r="BG1" s="1"/>
      <c r="BH1" s="1"/>
      <c r="BI1" s="1"/>
      <c r="BJ1" s="6"/>
      <c r="BK1" s="6"/>
      <c r="BL1" s="1"/>
      <c r="BM1" s="1"/>
      <c r="BN1" s="1"/>
      <c r="BO1" s="2"/>
      <c r="BP1" s="1"/>
      <c r="BQ1" s="1"/>
      <c r="BR1" s="1"/>
      <c r="BS1" s="2"/>
      <c r="BT1" s="1"/>
      <c r="BU1" s="6"/>
      <c r="BV1" s="7"/>
      <c r="BW1" s="7"/>
      <c r="BX1" s="8"/>
      <c r="BY1" s="8"/>
      <c r="CA1" s="10"/>
      <c r="CE1" s="10"/>
      <c r="CH1" s="10"/>
      <c r="CK1" s="10"/>
      <c r="CN1" s="10"/>
      <c r="CQ1" s="10"/>
      <c r="EP1" s="11"/>
      <c r="EQ1" s="11"/>
    </row>
    <row r="2" spans="5:147" ht="12.75">
      <c r="E2" s="13"/>
      <c r="AF2" s="16"/>
      <c r="AN2" s="16"/>
      <c r="AV2" s="16"/>
      <c r="BD2" s="16"/>
      <c r="BJ2" s="16"/>
      <c r="BK2" s="16"/>
      <c r="BO2" s="13"/>
      <c r="BR2" s="17"/>
      <c r="BS2" s="13"/>
      <c r="BU2" s="16"/>
      <c r="BV2" s="17"/>
      <c r="BW2" s="17"/>
      <c r="BX2" s="18"/>
      <c r="BY2" s="18"/>
      <c r="EP2" s="21"/>
      <c r="EQ2" s="21"/>
    </row>
    <row r="3" spans="1:147" s="25" customFormat="1" ht="12.7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4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 t="s">
        <v>14</v>
      </c>
      <c r="O3" s="23" t="s">
        <v>15</v>
      </c>
      <c r="P3" s="23" t="s">
        <v>16</v>
      </c>
      <c r="Q3" s="23" t="s">
        <v>17</v>
      </c>
      <c r="R3" s="23" t="s">
        <v>18</v>
      </c>
      <c r="S3" s="23" t="s">
        <v>19</v>
      </c>
      <c r="T3" s="23" t="s">
        <v>20</v>
      </c>
      <c r="U3" s="23" t="s">
        <v>21</v>
      </c>
      <c r="V3" s="24" t="s">
        <v>22</v>
      </c>
      <c r="W3" s="23" t="s">
        <v>23</v>
      </c>
      <c r="X3" s="23" t="s">
        <v>24</v>
      </c>
      <c r="Y3" s="23" t="s">
        <v>25</v>
      </c>
      <c r="Z3" s="23" t="s">
        <v>26</v>
      </c>
      <c r="AA3" s="23" t="s">
        <v>27</v>
      </c>
      <c r="AB3" s="23" t="s">
        <v>28</v>
      </c>
      <c r="AC3" s="23" t="s">
        <v>29</v>
      </c>
      <c r="AD3" s="23" t="s">
        <v>30</v>
      </c>
      <c r="AE3" s="23" t="s">
        <v>31</v>
      </c>
      <c r="AF3" s="24" t="s">
        <v>32</v>
      </c>
      <c r="AG3" s="23" t="s">
        <v>33</v>
      </c>
      <c r="AH3" s="23" t="s">
        <v>34</v>
      </c>
      <c r="AI3" s="23" t="s">
        <v>35</v>
      </c>
      <c r="AJ3" s="23" t="s">
        <v>36</v>
      </c>
      <c r="AK3" s="23" t="s">
        <v>37</v>
      </c>
      <c r="AL3" s="23" t="s">
        <v>38</v>
      </c>
      <c r="AM3" s="23" t="s">
        <v>39</v>
      </c>
      <c r="AN3" s="24" t="s">
        <v>40</v>
      </c>
      <c r="AO3" s="23" t="s">
        <v>41</v>
      </c>
      <c r="AP3" s="23" t="s">
        <v>42</v>
      </c>
      <c r="AQ3" s="23" t="s">
        <v>43</v>
      </c>
      <c r="AR3" s="23" t="s">
        <v>44</v>
      </c>
      <c r="AS3" s="23" t="s">
        <v>45</v>
      </c>
      <c r="AT3" s="23" t="s">
        <v>46</v>
      </c>
      <c r="AU3" s="23" t="s">
        <v>47</v>
      </c>
      <c r="AV3" s="24" t="s">
        <v>48</v>
      </c>
      <c r="AW3" s="23" t="s">
        <v>49</v>
      </c>
      <c r="AX3" s="23" t="s">
        <v>50</v>
      </c>
      <c r="AY3" s="23" t="s">
        <v>51</v>
      </c>
      <c r="AZ3" s="23" t="s">
        <v>52</v>
      </c>
      <c r="BA3" s="23" t="s">
        <v>53</v>
      </c>
      <c r="BB3" s="23" t="s">
        <v>54</v>
      </c>
      <c r="BC3" s="23" t="s">
        <v>55</v>
      </c>
      <c r="BD3" s="24" t="s">
        <v>56</v>
      </c>
      <c r="BE3" s="23" t="s">
        <v>57</v>
      </c>
      <c r="BF3" s="23" t="s">
        <v>58</v>
      </c>
      <c r="BG3" s="23" t="s">
        <v>59</v>
      </c>
      <c r="BH3" s="23" t="s">
        <v>60</v>
      </c>
      <c r="BI3" s="23" t="s">
        <v>61</v>
      </c>
      <c r="BJ3" s="24" t="s">
        <v>62</v>
      </c>
      <c r="BK3" s="24" t="s">
        <v>63</v>
      </c>
      <c r="BL3" s="23" t="s">
        <v>64</v>
      </c>
      <c r="BM3" s="23" t="s">
        <v>65</v>
      </c>
      <c r="BN3" s="23" t="s">
        <v>66</v>
      </c>
      <c r="BO3" s="23" t="s">
        <v>67</v>
      </c>
      <c r="BP3" s="23" t="s">
        <v>68</v>
      </c>
      <c r="BQ3" s="23" t="s">
        <v>69</v>
      </c>
      <c r="BR3" s="23" t="s">
        <v>70</v>
      </c>
      <c r="BS3" s="23" t="s">
        <v>71</v>
      </c>
      <c r="BT3" s="23" t="s">
        <v>72</v>
      </c>
      <c r="BU3" s="24" t="s">
        <v>73</v>
      </c>
      <c r="BV3" s="23" t="s">
        <v>74</v>
      </c>
      <c r="BW3" s="23" t="s">
        <v>75</v>
      </c>
      <c r="BX3" s="23" t="s">
        <v>76</v>
      </c>
      <c r="BY3" s="23" t="s">
        <v>219</v>
      </c>
      <c r="CC3" s="26"/>
      <c r="CF3" s="26"/>
      <c r="CI3" s="26"/>
      <c r="CL3" s="26"/>
      <c r="CO3" s="26"/>
      <c r="CR3" s="26"/>
      <c r="EP3" s="27"/>
      <c r="EQ3" s="27"/>
    </row>
    <row r="4" spans="5:147" ht="12.75">
      <c r="E4" s="13"/>
      <c r="L4" s="28"/>
      <c r="T4" s="28"/>
      <c r="AD4" s="28"/>
      <c r="AL4" s="28"/>
      <c r="AT4" s="28"/>
      <c r="BB4" s="28"/>
      <c r="BJ4" s="16"/>
      <c r="BK4" s="16"/>
      <c r="BO4" s="13"/>
      <c r="BP4" s="28"/>
      <c r="BS4" s="28"/>
      <c r="EP4" s="21"/>
      <c r="EQ4" s="21"/>
    </row>
    <row r="5" spans="1:147" ht="12.75">
      <c r="A5" s="29"/>
      <c r="B5" s="29"/>
      <c r="C5" s="29"/>
      <c r="D5" s="29"/>
      <c r="E5" s="29"/>
      <c r="G5" s="29"/>
      <c r="H5" s="29"/>
      <c r="I5" s="29"/>
      <c r="J5" s="29"/>
      <c r="K5" s="28">
        <v>2003</v>
      </c>
      <c r="L5" s="28" t="s">
        <v>77</v>
      </c>
      <c r="M5" s="28" t="s">
        <v>215</v>
      </c>
      <c r="N5" s="14" t="s">
        <v>78</v>
      </c>
      <c r="O5" s="29"/>
      <c r="P5" s="29"/>
      <c r="Q5" s="29"/>
      <c r="R5" s="29"/>
      <c r="S5" s="28">
        <v>2003</v>
      </c>
      <c r="T5" s="28" t="s">
        <v>79</v>
      </c>
      <c r="U5" s="28" t="s">
        <v>215</v>
      </c>
      <c r="V5" s="14" t="s">
        <v>78</v>
      </c>
      <c r="W5" s="29"/>
      <c r="X5" s="29"/>
      <c r="Y5" s="29"/>
      <c r="Z5" s="29"/>
      <c r="AA5" s="29"/>
      <c r="AB5" s="29"/>
      <c r="AC5" s="28">
        <v>2003</v>
      </c>
      <c r="AD5" s="28" t="s">
        <v>80</v>
      </c>
      <c r="AE5" s="28" t="s">
        <v>215</v>
      </c>
      <c r="AF5" s="30" t="s">
        <v>78</v>
      </c>
      <c r="AG5" s="29"/>
      <c r="AH5" s="29"/>
      <c r="AI5" s="29"/>
      <c r="AJ5" s="29"/>
      <c r="AK5" s="28">
        <v>2003</v>
      </c>
      <c r="AL5" s="28" t="s">
        <v>81</v>
      </c>
      <c r="AM5" s="28" t="s">
        <v>215</v>
      </c>
      <c r="AN5" s="30" t="s">
        <v>78</v>
      </c>
      <c r="AO5" s="29"/>
      <c r="AP5" s="29"/>
      <c r="AQ5" s="29"/>
      <c r="AR5" s="29"/>
      <c r="AS5" s="28">
        <v>2003</v>
      </c>
      <c r="AT5" s="28" t="s">
        <v>82</v>
      </c>
      <c r="AU5" s="28" t="s">
        <v>215</v>
      </c>
      <c r="AV5" s="30" t="s">
        <v>78</v>
      </c>
      <c r="AW5" s="29"/>
      <c r="AX5" s="29"/>
      <c r="AY5" s="29"/>
      <c r="AZ5" s="29"/>
      <c r="BA5" s="28">
        <v>2003</v>
      </c>
      <c r="BB5" s="28" t="s">
        <v>83</v>
      </c>
      <c r="BC5" s="28" t="s">
        <v>215</v>
      </c>
      <c r="BD5" s="30" t="s">
        <v>78</v>
      </c>
      <c r="BE5" s="29"/>
      <c r="BF5" s="29"/>
      <c r="BG5" s="29"/>
      <c r="BH5" s="28">
        <v>2001</v>
      </c>
      <c r="BI5" s="28">
        <v>1997</v>
      </c>
      <c r="BJ5" s="30"/>
      <c r="BK5" s="22"/>
      <c r="BL5" s="29"/>
      <c r="BM5" s="29"/>
      <c r="BO5" s="28"/>
      <c r="BP5" s="28" t="s">
        <v>231</v>
      </c>
      <c r="BQ5" s="29"/>
      <c r="BR5" s="31"/>
      <c r="BS5" s="28" t="s">
        <v>85</v>
      </c>
      <c r="BT5" s="28" t="s">
        <v>215</v>
      </c>
      <c r="BU5" s="30" t="s">
        <v>78</v>
      </c>
      <c r="BV5" s="29"/>
      <c r="BW5" s="29"/>
      <c r="BX5" s="32" t="s">
        <v>86</v>
      </c>
      <c r="BY5" s="32" t="s">
        <v>141</v>
      </c>
      <c r="CB5" s="20"/>
      <c r="CE5" s="20"/>
      <c r="CH5" s="20"/>
      <c r="CK5" s="20"/>
      <c r="CN5" s="20"/>
      <c r="CQ5" s="20"/>
      <c r="DI5" s="33" t="s">
        <v>87</v>
      </c>
      <c r="EP5" s="21"/>
      <c r="EQ5" s="21"/>
    </row>
    <row r="6" spans="1:147" ht="12.75">
      <c r="A6" s="29"/>
      <c r="B6" s="29"/>
      <c r="C6" s="29"/>
      <c r="D6" s="29"/>
      <c r="E6" s="29"/>
      <c r="F6" s="29" t="s">
        <v>220</v>
      </c>
      <c r="G6" s="29" t="s">
        <v>228</v>
      </c>
      <c r="H6" s="29"/>
      <c r="I6" s="28">
        <v>2000</v>
      </c>
      <c r="J6" s="28">
        <v>2000</v>
      </c>
      <c r="K6" s="28" t="s">
        <v>84</v>
      </c>
      <c r="L6" s="28" t="s">
        <v>89</v>
      </c>
      <c r="M6" s="28" t="s">
        <v>90</v>
      </c>
      <c r="N6" s="14" t="s">
        <v>91</v>
      </c>
      <c r="O6" s="29" t="s">
        <v>217</v>
      </c>
      <c r="P6" s="29"/>
      <c r="Q6" s="28">
        <v>2000</v>
      </c>
      <c r="R6" s="28">
        <v>2000</v>
      </c>
      <c r="S6" s="28" t="s">
        <v>84</v>
      </c>
      <c r="T6" s="28" t="s">
        <v>89</v>
      </c>
      <c r="U6" s="28" t="s">
        <v>204</v>
      </c>
      <c r="V6" s="14" t="s">
        <v>91</v>
      </c>
      <c r="W6" s="29" t="s">
        <v>217</v>
      </c>
      <c r="X6" s="28" t="s">
        <v>93</v>
      </c>
      <c r="Y6" s="29"/>
      <c r="Z6" s="29"/>
      <c r="AA6" s="28">
        <v>2000</v>
      </c>
      <c r="AB6" s="28">
        <v>2000</v>
      </c>
      <c r="AC6" s="28" t="s">
        <v>84</v>
      </c>
      <c r="AD6" s="28" t="s">
        <v>89</v>
      </c>
      <c r="AE6" s="28" t="s">
        <v>203</v>
      </c>
      <c r="AF6" s="30" t="s">
        <v>91</v>
      </c>
      <c r="AG6" s="29" t="s">
        <v>217</v>
      </c>
      <c r="AH6" s="29"/>
      <c r="AI6" s="28">
        <v>2000</v>
      </c>
      <c r="AJ6" s="28">
        <v>2000</v>
      </c>
      <c r="AK6" s="28" t="s">
        <v>84</v>
      </c>
      <c r="AL6" s="28" t="s">
        <v>89</v>
      </c>
      <c r="AM6" s="28" t="s">
        <v>205</v>
      </c>
      <c r="AN6" s="30" t="s">
        <v>91</v>
      </c>
      <c r="AO6" s="29" t="s">
        <v>216</v>
      </c>
      <c r="AP6" s="29"/>
      <c r="AQ6" s="28">
        <v>2000</v>
      </c>
      <c r="AR6" s="28">
        <v>2000</v>
      </c>
      <c r="AS6" s="28" t="s">
        <v>84</v>
      </c>
      <c r="AT6" s="28" t="s">
        <v>89</v>
      </c>
      <c r="AU6" s="28" t="s">
        <v>96</v>
      </c>
      <c r="AV6" s="30" t="s">
        <v>91</v>
      </c>
      <c r="AW6" s="29" t="s">
        <v>217</v>
      </c>
      <c r="AX6" s="29"/>
      <c r="AY6" s="28">
        <v>2000</v>
      </c>
      <c r="AZ6" s="28">
        <v>2000</v>
      </c>
      <c r="BA6" s="28" t="s">
        <v>84</v>
      </c>
      <c r="BB6" s="28" t="s">
        <v>89</v>
      </c>
      <c r="BC6" s="28" t="s">
        <v>97</v>
      </c>
      <c r="BD6" s="30" t="s">
        <v>91</v>
      </c>
      <c r="BE6" s="28" t="s">
        <v>98</v>
      </c>
      <c r="BF6" s="28">
        <v>2000</v>
      </c>
      <c r="BG6" s="29"/>
      <c r="BH6" s="28" t="s">
        <v>99</v>
      </c>
      <c r="BI6" s="28" t="s">
        <v>100</v>
      </c>
      <c r="BJ6" s="14"/>
      <c r="BK6" s="30" t="s">
        <v>101</v>
      </c>
      <c r="BL6" s="29" t="s">
        <v>217</v>
      </c>
      <c r="BM6" s="29"/>
      <c r="BN6" s="29" t="s">
        <v>220</v>
      </c>
      <c r="BO6" s="28"/>
      <c r="BP6" s="28" t="s">
        <v>102</v>
      </c>
      <c r="BQ6" s="28">
        <v>2000</v>
      </c>
      <c r="BR6" s="28">
        <v>2000</v>
      </c>
      <c r="BS6" s="28" t="s">
        <v>226</v>
      </c>
      <c r="BT6" s="28" t="s">
        <v>97</v>
      </c>
      <c r="BU6" s="30" t="s">
        <v>91</v>
      </c>
      <c r="BV6" s="31" t="s">
        <v>78</v>
      </c>
      <c r="BW6" s="31" t="s">
        <v>104</v>
      </c>
      <c r="BX6" s="32" t="s">
        <v>103</v>
      </c>
      <c r="BY6" s="32" t="s">
        <v>103</v>
      </c>
      <c r="CB6" s="20"/>
      <c r="CE6" s="20"/>
      <c r="CH6" s="20"/>
      <c r="CK6" s="20"/>
      <c r="CN6" s="20"/>
      <c r="CQ6" s="20"/>
      <c r="EP6" s="21"/>
      <c r="EQ6" s="21"/>
    </row>
    <row r="7" spans="1:147" ht="12.75">
      <c r="A7" s="28" t="s">
        <v>105</v>
      </c>
      <c r="B7" s="28" t="s">
        <v>106</v>
      </c>
      <c r="C7" s="28" t="s">
        <v>107</v>
      </c>
      <c r="D7" s="28" t="s">
        <v>108</v>
      </c>
      <c r="E7" s="28" t="s">
        <v>201</v>
      </c>
      <c r="F7" s="28" t="s">
        <v>221</v>
      </c>
      <c r="G7" s="28" t="s">
        <v>202</v>
      </c>
      <c r="H7" s="28" t="s">
        <v>229</v>
      </c>
      <c r="I7" s="28" t="s">
        <v>109</v>
      </c>
      <c r="J7" s="28" t="s">
        <v>110</v>
      </c>
      <c r="K7" s="28" t="s">
        <v>117</v>
      </c>
      <c r="L7" s="28" t="s">
        <v>112</v>
      </c>
      <c r="M7" s="28" t="s">
        <v>223</v>
      </c>
      <c r="N7" s="14" t="s">
        <v>112</v>
      </c>
      <c r="O7" s="28" t="s">
        <v>218</v>
      </c>
      <c r="P7" s="28" t="s">
        <v>229</v>
      </c>
      <c r="Q7" s="28" t="s">
        <v>113</v>
      </c>
      <c r="R7" s="28" t="s">
        <v>91</v>
      </c>
      <c r="S7" s="28" t="s">
        <v>114</v>
      </c>
      <c r="T7" s="28" t="s">
        <v>112</v>
      </c>
      <c r="U7" s="28" t="s">
        <v>224</v>
      </c>
      <c r="V7" s="14" t="s">
        <v>112</v>
      </c>
      <c r="W7" s="28" t="s">
        <v>199</v>
      </c>
      <c r="X7" s="28" t="s">
        <v>115</v>
      </c>
      <c r="Y7" s="28" t="s">
        <v>230</v>
      </c>
      <c r="Z7" s="28" t="s">
        <v>229</v>
      </c>
      <c r="AA7" s="28" t="s">
        <v>116</v>
      </c>
      <c r="AB7" s="28" t="s">
        <v>91</v>
      </c>
      <c r="AC7" s="28" t="s">
        <v>117</v>
      </c>
      <c r="AD7" s="28" t="s">
        <v>112</v>
      </c>
      <c r="AE7" s="28" t="s">
        <v>224</v>
      </c>
      <c r="AF7" s="30" t="s">
        <v>112</v>
      </c>
      <c r="AG7" s="28" t="s">
        <v>200</v>
      </c>
      <c r="AH7" s="28" t="s">
        <v>209</v>
      </c>
      <c r="AI7" s="28" t="s">
        <v>116</v>
      </c>
      <c r="AJ7" s="28" t="s">
        <v>91</v>
      </c>
      <c r="AK7" s="28" t="s">
        <v>118</v>
      </c>
      <c r="AL7" s="28" t="s">
        <v>112</v>
      </c>
      <c r="AM7" s="28" t="s">
        <v>224</v>
      </c>
      <c r="AN7" s="30" t="s">
        <v>112</v>
      </c>
      <c r="AO7" s="28" t="s">
        <v>96</v>
      </c>
      <c r="AP7" s="28" t="s">
        <v>229</v>
      </c>
      <c r="AQ7" s="28" t="s">
        <v>119</v>
      </c>
      <c r="AR7" s="28" t="s">
        <v>91</v>
      </c>
      <c r="AS7" s="28" t="s">
        <v>120</v>
      </c>
      <c r="AT7" s="28" t="s">
        <v>112</v>
      </c>
      <c r="AU7" s="28" t="s">
        <v>223</v>
      </c>
      <c r="AV7" s="30" t="s">
        <v>112</v>
      </c>
      <c r="AW7" s="28" t="s">
        <v>206</v>
      </c>
      <c r="AX7" s="28" t="s">
        <v>229</v>
      </c>
      <c r="AY7" s="28" t="s">
        <v>121</v>
      </c>
      <c r="AZ7" s="28" t="s">
        <v>91</v>
      </c>
      <c r="BA7" s="28" t="s">
        <v>102</v>
      </c>
      <c r="BB7" s="28" t="s">
        <v>112</v>
      </c>
      <c r="BC7" s="28" t="s">
        <v>223</v>
      </c>
      <c r="BD7" s="30" t="s">
        <v>112</v>
      </c>
      <c r="BE7" s="28" t="s">
        <v>122</v>
      </c>
      <c r="BF7" s="28" t="s">
        <v>91</v>
      </c>
      <c r="BG7" s="28" t="s">
        <v>123</v>
      </c>
      <c r="BH7" s="28" t="s">
        <v>88</v>
      </c>
      <c r="BI7" s="28" t="s">
        <v>124</v>
      </c>
      <c r="BJ7" s="30" t="s">
        <v>78</v>
      </c>
      <c r="BK7" s="30" t="s">
        <v>78</v>
      </c>
      <c r="BL7" s="28" t="s">
        <v>206</v>
      </c>
      <c r="BM7" s="28" t="s">
        <v>207</v>
      </c>
      <c r="BN7" s="28" t="s">
        <v>222</v>
      </c>
      <c r="BO7" s="28" t="s">
        <v>229</v>
      </c>
      <c r="BP7" s="28" t="s">
        <v>108</v>
      </c>
      <c r="BQ7" s="28" t="s">
        <v>110</v>
      </c>
      <c r="BR7" s="28" t="s">
        <v>126</v>
      </c>
      <c r="BS7" s="28" t="s">
        <v>112</v>
      </c>
      <c r="BT7" s="28" t="s">
        <v>223</v>
      </c>
      <c r="BU7" s="30" t="s">
        <v>112</v>
      </c>
      <c r="BV7" s="31" t="s">
        <v>208</v>
      </c>
      <c r="BW7" s="31" t="s">
        <v>128</v>
      </c>
      <c r="BX7" s="32" t="s">
        <v>127</v>
      </c>
      <c r="BY7" s="32" t="s">
        <v>127</v>
      </c>
      <c r="CB7" s="20"/>
      <c r="CE7" s="20"/>
      <c r="CH7" s="20"/>
      <c r="CK7" s="20"/>
      <c r="CN7" s="20"/>
      <c r="CQ7" s="20"/>
      <c r="DF7" s="21"/>
      <c r="DN7" s="21"/>
      <c r="EI7" s="21"/>
      <c r="EP7" s="21"/>
      <c r="EQ7" s="21"/>
    </row>
    <row r="8" spans="1:147" ht="12.75">
      <c r="A8" s="28" t="s">
        <v>125</v>
      </c>
      <c r="B8" s="28" t="s">
        <v>129</v>
      </c>
      <c r="C8" s="28" t="s">
        <v>130</v>
      </c>
      <c r="D8" s="28" t="s">
        <v>130</v>
      </c>
      <c r="E8" s="28">
        <v>2002</v>
      </c>
      <c r="F8" s="28" t="s">
        <v>227</v>
      </c>
      <c r="G8" s="28" t="s">
        <v>198</v>
      </c>
      <c r="H8" s="28" t="s">
        <v>210</v>
      </c>
      <c r="I8" s="28" t="s">
        <v>131</v>
      </c>
      <c r="J8" s="28" t="s">
        <v>132</v>
      </c>
      <c r="K8" s="28" t="s">
        <v>111</v>
      </c>
      <c r="L8" s="28" t="s">
        <v>91</v>
      </c>
      <c r="M8" s="28">
        <v>2000</v>
      </c>
      <c r="N8" s="14" t="s">
        <v>90</v>
      </c>
      <c r="O8" s="28" t="s">
        <v>198</v>
      </c>
      <c r="P8" s="28" t="s">
        <v>211</v>
      </c>
      <c r="Q8" s="28" t="s">
        <v>131</v>
      </c>
      <c r="R8" s="28" t="s">
        <v>133</v>
      </c>
      <c r="S8" s="28" t="s">
        <v>111</v>
      </c>
      <c r="T8" s="28" t="s">
        <v>91</v>
      </c>
      <c r="U8" s="28">
        <v>2000</v>
      </c>
      <c r="V8" s="14" t="s">
        <v>92</v>
      </c>
      <c r="W8" s="28" t="s">
        <v>198</v>
      </c>
      <c r="X8" s="28" t="s">
        <v>134</v>
      </c>
      <c r="Y8" s="28" t="s">
        <v>135</v>
      </c>
      <c r="Z8" s="28" t="s">
        <v>210</v>
      </c>
      <c r="AA8" s="28" t="s">
        <v>131</v>
      </c>
      <c r="AB8" s="28" t="s">
        <v>136</v>
      </c>
      <c r="AC8" s="28" t="s">
        <v>111</v>
      </c>
      <c r="AD8" s="28" t="s">
        <v>91</v>
      </c>
      <c r="AE8" s="28">
        <v>2000</v>
      </c>
      <c r="AF8" s="30" t="s">
        <v>94</v>
      </c>
      <c r="AG8" s="28" t="s">
        <v>198</v>
      </c>
      <c r="AH8" s="28" t="s">
        <v>212</v>
      </c>
      <c r="AI8" s="28" t="s">
        <v>131</v>
      </c>
      <c r="AJ8" s="28" t="s">
        <v>136</v>
      </c>
      <c r="AK8" s="28" t="s">
        <v>111</v>
      </c>
      <c r="AL8" s="28" t="s">
        <v>91</v>
      </c>
      <c r="AM8" s="28">
        <v>2000</v>
      </c>
      <c r="AN8" s="30" t="s">
        <v>95</v>
      </c>
      <c r="AO8" s="28" t="s">
        <v>198</v>
      </c>
      <c r="AP8" s="28" t="s">
        <v>213</v>
      </c>
      <c r="AQ8" s="28" t="s">
        <v>131</v>
      </c>
      <c r="AR8" s="28" t="s">
        <v>137</v>
      </c>
      <c r="AS8" s="28" t="s">
        <v>111</v>
      </c>
      <c r="AT8" s="28" t="s">
        <v>91</v>
      </c>
      <c r="AU8" s="28">
        <v>2000</v>
      </c>
      <c r="AV8" s="30" t="s">
        <v>96</v>
      </c>
      <c r="AW8" s="28" t="s">
        <v>198</v>
      </c>
      <c r="AX8" s="28" t="s">
        <v>214</v>
      </c>
      <c r="AY8" s="28" t="s">
        <v>131</v>
      </c>
      <c r="AZ8" s="28" t="s">
        <v>138</v>
      </c>
      <c r="BA8" s="28" t="s">
        <v>111</v>
      </c>
      <c r="BB8" s="28" t="s">
        <v>91</v>
      </c>
      <c r="BC8" s="28">
        <v>2000</v>
      </c>
      <c r="BD8" s="30" t="s">
        <v>139</v>
      </c>
      <c r="BE8" s="28" t="s">
        <v>124</v>
      </c>
      <c r="BF8" s="28" t="s">
        <v>140</v>
      </c>
      <c r="BG8" s="28" t="s">
        <v>124</v>
      </c>
      <c r="BH8" s="28" t="s">
        <v>141</v>
      </c>
      <c r="BI8" s="28" t="s">
        <v>110</v>
      </c>
      <c r="BJ8" s="30" t="s">
        <v>142</v>
      </c>
      <c r="BK8" s="30" t="s">
        <v>143</v>
      </c>
      <c r="BL8" s="28" t="s">
        <v>198</v>
      </c>
      <c r="BM8" s="28">
        <v>2002</v>
      </c>
      <c r="BN8" s="28" t="s">
        <v>227</v>
      </c>
      <c r="BO8" s="28" t="s">
        <v>225</v>
      </c>
      <c r="BP8" s="28" t="s">
        <v>111</v>
      </c>
      <c r="BQ8" s="28" t="s">
        <v>144</v>
      </c>
      <c r="BR8" s="28" t="s">
        <v>144</v>
      </c>
      <c r="BS8" s="28" t="s">
        <v>91</v>
      </c>
      <c r="BT8" s="28">
        <v>1997</v>
      </c>
      <c r="BU8" s="30" t="s">
        <v>145</v>
      </c>
      <c r="BV8" s="31"/>
      <c r="BW8" s="31"/>
      <c r="BX8" s="32"/>
      <c r="BY8" s="32"/>
      <c r="DF8" s="21"/>
      <c r="DN8" s="21"/>
      <c r="EI8" s="21"/>
      <c r="EP8" s="21"/>
      <c r="EQ8" s="21"/>
    </row>
    <row r="9" spans="5:147" ht="12.75">
      <c r="E9" s="34"/>
      <c r="F9" s="35"/>
      <c r="M9" s="36"/>
      <c r="U9" s="37"/>
      <c r="AE9" s="17"/>
      <c r="AF9" s="16"/>
      <c r="AM9" s="37"/>
      <c r="AN9" s="16"/>
      <c r="AU9" s="37"/>
      <c r="AV9" s="16"/>
      <c r="BD9" s="16"/>
      <c r="BJ9" s="16"/>
      <c r="BK9" s="16"/>
      <c r="BN9" s="29"/>
      <c r="BO9" s="13"/>
      <c r="BS9" s="13"/>
      <c r="BU9" s="16"/>
      <c r="BV9" s="17"/>
      <c r="BW9" s="17"/>
      <c r="BX9" s="18"/>
      <c r="BY9" s="18"/>
      <c r="CC9" s="20"/>
      <c r="CF9" s="20"/>
      <c r="CI9" s="20"/>
      <c r="CL9" s="20"/>
      <c r="CO9" s="20"/>
      <c r="CR9" s="20"/>
      <c r="CY9" s="38"/>
      <c r="EP9" s="21"/>
      <c r="EQ9" s="21"/>
    </row>
    <row r="10" spans="1:147" ht="12.75">
      <c r="A10" s="39" t="s">
        <v>146</v>
      </c>
      <c r="B10" s="28">
        <v>3</v>
      </c>
      <c r="C10" s="28">
        <v>7</v>
      </c>
      <c r="D10" s="28">
        <v>7</v>
      </c>
      <c r="E10" s="40">
        <v>2721</v>
      </c>
      <c r="F10" s="41">
        <v>2840</v>
      </c>
      <c r="G10" s="40">
        <v>628000</v>
      </c>
      <c r="H10" s="13">
        <f>((1*$E10)/2540)/((1-1)+(1*$E10)/2540)</f>
        <v>1</v>
      </c>
      <c r="I10" s="19">
        <v>582</v>
      </c>
      <c r="J10" s="42">
        <v>260</v>
      </c>
      <c r="K10" s="13">
        <f>73.9/75</f>
        <v>0.9853333333333334</v>
      </c>
      <c r="L10" s="43">
        <f>G10*(F10/E10)*H10*(J10/I10)*K10</f>
        <v>288524.68817264057</v>
      </c>
      <c r="M10" s="44">
        <v>2.87</v>
      </c>
      <c r="N10" s="16">
        <f>L10*M10</f>
        <v>828065.8550554785</v>
      </c>
      <c r="O10" s="45">
        <v>44208000</v>
      </c>
      <c r="P10" s="13">
        <f>(0.6175*E10/2540)/((1-0.6175)+(0.6175*E10/2540))</f>
        <v>0.633621725886602</v>
      </c>
      <c r="Q10" s="46">
        <v>661032</v>
      </c>
      <c r="R10" s="42">
        <v>202990</v>
      </c>
      <c r="S10" s="13">
        <f>45.6/48.7</f>
        <v>0.9363449691991786</v>
      </c>
      <c r="T10" s="43">
        <f aca="true" t="shared" si="0" ref="T10:T21">O10*(F10/E10)*P10*(R10/Q10)*S10</f>
        <v>8406375.147076638</v>
      </c>
      <c r="U10" s="44">
        <v>8.84</v>
      </c>
      <c r="V10" s="16">
        <f aca="true" t="shared" si="1" ref="V10:V21">T10*U10</f>
        <v>74312356.30015749</v>
      </c>
      <c r="W10" s="45">
        <v>37000</v>
      </c>
      <c r="X10" s="47">
        <v>0.1223</v>
      </c>
      <c r="Y10" s="45">
        <f>W10+((X10*0.4551)*W10)</f>
        <v>39059.37301</v>
      </c>
      <c r="Z10" s="13">
        <f>((1*$E10)/2540)/((1-1)+(1*$E10)/2540)</f>
        <v>1</v>
      </c>
      <c r="AA10" s="46">
        <v>7348</v>
      </c>
      <c r="AB10" s="42">
        <v>3940</v>
      </c>
      <c r="AC10" s="13">
        <f>73.9/75</f>
        <v>0.9853333333333334</v>
      </c>
      <c r="AD10" s="43">
        <f aca="true" t="shared" si="2" ref="AD10:AD41">Y10*(F10/E10)*Z10*(AB10/AA10)*AC10</f>
        <v>21538.98903018942</v>
      </c>
      <c r="AE10" s="44">
        <v>8.35</v>
      </c>
      <c r="AF10" s="16">
        <f aca="true" t="shared" si="3" ref="AF10:AF41">AD10*AE10</f>
        <v>179850.55840208163</v>
      </c>
      <c r="AG10" s="45">
        <v>249000</v>
      </c>
      <c r="AH10" s="13">
        <f>(1*E10/2540)/((1-1)+(1*E10/2540))</f>
        <v>1</v>
      </c>
      <c r="AI10" s="46">
        <v>7348</v>
      </c>
      <c r="AJ10" s="42">
        <v>3940</v>
      </c>
      <c r="AK10" s="13">
        <f>32.4/31.1</f>
        <v>1.0418006430868165</v>
      </c>
      <c r="AL10" s="43">
        <f aca="true" t="shared" si="4" ref="AL10:AL21">AG10*(F10/E10)*AH10*(AJ10/AI10)*AK10</f>
        <v>145178.01054677134</v>
      </c>
      <c r="AM10" s="44">
        <v>10.38</v>
      </c>
      <c r="AN10" s="16">
        <f>AL10*AM10</f>
        <v>1506947.7494754866</v>
      </c>
      <c r="AO10" s="45">
        <v>10566000</v>
      </c>
      <c r="AP10" s="13">
        <f>(0.7276*E10/2540)/((1-0.7276)+(0.7276*E10/2540))</f>
        <v>0.7410273835088099</v>
      </c>
      <c r="AQ10" s="46">
        <v>243761</v>
      </c>
      <c r="AR10" s="42">
        <v>97295</v>
      </c>
      <c r="AS10" s="13">
        <f>33.8/45.1</f>
        <v>0.7494456762749445</v>
      </c>
      <c r="AT10" s="43">
        <f aca="true" t="shared" si="5" ref="AT10:AT21">AO10*(F10/E10)*AP10*(AR10/AQ10)*AS10</f>
        <v>2444562.354702903</v>
      </c>
      <c r="AU10" s="44">
        <v>15.4</v>
      </c>
      <c r="AV10" s="16">
        <f aca="true" t="shared" si="6" ref="AV10:AV41">AT10*AU10</f>
        <v>37646260.26242471</v>
      </c>
      <c r="AW10" s="45">
        <v>92287000</v>
      </c>
      <c r="AX10" s="13">
        <f>(0.1013*E10/2540)/((1-0.1013)+(0.1013*E10/2540))</f>
        <v>0.10774088134577199</v>
      </c>
      <c r="AY10" s="46">
        <v>798542</v>
      </c>
      <c r="AZ10" s="42">
        <v>236090</v>
      </c>
      <c r="BA10" s="13">
        <f>12.1/13.5</f>
        <v>0.8962962962962963</v>
      </c>
      <c r="BB10" s="43">
        <f aca="true" t="shared" si="7" ref="BB10:BB21">AW10*(F10/E10)*AX10*(AZ10/AY10)*BA10</f>
        <v>2750060.7104281154</v>
      </c>
      <c r="BC10" s="44">
        <v>20.67</v>
      </c>
      <c r="BD10" s="16">
        <f aca="true" t="shared" si="8" ref="BD10:BD41">BB10*BC10</f>
        <v>56843754.88454915</v>
      </c>
      <c r="BE10" s="13">
        <f>0.79*(F10/2540)</f>
        <v>0.8833070866141732</v>
      </c>
      <c r="BF10" s="46">
        <v>19548</v>
      </c>
      <c r="BG10" s="45">
        <f aca="true" t="shared" si="9" ref="BG10:BG21">BE10*BF10</f>
        <v>17266.88692913386</v>
      </c>
      <c r="BH10" s="13">
        <f>0.73/0.79</f>
        <v>0.9240506329113923</v>
      </c>
      <c r="BI10" s="43">
        <f aca="true" t="shared" si="10" ref="BI10:BI41">BG10*BH10*20</f>
        <v>319109.55590551184</v>
      </c>
      <c r="BJ10" s="16">
        <f>BI10*4.33</f>
        <v>1381744.3770708663</v>
      </c>
      <c r="BK10" s="16">
        <f aca="true" t="shared" si="11" ref="BK10:BK21">N10+V10+AF10+AN10+AV10+BD10+BJ10</f>
        <v>172698979.98713526</v>
      </c>
      <c r="BL10" s="45">
        <v>92287000</v>
      </c>
      <c r="BM10" s="40">
        <v>2142</v>
      </c>
      <c r="BN10" s="40">
        <v>1864</v>
      </c>
      <c r="BO10" s="13">
        <f>(0.2475*BM10/2347)/((1-0.2475)+(0.2475*BM10/2347))</f>
        <v>0.2308729947033495</v>
      </c>
      <c r="BP10" s="13">
        <f>8.4/11.1</f>
        <v>0.7567567567567568</v>
      </c>
      <c r="BQ10" s="42">
        <v>551965</v>
      </c>
      <c r="BR10" s="46">
        <v>1737080</v>
      </c>
      <c r="BS10" s="43">
        <f>BL10*(BN10/BM10)*BO10*BP10*(BQ10/BR10)</f>
        <v>4458493.456828632</v>
      </c>
      <c r="BT10" s="44">
        <v>20.67</v>
      </c>
      <c r="BU10" s="16">
        <f aca="true" t="shared" si="12" ref="BU10:BU41">BS10*BT10</f>
        <v>92157059.75264783</v>
      </c>
      <c r="BV10" s="17">
        <f aca="true" t="shared" si="13" ref="BV10:BV41">BK10+BU10</f>
        <v>264856039.7397831</v>
      </c>
      <c r="BW10" s="48">
        <f>BV10/$BV$62</f>
        <v>0.017216036229904287</v>
      </c>
      <c r="BX10" s="18">
        <f aca="true" t="shared" si="14" ref="BX10:BX41">BV10/$BV$62</f>
        <v>0.017216036229904287</v>
      </c>
      <c r="BY10" s="49">
        <v>0.018273154536252778</v>
      </c>
      <c r="BZ10" s="20"/>
      <c r="CA10" s="20"/>
      <c r="CC10" s="50"/>
      <c r="CF10" s="50"/>
      <c r="CH10" s="20"/>
      <c r="CI10" s="50"/>
      <c r="CL10" s="50"/>
      <c r="CN10" s="21"/>
      <c r="CO10" s="50"/>
      <c r="CR10" s="50"/>
      <c r="CU10" s="51"/>
      <c r="CV10" s="21"/>
      <c r="CW10" s="38"/>
      <c r="CY10" s="38"/>
      <c r="DE10" s="51"/>
      <c r="DF10" s="21"/>
      <c r="DG10" s="38"/>
      <c r="DM10" s="51"/>
      <c r="DN10" s="21"/>
      <c r="DU10" s="51"/>
      <c r="DV10" s="21"/>
      <c r="EA10" s="51"/>
      <c r="EB10" s="21"/>
      <c r="EE10" s="52"/>
      <c r="EI10" s="21"/>
      <c r="EJ10" s="21"/>
      <c r="EK10" s="20"/>
      <c r="EP10" s="21"/>
      <c r="EQ10" s="21"/>
    </row>
    <row r="11" spans="1:147" ht="12.75">
      <c r="A11" s="53" t="s">
        <v>147</v>
      </c>
      <c r="B11" s="28">
        <v>4</v>
      </c>
      <c r="C11" s="28">
        <v>1</v>
      </c>
      <c r="D11" s="28">
        <v>1</v>
      </c>
      <c r="E11" s="40">
        <v>10338</v>
      </c>
      <c r="F11" s="41">
        <v>11525</v>
      </c>
      <c r="G11" s="45">
        <v>2790000</v>
      </c>
      <c r="H11" s="13">
        <f>((1*$E11)/7065)/((1-1)+(1*$E11)/7065)</f>
        <v>1</v>
      </c>
      <c r="I11" s="46">
        <v>1090</v>
      </c>
      <c r="J11" s="42">
        <v>365</v>
      </c>
      <c r="K11" s="13">
        <v>1</v>
      </c>
      <c r="L11" s="43">
        <f aca="true" t="shared" si="15" ref="L11:L41">G11*(F11/E11)*H11*(J11/I11)*K11</f>
        <v>1041537.6556784358</v>
      </c>
      <c r="M11" s="44">
        <v>2.13</v>
      </c>
      <c r="N11" s="16">
        <f>L11*M11</f>
        <v>2218475.2065950683</v>
      </c>
      <c r="O11" s="45">
        <v>17634000</v>
      </c>
      <c r="P11" s="13">
        <f>(0.8238*E11/7065)/((1-0.8238)+(0.8238*E11/7065))</f>
        <v>0.8724705385986907</v>
      </c>
      <c r="Q11" s="46">
        <v>101703</v>
      </c>
      <c r="R11" s="42">
        <v>16565</v>
      </c>
      <c r="S11" s="13">
        <f>34.7/45.2</f>
        <v>0.7676991150442478</v>
      </c>
      <c r="T11" s="43">
        <f t="shared" si="0"/>
        <v>2144641.619727516</v>
      </c>
      <c r="U11" s="44">
        <v>4.69</v>
      </c>
      <c r="V11" s="16">
        <f t="shared" si="1"/>
        <v>10058369.196522051</v>
      </c>
      <c r="W11" s="45">
        <v>7007000</v>
      </c>
      <c r="X11" s="47">
        <v>0</v>
      </c>
      <c r="Y11" s="45">
        <f aca="true" t="shared" si="16" ref="Y11:Y60">W11+((X11*0.4551)*W11)</f>
        <v>7007000</v>
      </c>
      <c r="Z11" s="13">
        <f>((1*$E11)/7065)/((1-1)+(1*$E11)/7065)</f>
        <v>1</v>
      </c>
      <c r="AA11" s="46">
        <v>79429</v>
      </c>
      <c r="AB11" s="42">
        <v>18570</v>
      </c>
      <c r="AC11" s="13">
        <v>1</v>
      </c>
      <c r="AD11" s="43">
        <f t="shared" si="2"/>
        <v>1826288.2820983871</v>
      </c>
      <c r="AE11" s="44">
        <v>9.64</v>
      </c>
      <c r="AF11" s="16">
        <f t="shared" si="3"/>
        <v>17605419.039428454</v>
      </c>
      <c r="AG11" s="45">
        <v>95000</v>
      </c>
      <c r="AH11" s="13">
        <f>(0.9738*E11/7065)/((1-0.9738)+(0.9738*E11/7065))</f>
        <v>0.9819451294162097</v>
      </c>
      <c r="AI11" s="46">
        <v>79429</v>
      </c>
      <c r="AJ11" s="42">
        <v>18570</v>
      </c>
      <c r="AK11" s="13">
        <f>39/40.8</f>
        <v>0.9558823529411765</v>
      </c>
      <c r="AL11" s="43">
        <f t="shared" si="4"/>
        <v>23240.87552303541</v>
      </c>
      <c r="AM11" s="44">
        <v>9.2</v>
      </c>
      <c r="AN11" s="16">
        <f>AL11*AM11</f>
        <v>213816.05481192577</v>
      </c>
      <c r="AO11" s="45">
        <v>704000</v>
      </c>
      <c r="AP11" s="13">
        <f>(0.8611*E11/7065)/((1-0.8611)+(0.8611*E11/7065))</f>
        <v>0.9007092239484096</v>
      </c>
      <c r="AQ11" s="46">
        <v>4873</v>
      </c>
      <c r="AR11" s="42">
        <v>1315</v>
      </c>
      <c r="AS11" s="13">
        <f>49.5/47.5</f>
        <v>1.0421052631578946</v>
      </c>
      <c r="AT11" s="43">
        <f t="shared" si="5"/>
        <v>198793.6951517</v>
      </c>
      <c r="AU11" s="44">
        <v>18.49</v>
      </c>
      <c r="AV11" s="16">
        <f t="shared" si="6"/>
        <v>3675695.4233549326</v>
      </c>
      <c r="AW11" s="45">
        <v>6366000</v>
      </c>
      <c r="AX11" s="13">
        <f>(0.2308*E11/7065)/((1-0.2308)+(0.2308*E11/7065))</f>
        <v>0.3051004855449749</v>
      </c>
      <c r="AY11" s="46">
        <v>22697</v>
      </c>
      <c r="AZ11" s="42">
        <v>7580</v>
      </c>
      <c r="BA11" s="13">
        <f>8.2/10.9</f>
        <v>0.7522935779816513</v>
      </c>
      <c r="BB11" s="43">
        <f t="shared" si="7"/>
        <v>544003.9357395591</v>
      </c>
      <c r="BC11" s="44">
        <v>33.57</v>
      </c>
      <c r="BD11" s="16">
        <f t="shared" si="8"/>
        <v>18262212.122777</v>
      </c>
      <c r="BE11" s="13">
        <f>2.78*(F11/7065)</f>
        <v>4.534961075725406</v>
      </c>
      <c r="BF11" s="46">
        <v>8202</v>
      </c>
      <c r="BG11" s="45">
        <f t="shared" si="9"/>
        <v>37195.75074309979</v>
      </c>
      <c r="BH11" s="13">
        <f>4.42/2.78</f>
        <v>1.589928057553957</v>
      </c>
      <c r="BI11" s="43">
        <f t="shared" si="10"/>
        <v>1182771.354564756</v>
      </c>
      <c r="BJ11" s="16">
        <f aca="true" t="shared" si="17" ref="BJ11:BJ60">BI11*4.33</f>
        <v>5121399.965265393</v>
      </c>
      <c r="BK11" s="16">
        <f t="shared" si="11"/>
        <v>57155387.00875483</v>
      </c>
      <c r="BL11" s="45">
        <v>6366000</v>
      </c>
      <c r="BM11" s="40">
        <v>1</v>
      </c>
      <c r="BN11" s="40">
        <v>4</v>
      </c>
      <c r="BO11" s="49">
        <f>(0.0379*BM11/522)/((1-0.0379)+(0.0379*BM11/522))</f>
        <v>7.545981207520259E-05</v>
      </c>
      <c r="BP11" s="13">
        <f>2.8/3.8</f>
        <v>0.7368421052631579</v>
      </c>
      <c r="BQ11" s="42">
        <v>49270</v>
      </c>
      <c r="BR11" s="46">
        <v>221600</v>
      </c>
      <c r="BS11" s="43">
        <f>BL11*(BN11/BM11)*BO11*BP11*(BQ11/BR11)</f>
        <v>314.79627584723806</v>
      </c>
      <c r="BT11" s="44">
        <v>33.57</v>
      </c>
      <c r="BU11" s="16">
        <f t="shared" si="12"/>
        <v>10567.710980191781</v>
      </c>
      <c r="BV11" s="17">
        <f t="shared" si="13"/>
        <v>57165954.71973502</v>
      </c>
      <c r="BW11" s="48">
        <f aca="true" t="shared" si="18" ref="BW11:BW60">BV11/$BV$62</f>
        <v>0.0037158720206605773</v>
      </c>
      <c r="BX11" s="18">
        <f t="shared" si="14"/>
        <v>0.0037158720206605773</v>
      </c>
      <c r="BY11" s="49">
        <v>0.003944038149299719</v>
      </c>
      <c r="BZ11" s="20"/>
      <c r="CA11" s="20"/>
      <c r="CC11" s="50"/>
      <c r="CF11" s="50"/>
      <c r="CH11" s="20"/>
      <c r="CI11" s="50"/>
      <c r="CL11" s="50"/>
      <c r="CN11" s="21"/>
      <c r="CO11" s="50"/>
      <c r="CR11" s="50"/>
      <c r="CU11" s="51"/>
      <c r="CV11" s="21"/>
      <c r="CW11" s="38"/>
      <c r="CX11" s="54"/>
      <c r="CY11" s="38"/>
      <c r="DE11" s="51"/>
      <c r="DF11" s="21"/>
      <c r="DG11" s="38"/>
      <c r="DM11" s="51"/>
      <c r="DN11" s="21"/>
      <c r="DU11" s="51"/>
      <c r="DV11" s="21"/>
      <c r="EA11" s="51"/>
      <c r="EB11" s="21"/>
      <c r="EE11" s="52"/>
      <c r="EI11" s="21"/>
      <c r="EJ11" s="21"/>
      <c r="EK11" s="20"/>
      <c r="EP11" s="21"/>
      <c r="EQ11" s="21"/>
    </row>
    <row r="12" spans="1:147" ht="12.75">
      <c r="A12" s="53" t="s">
        <v>149</v>
      </c>
      <c r="B12" s="28">
        <v>4</v>
      </c>
      <c r="C12" s="28">
        <v>7</v>
      </c>
      <c r="D12" s="28">
        <v>7</v>
      </c>
      <c r="E12" s="40">
        <v>1923</v>
      </c>
      <c r="F12" s="41">
        <v>2160</v>
      </c>
      <c r="G12" s="45">
        <v>1300</v>
      </c>
      <c r="H12" s="13">
        <f>((1*$E12)/3929)/((1-1)+(1*$E12)/3929)</f>
        <v>1</v>
      </c>
      <c r="I12" s="19">
        <v>993</v>
      </c>
      <c r="J12" s="42">
        <v>660</v>
      </c>
      <c r="K12" s="13">
        <v>1</v>
      </c>
      <c r="L12" s="43">
        <f t="shared" si="15"/>
        <v>970.537915172196</v>
      </c>
      <c r="M12" s="44">
        <v>2.62</v>
      </c>
      <c r="N12" s="16">
        <f aca="true" t="shared" si="19" ref="N12:N21">L12*M12</f>
        <v>2542.8093377511536</v>
      </c>
      <c r="O12" s="45">
        <v>33495000</v>
      </c>
      <c r="P12" s="13">
        <f>(0.5239*E12/3929)/((1-0.5239)+(0.5239*E12/3929))</f>
        <v>0.3500486057153984</v>
      </c>
      <c r="Q12" s="46">
        <v>712868</v>
      </c>
      <c r="R12" s="42">
        <v>162545</v>
      </c>
      <c r="S12" s="13">
        <f>32.4/34.4</f>
        <v>0.9418604651162791</v>
      </c>
      <c r="T12" s="43">
        <f t="shared" si="0"/>
        <v>2828354.6399776773</v>
      </c>
      <c r="U12" s="44">
        <v>9.33</v>
      </c>
      <c r="V12" s="16">
        <f t="shared" si="1"/>
        <v>26388548.790991727</v>
      </c>
      <c r="W12" s="45">
        <v>12000</v>
      </c>
      <c r="X12" s="47">
        <v>0</v>
      </c>
      <c r="Y12" s="45">
        <f t="shared" si="16"/>
        <v>12000</v>
      </c>
      <c r="Z12" s="13">
        <f>((1*$E12)/3929)/((1-1)+(1*$E12)/3929)</f>
        <v>1</v>
      </c>
      <c r="AA12" s="46">
        <v>1813</v>
      </c>
      <c r="AB12" s="42">
        <v>605</v>
      </c>
      <c r="AC12" s="13">
        <v>1</v>
      </c>
      <c r="AD12" s="43">
        <f t="shared" si="2"/>
        <v>4497.936122629681</v>
      </c>
      <c r="AE12" s="44">
        <v>7.2</v>
      </c>
      <c r="AF12" s="16">
        <f t="shared" si="3"/>
        <v>32385.140082933707</v>
      </c>
      <c r="AG12" s="45">
        <v>11000</v>
      </c>
      <c r="AH12" s="13">
        <f>(1*E12/3929)/((1-1)+(1*E12/3929))</f>
        <v>1</v>
      </c>
      <c r="AI12" s="46">
        <v>1813</v>
      </c>
      <c r="AJ12" s="42">
        <v>605</v>
      </c>
      <c r="AK12" s="13">
        <f>39/40.8</f>
        <v>0.9558823529411765</v>
      </c>
      <c r="AL12" s="43">
        <f t="shared" si="4"/>
        <v>3941.206283921841</v>
      </c>
      <c r="AM12" s="44">
        <v>9.66</v>
      </c>
      <c r="AN12" s="16">
        <f aca="true" t="shared" si="20" ref="AN12:AN21">AL12*AM12</f>
        <v>38072.05270268499</v>
      </c>
      <c r="AO12" s="45">
        <v>2836000</v>
      </c>
      <c r="AP12" s="13">
        <f>(0.3884*E12/3929)/((1-0.3884)+(0.3884*E12/3929))</f>
        <v>0.23711876834520393</v>
      </c>
      <c r="AQ12" s="46">
        <v>98536</v>
      </c>
      <c r="AR12" s="42">
        <v>31550</v>
      </c>
      <c r="AS12" s="13">
        <f>49.5/47.5</f>
        <v>1.0421052631578946</v>
      </c>
      <c r="AT12" s="43">
        <f t="shared" si="5"/>
        <v>252036.0405926113</v>
      </c>
      <c r="AU12" s="44">
        <v>15.93</v>
      </c>
      <c r="AV12" s="16">
        <f t="shared" si="6"/>
        <v>4014934.126640298</v>
      </c>
      <c r="AW12" s="45">
        <v>76829000</v>
      </c>
      <c r="AX12" s="13">
        <f>(0.0472*E12/3929)/((1-0.0472)+(0.0472*E12/3929))</f>
        <v>0.023671909425950405</v>
      </c>
      <c r="AY12" s="46">
        <v>1033095</v>
      </c>
      <c r="AZ12" s="42">
        <v>218400</v>
      </c>
      <c r="BA12" s="13">
        <f>8.2/10.9</f>
        <v>0.7522935779816513</v>
      </c>
      <c r="BB12" s="43">
        <f t="shared" si="7"/>
        <v>324887.24896658334</v>
      </c>
      <c r="BC12" s="44">
        <v>24.73</v>
      </c>
      <c r="BD12" s="16">
        <f t="shared" si="8"/>
        <v>8034461.666943606</v>
      </c>
      <c r="BE12" s="13">
        <f>0.62*(F12/3929)</f>
        <v>0.34085008908119113</v>
      </c>
      <c r="BF12" s="46">
        <v>39842</v>
      </c>
      <c r="BG12" s="45">
        <f t="shared" si="9"/>
        <v>13580.149249172817</v>
      </c>
      <c r="BH12" s="13">
        <f>1/0.62</f>
        <v>1.6129032258064517</v>
      </c>
      <c r="BI12" s="43">
        <f t="shared" si="10"/>
        <v>438069.330618478</v>
      </c>
      <c r="BJ12" s="16">
        <f t="shared" si="17"/>
        <v>1896840.2015780099</v>
      </c>
      <c r="BK12" s="16">
        <f t="shared" si="11"/>
        <v>40407784.788277</v>
      </c>
      <c r="BL12" s="45">
        <v>76829000</v>
      </c>
      <c r="BM12" s="40">
        <v>3241</v>
      </c>
      <c r="BN12" s="40">
        <v>2861</v>
      </c>
      <c r="BO12" s="13">
        <f>(0.1173*BM12/958)/((1-0.1173)+(0.1173*BM12/958))</f>
        <v>0.31014078281710683</v>
      </c>
      <c r="BP12" s="13">
        <f>2.8/3.8</f>
        <v>0.7368421052631579</v>
      </c>
      <c r="BQ12" s="42">
        <v>439345</v>
      </c>
      <c r="BR12" s="46">
        <v>1901327</v>
      </c>
      <c r="BS12" s="43">
        <f aca="true" t="shared" si="21" ref="BS12:BS43">BL12*(BN12/BM12)*BO12*BP12*(BQ12/BR12)</f>
        <v>3581345.2784665837</v>
      </c>
      <c r="BT12" s="44">
        <v>24.73</v>
      </c>
      <c r="BU12" s="16">
        <f t="shared" si="12"/>
        <v>88566668.73647861</v>
      </c>
      <c r="BV12" s="17">
        <f t="shared" si="13"/>
        <v>128974453.52475561</v>
      </c>
      <c r="BW12" s="48">
        <f t="shared" si="18"/>
        <v>0.008383531169596267</v>
      </c>
      <c r="BX12" s="18">
        <f t="shared" si="14"/>
        <v>0.008383531169596267</v>
      </c>
      <c r="BY12" s="49">
        <v>0.00889830612434627</v>
      </c>
      <c r="BZ12" s="20"/>
      <c r="CA12" s="20"/>
      <c r="CC12" s="50"/>
      <c r="CF12" s="50"/>
      <c r="CH12" s="20"/>
      <c r="CI12" s="50"/>
      <c r="CL12" s="50"/>
      <c r="CN12" s="21"/>
      <c r="CO12" s="50"/>
      <c r="CR12" s="50"/>
      <c r="CU12" s="51"/>
      <c r="CV12" s="21"/>
      <c r="CW12" s="38"/>
      <c r="CY12" s="38"/>
      <c r="DE12" s="51"/>
      <c r="DF12" s="21"/>
      <c r="DG12" s="38"/>
      <c r="DM12" s="51"/>
      <c r="DN12" s="21"/>
      <c r="DU12" s="51"/>
      <c r="DV12" s="21"/>
      <c r="EA12" s="51"/>
      <c r="EB12" s="21"/>
      <c r="EE12" s="52"/>
      <c r="EI12" s="21"/>
      <c r="EJ12" s="21"/>
      <c r="EK12" s="20"/>
      <c r="EP12" s="21"/>
      <c r="EQ12" s="21"/>
    </row>
    <row r="13" spans="1:147" ht="12.75">
      <c r="A13" s="39" t="s">
        <v>150</v>
      </c>
      <c r="B13" s="28">
        <v>3</v>
      </c>
      <c r="C13" s="28">
        <v>4</v>
      </c>
      <c r="D13" s="28">
        <v>4</v>
      </c>
      <c r="E13" s="40">
        <v>3502</v>
      </c>
      <c r="F13" s="41">
        <v>3505</v>
      </c>
      <c r="G13" s="45">
        <v>350</v>
      </c>
      <c r="H13" s="13">
        <f>((1*$E13)/3300)/((1-1)+(1*$E13)/3300)</f>
        <v>1</v>
      </c>
      <c r="I13" s="19">
        <v>46</v>
      </c>
      <c r="J13" s="42">
        <v>20</v>
      </c>
      <c r="K13" s="13">
        <f>73.9/75</f>
        <v>0.9853333333333334</v>
      </c>
      <c r="L13" s="43">
        <f t="shared" si="15"/>
        <v>150.0704773255862</v>
      </c>
      <c r="M13" s="44" t="s">
        <v>148</v>
      </c>
      <c r="N13" s="16">
        <f t="shared" si="19"/>
        <v>0</v>
      </c>
      <c r="O13" s="45">
        <v>36914000</v>
      </c>
      <c r="P13" s="13">
        <f>(0.7073*E13/3300)/((1-0.7073)+(0.7073*E13/3300))</f>
        <v>0.719446650772584</v>
      </c>
      <c r="Q13" s="46">
        <v>506400</v>
      </c>
      <c r="R13" s="42">
        <v>126790</v>
      </c>
      <c r="S13" s="13">
        <f>32.4/34.4</f>
        <v>0.9418604651162791</v>
      </c>
      <c r="T13" s="43">
        <f t="shared" si="0"/>
        <v>6268151.086311211</v>
      </c>
      <c r="U13" s="44">
        <v>7.29</v>
      </c>
      <c r="V13" s="16">
        <f t="shared" si="1"/>
        <v>45694821.41920873</v>
      </c>
      <c r="W13" s="45">
        <v>5000</v>
      </c>
      <c r="X13" s="47">
        <v>0.1223</v>
      </c>
      <c r="Y13" s="45">
        <f t="shared" si="16"/>
        <v>5278.29365</v>
      </c>
      <c r="Z13" s="13">
        <f>((1*$E13)/3300)/((1-1)+(1*$E13)/3300)</f>
        <v>1</v>
      </c>
      <c r="AA13" s="46">
        <v>1206</v>
      </c>
      <c r="AB13" s="42">
        <v>430</v>
      </c>
      <c r="AC13" s="13">
        <f>73.9/75</f>
        <v>0.9853333333333334</v>
      </c>
      <c r="AD13" s="43">
        <f t="shared" si="2"/>
        <v>1855.9648685083853</v>
      </c>
      <c r="AE13" s="44">
        <v>8.4</v>
      </c>
      <c r="AF13" s="16">
        <f t="shared" si="3"/>
        <v>15590.104895470437</v>
      </c>
      <c r="AG13" s="45">
        <v>203000</v>
      </c>
      <c r="AH13" s="13">
        <f>(0.9779*E13/3300)/((1-0.9779)+(0.9779*E13/3300))</f>
        <v>0.9791481762674166</v>
      </c>
      <c r="AI13" s="46">
        <v>1206</v>
      </c>
      <c r="AJ13" s="42">
        <v>430</v>
      </c>
      <c r="AK13" s="13">
        <f>32.4/31.1</f>
        <v>1.0418006430868165</v>
      </c>
      <c r="AL13" s="43">
        <f t="shared" si="4"/>
        <v>73896.20012540415</v>
      </c>
      <c r="AM13" s="44">
        <v>7.83</v>
      </c>
      <c r="AN13" s="16">
        <f t="shared" si="20"/>
        <v>578607.2469819145</v>
      </c>
      <c r="AO13" s="45">
        <v>5389000</v>
      </c>
      <c r="AP13" s="13">
        <f>(0.8985*E13/3300)/((1-0.8985)+(0.8985*E13/3300))</f>
        <v>0.9037913862915866</v>
      </c>
      <c r="AQ13" s="46">
        <v>140936</v>
      </c>
      <c r="AR13" s="42">
        <v>44565</v>
      </c>
      <c r="AS13" s="13">
        <f>33.8/45.1</f>
        <v>0.7494456762749445</v>
      </c>
      <c r="AT13" s="43">
        <f t="shared" si="5"/>
        <v>1155208.537835883</v>
      </c>
      <c r="AU13" s="44">
        <v>14.7</v>
      </c>
      <c r="AV13" s="16">
        <f t="shared" si="6"/>
        <v>16981565.50618748</v>
      </c>
      <c r="AW13" s="45">
        <v>47923000</v>
      </c>
      <c r="AX13" s="13">
        <f>(0.1343*E13/3300)/((1-0.1343)+(0.1343*E13/3300))</f>
        <v>0.14135870792610783</v>
      </c>
      <c r="AY13" s="46">
        <v>340734</v>
      </c>
      <c r="AZ13" s="42">
        <v>87490</v>
      </c>
      <c r="BA13" s="13">
        <f>12.1/13.5</f>
        <v>0.8962962962962963</v>
      </c>
      <c r="BB13" s="43">
        <f t="shared" si="7"/>
        <v>1560389.4000650344</v>
      </c>
      <c r="BC13" s="44">
        <v>21.85</v>
      </c>
      <c r="BD13" s="16">
        <f t="shared" si="8"/>
        <v>34094508.391421005</v>
      </c>
      <c r="BE13" s="13">
        <f>0.91*(F13/3300)</f>
        <v>0.966530303030303</v>
      </c>
      <c r="BF13" s="46">
        <v>49379</v>
      </c>
      <c r="BG13" s="45">
        <f t="shared" si="9"/>
        <v>47726.29983333333</v>
      </c>
      <c r="BH13" s="13">
        <f>1.17/0.91</f>
        <v>1.2857142857142856</v>
      </c>
      <c r="BI13" s="43">
        <f t="shared" si="10"/>
        <v>1227247.7099999997</v>
      </c>
      <c r="BJ13" s="16">
        <f t="shared" si="17"/>
        <v>5313982.584299999</v>
      </c>
      <c r="BK13" s="16">
        <f t="shared" si="11"/>
        <v>102679075.2529946</v>
      </c>
      <c r="BL13" s="45">
        <v>47923000</v>
      </c>
      <c r="BM13" s="40">
        <v>1826</v>
      </c>
      <c r="BN13" s="40">
        <v>1762</v>
      </c>
      <c r="BO13" s="13">
        <f>(0.1862*BM13/1675)/((1-0.1862)+(0.1862*BM13/1675))</f>
        <v>0.19963476361742083</v>
      </c>
      <c r="BP13" s="13">
        <f>8.4/11.1</f>
        <v>0.7567567567567568</v>
      </c>
      <c r="BQ13" s="42">
        <v>275395</v>
      </c>
      <c r="BR13" s="46">
        <v>1042696</v>
      </c>
      <c r="BS13" s="43">
        <f t="shared" si="21"/>
        <v>1845185.1418350947</v>
      </c>
      <c r="BT13" s="44">
        <v>21.85</v>
      </c>
      <c r="BU13" s="16">
        <f t="shared" si="12"/>
        <v>40317295.34909682</v>
      </c>
      <c r="BV13" s="17">
        <f t="shared" si="13"/>
        <v>142996370.60209143</v>
      </c>
      <c r="BW13" s="48">
        <f t="shared" si="18"/>
        <v>0.009294976619937141</v>
      </c>
      <c r="BX13" s="18">
        <f t="shared" si="14"/>
        <v>0.009294976619937141</v>
      </c>
      <c r="BY13" s="49">
        <v>0.009865717167343122</v>
      </c>
      <c r="BZ13" s="20"/>
      <c r="CA13" s="20"/>
      <c r="CC13" s="50"/>
      <c r="CF13" s="50"/>
      <c r="CH13" s="20"/>
      <c r="CI13" s="50"/>
      <c r="CL13" s="50"/>
      <c r="CN13" s="21"/>
      <c r="CO13" s="50"/>
      <c r="CR13" s="50"/>
      <c r="CU13" s="51"/>
      <c r="CV13" s="21"/>
      <c r="CW13" s="38"/>
      <c r="CY13" s="38"/>
      <c r="DE13" s="51"/>
      <c r="DF13" s="21"/>
      <c r="DG13" s="38"/>
      <c r="DM13" s="51"/>
      <c r="DN13" s="21"/>
      <c r="DU13" s="51"/>
      <c r="DV13" s="21"/>
      <c r="EA13" s="51"/>
      <c r="EB13" s="21"/>
      <c r="EE13" s="52"/>
      <c r="EI13" s="21"/>
      <c r="EJ13" s="21"/>
      <c r="EK13" s="20"/>
      <c r="EP13" s="21"/>
      <c r="EQ13" s="21"/>
    </row>
    <row r="14" spans="1:147" ht="12.75">
      <c r="A14" s="53" t="s">
        <v>151</v>
      </c>
      <c r="B14" s="28">
        <v>4</v>
      </c>
      <c r="C14" s="28">
        <v>4</v>
      </c>
      <c r="D14" s="28">
        <v>4</v>
      </c>
      <c r="E14" s="40">
        <v>2550</v>
      </c>
      <c r="F14" s="41">
        <v>2634</v>
      </c>
      <c r="G14" s="45">
        <v>878000</v>
      </c>
      <c r="H14" s="13">
        <f>((1*$E14)/2144)/((1-1)+(1*$E14)/2144)</f>
        <v>1</v>
      </c>
      <c r="I14" s="19">
        <v>734</v>
      </c>
      <c r="J14" s="42">
        <v>315</v>
      </c>
      <c r="K14" s="13">
        <v>1</v>
      </c>
      <c r="L14" s="43">
        <f t="shared" si="15"/>
        <v>389210.5465619491</v>
      </c>
      <c r="M14" s="44">
        <v>3.72</v>
      </c>
      <c r="N14" s="16">
        <f t="shared" si="19"/>
        <v>1447863.2332104507</v>
      </c>
      <c r="O14" s="45">
        <v>578615000</v>
      </c>
      <c r="P14" s="13">
        <f>(0.4601*E14/2144)/((1-0.4601)+(0.4601*E14/2144))</f>
        <v>0.5033699579449226</v>
      </c>
      <c r="Q14" s="46">
        <v>8114829</v>
      </c>
      <c r="R14" s="42">
        <v>1988975</v>
      </c>
      <c r="S14" s="13">
        <f>32.4/34.4</f>
        <v>0.9418604651162791</v>
      </c>
      <c r="T14" s="43">
        <f t="shared" si="0"/>
        <v>69452693.03627038</v>
      </c>
      <c r="U14" s="44">
        <v>8.4</v>
      </c>
      <c r="V14" s="16">
        <f t="shared" si="1"/>
        <v>583402621.5046712</v>
      </c>
      <c r="W14" s="45">
        <v>590000</v>
      </c>
      <c r="X14" s="47">
        <v>0</v>
      </c>
      <c r="Y14" s="45">
        <f t="shared" si="16"/>
        <v>590000</v>
      </c>
      <c r="Z14" s="13">
        <f>((1*$E14)/2144)/((1-1)+(1*$E14)/2144)</f>
        <v>1</v>
      </c>
      <c r="AA14" s="46">
        <v>36675</v>
      </c>
      <c r="AB14" s="42">
        <v>10940</v>
      </c>
      <c r="AC14" s="13">
        <v>1</v>
      </c>
      <c r="AD14" s="43">
        <f t="shared" si="2"/>
        <v>181792.01411443925</v>
      </c>
      <c r="AE14" s="44">
        <v>10.77</v>
      </c>
      <c r="AF14" s="16">
        <f t="shared" si="3"/>
        <v>1957899.9920125108</v>
      </c>
      <c r="AG14" s="45">
        <v>1059000</v>
      </c>
      <c r="AH14" s="13">
        <f>(0.9684*E14/2144)/((1-0.9684)+(0.9684*E14/2144))</f>
        <v>0.9732968664619451</v>
      </c>
      <c r="AI14" s="46">
        <v>36675</v>
      </c>
      <c r="AJ14" s="42">
        <v>10940</v>
      </c>
      <c r="AK14" s="13">
        <f>39/40.8</f>
        <v>0.9558823529411765</v>
      </c>
      <c r="AL14" s="43">
        <f t="shared" si="4"/>
        <v>303576.7581424173</v>
      </c>
      <c r="AM14" s="44">
        <v>9.87</v>
      </c>
      <c r="AN14" s="16">
        <f t="shared" si="20"/>
        <v>2996302.6028656587</v>
      </c>
      <c r="AO14" s="45">
        <v>14751000</v>
      </c>
      <c r="AP14" s="13">
        <f>(0.5093*E14/2144)/((1-0.5093)+(0.5093*E14/2144))</f>
        <v>0.5524622977656993</v>
      </c>
      <c r="AQ14" s="46">
        <v>434972</v>
      </c>
      <c r="AR14" s="42">
        <v>127755</v>
      </c>
      <c r="AS14" s="13">
        <f>49.5/47.5</f>
        <v>1.0421052631578946</v>
      </c>
      <c r="AT14" s="43">
        <f t="shared" si="5"/>
        <v>2576486.6274846415</v>
      </c>
      <c r="AU14" s="44">
        <v>16.28</v>
      </c>
      <c r="AV14" s="16">
        <f t="shared" si="6"/>
        <v>41945202.295449965</v>
      </c>
      <c r="AW14" s="45">
        <v>254160000</v>
      </c>
      <c r="AX14" s="13">
        <f>(0.0645*E14/2144)/((1-0.0645)+(0.0645*E14/2144))</f>
        <v>0.07578839980149177</v>
      </c>
      <c r="AY14" s="46">
        <v>2505406</v>
      </c>
      <c r="AZ14" s="42">
        <v>793615</v>
      </c>
      <c r="BA14" s="13">
        <f>8.2/10.9</f>
        <v>0.7522935779816513</v>
      </c>
      <c r="BB14" s="43">
        <f t="shared" si="7"/>
        <v>4741378.636260615</v>
      </c>
      <c r="BC14" s="44">
        <v>31.92</v>
      </c>
      <c r="BD14" s="16">
        <f t="shared" si="8"/>
        <v>151344806.06943884</v>
      </c>
      <c r="BE14" s="13">
        <f>1.03*(F14/2144)</f>
        <v>1.2654011194029853</v>
      </c>
      <c r="BF14" s="46">
        <v>204699</v>
      </c>
      <c r="BG14" s="45">
        <f t="shared" si="9"/>
        <v>259026.34374067167</v>
      </c>
      <c r="BH14" s="13">
        <f>2.69/1.03</f>
        <v>2.611650485436893</v>
      </c>
      <c r="BI14" s="43">
        <f t="shared" si="10"/>
        <v>13529725.527425373</v>
      </c>
      <c r="BJ14" s="16">
        <f t="shared" si="17"/>
        <v>58583711.53375187</v>
      </c>
      <c r="BK14" s="16">
        <f t="shared" si="11"/>
        <v>841678407.2314005</v>
      </c>
      <c r="BL14" s="45">
        <v>254160000</v>
      </c>
      <c r="BM14" s="40">
        <v>878</v>
      </c>
      <c r="BN14" s="40">
        <v>905</v>
      </c>
      <c r="BO14" s="13">
        <f>(0.0751*BM14/906)/((1-0.0751)+(0.0751*BM14/906))</f>
        <v>0.07294833970057657</v>
      </c>
      <c r="BP14" s="13">
        <f>2.8/3.8</f>
        <v>0.7368421052631579</v>
      </c>
      <c r="BQ14" s="42">
        <v>3084760</v>
      </c>
      <c r="BR14" s="46">
        <v>11502870</v>
      </c>
      <c r="BS14" s="43">
        <f t="shared" si="21"/>
        <v>3776298.193422177</v>
      </c>
      <c r="BT14" s="44">
        <v>31.92</v>
      </c>
      <c r="BU14" s="16">
        <f t="shared" si="12"/>
        <v>120539438.33403589</v>
      </c>
      <c r="BV14" s="17">
        <f t="shared" si="13"/>
        <v>962217845.5654364</v>
      </c>
      <c r="BW14" s="48">
        <f t="shared" si="18"/>
        <v>0.0625455900744813</v>
      </c>
      <c r="BX14" s="18">
        <f t="shared" si="14"/>
        <v>0.0625455900744813</v>
      </c>
      <c r="BY14" s="49">
        <v>0.06638608433031094</v>
      </c>
      <c r="BZ14" s="20"/>
      <c r="CA14" s="20"/>
      <c r="CC14" s="50"/>
      <c r="CF14" s="50"/>
      <c r="CH14" s="20"/>
      <c r="CI14" s="50"/>
      <c r="CL14" s="50"/>
      <c r="CN14" s="21"/>
      <c r="CO14" s="50"/>
      <c r="CR14" s="50"/>
      <c r="CU14" s="51"/>
      <c r="CV14" s="21"/>
      <c r="CW14" s="38"/>
      <c r="CY14" s="38"/>
      <c r="DE14" s="51"/>
      <c r="DF14" s="21"/>
      <c r="DG14" s="38"/>
      <c r="DM14" s="51"/>
      <c r="DN14" s="21"/>
      <c r="DU14" s="51"/>
      <c r="DV14" s="21"/>
      <c r="EA14" s="51"/>
      <c r="EB14" s="21"/>
      <c r="EE14" s="52"/>
      <c r="EI14" s="21"/>
      <c r="EJ14" s="21"/>
      <c r="EK14" s="20"/>
      <c r="EP14" s="21"/>
      <c r="EQ14" s="21"/>
    </row>
    <row r="15" spans="1:147" ht="12.75">
      <c r="A15" s="53" t="s">
        <v>152</v>
      </c>
      <c r="B15" s="28">
        <v>4</v>
      </c>
      <c r="C15" s="28">
        <v>2</v>
      </c>
      <c r="D15" s="28">
        <v>2</v>
      </c>
      <c r="E15" s="40">
        <v>7184</v>
      </c>
      <c r="F15" s="41">
        <v>7410</v>
      </c>
      <c r="G15" s="45">
        <v>424000</v>
      </c>
      <c r="H15" s="13">
        <f>((1*$E15)/5885)/((1-1)+(1*$E15)/5885)</f>
        <v>1</v>
      </c>
      <c r="I15" s="46">
        <v>2092</v>
      </c>
      <c r="J15" s="42">
        <v>725</v>
      </c>
      <c r="K15" s="13">
        <v>1</v>
      </c>
      <c r="L15" s="43">
        <f t="shared" si="15"/>
        <v>151563.30511397752</v>
      </c>
      <c r="M15" s="44">
        <v>2.13</v>
      </c>
      <c r="N15" s="16">
        <f t="shared" si="19"/>
        <v>322829.8398927721</v>
      </c>
      <c r="O15" s="45">
        <v>112350000</v>
      </c>
      <c r="P15" s="13">
        <f>(0.7053*E15/6171)/((1-0.7053)+(0.7053*E15/6171))</f>
        <v>0.735879469298017</v>
      </c>
      <c r="Q15" s="46">
        <v>1241383</v>
      </c>
      <c r="R15" s="42">
        <v>264430</v>
      </c>
      <c r="S15" s="13">
        <f>32.4/34.4</f>
        <v>0.9418604651162791</v>
      </c>
      <c r="T15" s="43">
        <f t="shared" si="0"/>
        <v>17108941.70340831</v>
      </c>
      <c r="U15" s="44">
        <v>6.1</v>
      </c>
      <c r="V15" s="16">
        <f t="shared" si="1"/>
        <v>104364544.39079067</v>
      </c>
      <c r="W15" s="45">
        <v>65000</v>
      </c>
      <c r="X15" s="47">
        <v>0</v>
      </c>
      <c r="Y15" s="45">
        <f t="shared" si="16"/>
        <v>65000</v>
      </c>
      <c r="Z15" s="13">
        <f>((1*$E15)/5885)/((1-1)+(1*$E15)/5885)</f>
        <v>1</v>
      </c>
      <c r="AA15" s="46">
        <v>2494</v>
      </c>
      <c r="AB15" s="42">
        <v>715</v>
      </c>
      <c r="AC15" s="13">
        <v>1</v>
      </c>
      <c r="AD15" s="43">
        <f t="shared" si="2"/>
        <v>19220.949320685904</v>
      </c>
      <c r="AE15" s="44">
        <v>9.27</v>
      </c>
      <c r="AF15" s="16">
        <f t="shared" si="3"/>
        <v>178178.20020275834</v>
      </c>
      <c r="AG15" s="45">
        <v>93000</v>
      </c>
      <c r="AH15" s="13">
        <f>(1*E15/6171)/((1-1)+(1*E15/6171))</f>
        <v>1</v>
      </c>
      <c r="AI15" s="46">
        <v>2494</v>
      </c>
      <c r="AJ15" s="42">
        <v>715</v>
      </c>
      <c r="AK15" s="13">
        <f>39/40.8</f>
        <v>0.9558823529411765</v>
      </c>
      <c r="AL15" s="43">
        <f t="shared" si="4"/>
        <v>26287.474806232192</v>
      </c>
      <c r="AM15" s="44">
        <v>7.71</v>
      </c>
      <c r="AN15" s="16">
        <f t="shared" si="20"/>
        <v>202676.4307560502</v>
      </c>
      <c r="AO15" s="45">
        <v>7592000</v>
      </c>
      <c r="AP15" s="13">
        <f>(0.8119*E15/5885)/((1-0.8119)+(0.8119*E15/5885))</f>
        <v>0.840486594000935</v>
      </c>
      <c r="AQ15" s="46">
        <v>102827</v>
      </c>
      <c r="AR15" s="42">
        <v>27465</v>
      </c>
      <c r="AS15" s="13">
        <f>49.5/47.5</f>
        <v>1.0421052631578946</v>
      </c>
      <c r="AT15" s="43">
        <f t="shared" si="5"/>
        <v>1831989.1691620124</v>
      </c>
      <c r="AU15" s="44">
        <v>12.59</v>
      </c>
      <c r="AV15" s="16">
        <f t="shared" si="6"/>
        <v>23064743.639749736</v>
      </c>
      <c r="AW15" s="45">
        <v>44802000</v>
      </c>
      <c r="AX15" s="13">
        <f>(0.1379*E15/5885)/((1-0.1379)+(0.1379*E15/5885))</f>
        <v>0.16336609817586262</v>
      </c>
      <c r="AY15" s="46">
        <v>267077</v>
      </c>
      <c r="AZ15" s="42">
        <v>84850</v>
      </c>
      <c r="BA15" s="13">
        <f>8.2/10.9</f>
        <v>0.7522935779816513</v>
      </c>
      <c r="BB15" s="43">
        <f t="shared" si="7"/>
        <v>1804321.5424769379</v>
      </c>
      <c r="BC15" s="44">
        <v>21.41</v>
      </c>
      <c r="BD15" s="16">
        <f t="shared" si="8"/>
        <v>38630524.22443124</v>
      </c>
      <c r="BE15" s="13">
        <f>1.41*(F15/5885)</f>
        <v>1.775378079864061</v>
      </c>
      <c r="BF15" s="46">
        <v>24090</v>
      </c>
      <c r="BG15" s="45">
        <f t="shared" si="9"/>
        <v>42768.85794392523</v>
      </c>
      <c r="BH15" s="13">
        <f>2.27/1.41</f>
        <v>1.6099290780141846</v>
      </c>
      <c r="BI15" s="43">
        <f t="shared" si="10"/>
        <v>1377096.5607476635</v>
      </c>
      <c r="BJ15" s="16">
        <f t="shared" si="17"/>
        <v>5962828.108037383</v>
      </c>
      <c r="BK15" s="16">
        <f t="shared" si="11"/>
        <v>172726324.8338606</v>
      </c>
      <c r="BL15" s="45">
        <v>44802000</v>
      </c>
      <c r="BM15" s="40">
        <v>449</v>
      </c>
      <c r="BN15" s="40">
        <v>273</v>
      </c>
      <c r="BO15" s="13">
        <f>(0.0494*BM15/583)/((1-0.0494)+(0.0494*BM15/583))</f>
        <v>0.03848257157946384</v>
      </c>
      <c r="BP15" s="13">
        <f>2.8/3.8</f>
        <v>0.7368421052631579</v>
      </c>
      <c r="BQ15" s="42">
        <v>392125</v>
      </c>
      <c r="BR15" s="46">
        <v>1658238</v>
      </c>
      <c r="BS15" s="43">
        <f t="shared" si="21"/>
        <v>182654.2983823344</v>
      </c>
      <c r="BT15" s="44">
        <v>21.41</v>
      </c>
      <c r="BU15" s="16">
        <f t="shared" si="12"/>
        <v>3910628.5283657797</v>
      </c>
      <c r="BV15" s="17">
        <f t="shared" si="13"/>
        <v>176636953.3622264</v>
      </c>
      <c r="BW15" s="48">
        <f t="shared" si="18"/>
        <v>0.01148166449823733</v>
      </c>
      <c r="BX15" s="18">
        <f t="shared" si="14"/>
        <v>0.01148166449823733</v>
      </c>
      <c r="BY15" s="49">
        <v>0.012186674499747169</v>
      </c>
      <c r="BZ15" s="20"/>
      <c r="CA15" s="20"/>
      <c r="CC15" s="50"/>
      <c r="CF15" s="50"/>
      <c r="CH15" s="20"/>
      <c r="CI15" s="50"/>
      <c r="CL15" s="50"/>
      <c r="CN15" s="21"/>
      <c r="CO15" s="50"/>
      <c r="CR15" s="50"/>
      <c r="CU15" s="51"/>
      <c r="CV15" s="21"/>
      <c r="CW15" s="38"/>
      <c r="CY15" s="38"/>
      <c r="DV15" s="21"/>
      <c r="EB15" s="21"/>
      <c r="EE15" s="52"/>
      <c r="EJ15" s="21"/>
      <c r="EK15" s="20"/>
      <c r="EP15" s="21"/>
      <c r="EQ15" s="21"/>
    </row>
    <row r="16" spans="1:77" ht="12.75">
      <c r="A16" s="39" t="s">
        <v>153</v>
      </c>
      <c r="B16" s="28">
        <v>1</v>
      </c>
      <c r="C16" s="28">
        <v>2</v>
      </c>
      <c r="D16" s="28">
        <v>2</v>
      </c>
      <c r="E16" s="40">
        <v>5504</v>
      </c>
      <c r="F16" s="41">
        <v>6068</v>
      </c>
      <c r="G16" s="45">
        <v>108000</v>
      </c>
      <c r="H16" s="13">
        <f>((0.8386*$E16)/6567)/((1-0.8386)+(0.8386*$E16)/6567)</f>
        <v>0.8132497465187715</v>
      </c>
      <c r="I16" s="46">
        <v>1419</v>
      </c>
      <c r="J16" s="42">
        <v>260</v>
      </c>
      <c r="K16" s="13">
        <f>75.3/84.9</f>
        <v>0.8869257950530034</v>
      </c>
      <c r="L16" s="43">
        <f t="shared" si="15"/>
        <v>15735.954002461904</v>
      </c>
      <c r="M16" s="44">
        <v>4.12</v>
      </c>
      <c r="N16" s="16">
        <f t="shared" si="19"/>
        <v>64832.13049014304</v>
      </c>
      <c r="O16" s="45">
        <v>39281000</v>
      </c>
      <c r="P16" s="13">
        <f>(0.7753*E16/6567)/((1-0.7753)+(0.7753*E16/6567))</f>
        <v>0.7430538264749486</v>
      </c>
      <c r="Q16" s="46">
        <v>377550</v>
      </c>
      <c r="R16" s="42">
        <v>122775</v>
      </c>
      <c r="S16" s="13">
        <f>66.4/79.3</f>
        <v>0.8373266078184112</v>
      </c>
      <c r="T16" s="43">
        <f t="shared" si="0"/>
        <v>8761940.859222095</v>
      </c>
      <c r="U16" s="44">
        <v>11.15</v>
      </c>
      <c r="V16" s="16">
        <f t="shared" si="1"/>
        <v>97695640.58032636</v>
      </c>
      <c r="W16" s="45">
        <v>75586000</v>
      </c>
      <c r="X16" s="47">
        <v>0.2392</v>
      </c>
      <c r="Y16" s="45">
        <f t="shared" si="16"/>
        <v>83814285.91312</v>
      </c>
      <c r="Z16" s="13">
        <f>((0.8386*$E16)/6567)/((1-0.8386)+(0.8386*$E16)/6567)</f>
        <v>0.8132497465187715</v>
      </c>
      <c r="AA16" s="46">
        <v>682434</v>
      </c>
      <c r="AB16" s="42">
        <v>152410</v>
      </c>
      <c r="AC16" s="13">
        <f>75.3/84.9</f>
        <v>0.8869257950530034</v>
      </c>
      <c r="AD16" s="43">
        <f t="shared" si="2"/>
        <v>14885013.2568604</v>
      </c>
      <c r="AE16" s="44">
        <v>9.87</v>
      </c>
      <c r="AF16" s="16">
        <f t="shared" si="3"/>
        <v>146915080.84521213</v>
      </c>
      <c r="AG16" s="45">
        <v>1001000</v>
      </c>
      <c r="AH16" s="13">
        <f>(0.9809*E16/6567)/((1-0.9809)+(0.9809*E16/6567))</f>
        <v>0.9772949287559936</v>
      </c>
      <c r="AI16" s="46">
        <v>682434</v>
      </c>
      <c r="AJ16" s="42">
        <v>152410</v>
      </c>
      <c r="AK16" s="13">
        <f>58.5/66.5</f>
        <v>0.8796992481203008</v>
      </c>
      <c r="AL16" s="43">
        <f t="shared" si="4"/>
        <v>211891.67664622847</v>
      </c>
      <c r="AM16" s="44">
        <v>10.34</v>
      </c>
      <c r="AN16" s="16">
        <f t="shared" si="20"/>
        <v>2190959.9365220023</v>
      </c>
      <c r="AO16" s="45">
        <v>3658000</v>
      </c>
      <c r="AP16" s="13">
        <f>(0.5809*E16/6567)/((1-0.5809)+(0.5809*E16/6567))</f>
        <v>0.5374017693208104</v>
      </c>
      <c r="AQ16" s="46">
        <v>31092</v>
      </c>
      <c r="AR16" s="42">
        <v>11270</v>
      </c>
      <c r="AS16" s="13">
        <f>56.9/75.2</f>
        <v>0.7566489361702127</v>
      </c>
      <c r="AT16" s="43">
        <f t="shared" si="5"/>
        <v>594401.1250984578</v>
      </c>
      <c r="AU16" s="44">
        <v>18.69</v>
      </c>
      <c r="AV16" s="16">
        <f t="shared" si="6"/>
        <v>11109357.028090177</v>
      </c>
      <c r="AW16" s="45">
        <v>39644000</v>
      </c>
      <c r="AX16" s="13">
        <f>(0.0966*E16/6567)/((1-0.0966)+(0.0966*E16/6567))</f>
        <v>0.08224946739129729</v>
      </c>
      <c r="AY16" s="46">
        <v>190146</v>
      </c>
      <c r="AZ16" s="42">
        <v>71840</v>
      </c>
      <c r="BA16" s="13">
        <f>14/22.3</f>
        <v>0.6278026905829596</v>
      </c>
      <c r="BB16" s="43">
        <f t="shared" si="7"/>
        <v>852668.0915438677</v>
      </c>
      <c r="BC16" s="44">
        <v>31.82</v>
      </c>
      <c r="BD16" s="16">
        <f t="shared" si="8"/>
        <v>27131898.67292587</v>
      </c>
      <c r="BE16" s="13">
        <f>1.33*(F16/6567)</f>
        <v>1.228938632556723</v>
      </c>
      <c r="BF16" s="46">
        <v>11883</v>
      </c>
      <c r="BG16" s="45">
        <f t="shared" si="9"/>
        <v>14603.477770671541</v>
      </c>
      <c r="BH16" s="13">
        <f>1.34/1.33</f>
        <v>1.0075187969924813</v>
      </c>
      <c r="BI16" s="43">
        <f t="shared" si="10"/>
        <v>294265.5671082687</v>
      </c>
      <c r="BJ16" s="16">
        <f t="shared" si="17"/>
        <v>1274169.9055788033</v>
      </c>
      <c r="BK16" s="16">
        <f t="shared" si="11"/>
        <v>286381939.0991455</v>
      </c>
      <c r="BL16" s="45">
        <v>39644000</v>
      </c>
      <c r="BM16" s="40">
        <v>734</v>
      </c>
      <c r="BN16" s="40">
        <v>568</v>
      </c>
      <c r="BO16" s="13">
        <f>(0.0703*BM16/641)/((1-0.0703)+(0.0703*BM16/641))</f>
        <v>0.07968676428051547</v>
      </c>
      <c r="BP16" s="13">
        <f>1.6/2.5</f>
        <v>0.64</v>
      </c>
      <c r="BQ16" s="42">
        <v>364175</v>
      </c>
      <c r="BR16" s="46">
        <v>1301670</v>
      </c>
      <c r="BS16" s="43">
        <f t="shared" si="21"/>
        <v>437728.821520226</v>
      </c>
      <c r="BT16" s="44">
        <v>31.82</v>
      </c>
      <c r="BU16" s="16">
        <f t="shared" si="12"/>
        <v>13928531.100773592</v>
      </c>
      <c r="BV16" s="17">
        <f t="shared" si="13"/>
        <v>300310470.19991904</v>
      </c>
      <c r="BW16" s="48">
        <f t="shared" si="18"/>
        <v>0.019520626904566702</v>
      </c>
      <c r="BX16" s="18">
        <f t="shared" si="14"/>
        <v>0.019520626904566702</v>
      </c>
      <c r="BY16" s="49">
        <v>0.020719254264351894</v>
      </c>
    </row>
    <row r="17" spans="1:77" ht="12.75">
      <c r="A17" s="39" t="s">
        <v>154</v>
      </c>
      <c r="B17" s="28">
        <v>3</v>
      </c>
      <c r="C17" s="28">
        <v>3</v>
      </c>
      <c r="D17" s="28">
        <v>3</v>
      </c>
      <c r="E17" s="40">
        <v>4209</v>
      </c>
      <c r="F17" s="41">
        <v>4740</v>
      </c>
      <c r="G17" s="45">
        <v>59000</v>
      </c>
      <c r="H17" s="13">
        <f>((0.9042*$E17)/4612)/((1-0.9042)+(0.9042*$E17)/4612)</f>
        <v>0.8959815353933134</v>
      </c>
      <c r="I17" s="19">
        <v>268</v>
      </c>
      <c r="J17" s="42">
        <v>105</v>
      </c>
      <c r="K17" s="13">
        <f>73.9/75</f>
        <v>0.9853333333333334</v>
      </c>
      <c r="L17" s="43">
        <f t="shared" si="15"/>
        <v>22982.018362943138</v>
      </c>
      <c r="M17" s="44">
        <v>3.47</v>
      </c>
      <c r="N17" s="16">
        <f t="shared" si="19"/>
        <v>79747.6037194127</v>
      </c>
      <c r="O17" s="45">
        <v>9453000</v>
      </c>
      <c r="P17" s="13">
        <f>(7119*E17/4612)/((1-0.7119)+(7119*E17/4612))</f>
        <v>0.9999556579895166</v>
      </c>
      <c r="Q17" s="46">
        <v>109931</v>
      </c>
      <c r="R17" s="42">
        <v>24465</v>
      </c>
      <c r="S17" s="13">
        <f>45.6/48.7</f>
        <v>0.9363449691991786</v>
      </c>
      <c r="T17" s="43">
        <f t="shared" si="0"/>
        <v>2218251.2700825958</v>
      </c>
      <c r="U17" s="44">
        <v>8.01</v>
      </c>
      <c r="V17" s="16">
        <f t="shared" si="1"/>
        <v>17768192.673361592</v>
      </c>
      <c r="W17" s="45">
        <v>5340000</v>
      </c>
      <c r="X17" s="47">
        <v>0.1223</v>
      </c>
      <c r="Y17" s="45">
        <f t="shared" si="16"/>
        <v>5637217.6182</v>
      </c>
      <c r="Z17" s="13">
        <f>((0.9042*$E17)/4612)/((1-0.9042)+(0.9042*$E17)/4612)</f>
        <v>0.8959815353933134</v>
      </c>
      <c r="AA17" s="46">
        <v>77469</v>
      </c>
      <c r="AB17" s="42">
        <v>22190</v>
      </c>
      <c r="AC17" s="13">
        <f>73.9/75</f>
        <v>0.9853333333333334</v>
      </c>
      <c r="AD17" s="43">
        <f t="shared" si="2"/>
        <v>1605372.441722342</v>
      </c>
      <c r="AE17" s="44">
        <v>9.16</v>
      </c>
      <c r="AF17" s="16">
        <f t="shared" si="3"/>
        <v>14705211.566176653</v>
      </c>
      <c r="AG17" s="45">
        <v>707000</v>
      </c>
      <c r="AH17" s="13">
        <f>(0.8334*E17/4612)/((1-0.8334)+(0.8334*E17/4612))</f>
        <v>0.8203147614584537</v>
      </c>
      <c r="AI17" s="46">
        <v>77469</v>
      </c>
      <c r="AJ17" s="42">
        <v>22190</v>
      </c>
      <c r="AK17" s="13">
        <f>32.4/31.1</f>
        <v>1.0418006430868165</v>
      </c>
      <c r="AL17" s="43">
        <f t="shared" si="4"/>
        <v>194900.6690111647</v>
      </c>
      <c r="AM17" s="44">
        <v>8.21</v>
      </c>
      <c r="AN17" s="16">
        <f t="shared" si="20"/>
        <v>1600134.4925816623</v>
      </c>
      <c r="AO17" s="45">
        <v>3148000</v>
      </c>
      <c r="AP17" s="13">
        <f>(0.8383*E17/4612)/((1-0.8383)+(0.8383*E17/4612))</f>
        <v>0.8255190469830003</v>
      </c>
      <c r="AQ17" s="46">
        <v>30753</v>
      </c>
      <c r="AR17" s="42">
        <v>8525</v>
      </c>
      <c r="AS17" s="13">
        <f>33.8/45.1</f>
        <v>0.7494456762749445</v>
      </c>
      <c r="AT17" s="43">
        <f t="shared" si="5"/>
        <v>608006.6026424997</v>
      </c>
      <c r="AU17" s="44">
        <v>16.49</v>
      </c>
      <c r="AV17" s="16">
        <f t="shared" si="6"/>
        <v>10026028.87757482</v>
      </c>
      <c r="AW17" s="45">
        <v>12051000</v>
      </c>
      <c r="AX17" s="13">
        <f>(0.1732*E17/4612)/((1-0.1732)+(0.1732*E17/4612))</f>
        <v>0.1604946360358737</v>
      </c>
      <c r="AY17" s="46">
        <v>76440</v>
      </c>
      <c r="AZ17" s="42">
        <v>22490</v>
      </c>
      <c r="BA17" s="13">
        <f>12.1/13.5</f>
        <v>0.8962962962962963</v>
      </c>
      <c r="BB17" s="43">
        <f t="shared" si="7"/>
        <v>574385.4148260104</v>
      </c>
      <c r="BC17" s="44">
        <v>25.03</v>
      </c>
      <c r="BD17" s="16">
        <f t="shared" si="8"/>
        <v>14376866.93309504</v>
      </c>
      <c r="BE17" s="13">
        <f>1.35*(F17/4612)</f>
        <v>1.387467476149176</v>
      </c>
      <c r="BF17" s="46">
        <v>2103</v>
      </c>
      <c r="BG17" s="45">
        <f t="shared" si="9"/>
        <v>2917.844102341717</v>
      </c>
      <c r="BH17" s="13">
        <f>2.11/1.35</f>
        <v>1.5629629629629627</v>
      </c>
      <c r="BI17" s="43">
        <f t="shared" si="10"/>
        <v>91209.64527320032</v>
      </c>
      <c r="BJ17" s="16">
        <f t="shared" si="17"/>
        <v>394937.76403295744</v>
      </c>
      <c r="BK17" s="16">
        <f t="shared" si="11"/>
        <v>58951119.910542145</v>
      </c>
      <c r="BL17" s="45">
        <v>12051000</v>
      </c>
      <c r="BM17" s="40">
        <v>1279</v>
      </c>
      <c r="BN17" s="40">
        <v>1056</v>
      </c>
      <c r="BO17" s="13">
        <f>(0.1407*BM17/1186)/((1-0.1407)+(0.1407*BM17/1186))</f>
        <v>0.1500771713367133</v>
      </c>
      <c r="BP17" s="13">
        <f>8.4/11.1</f>
        <v>0.7567567567567568</v>
      </c>
      <c r="BQ17" s="42">
        <v>78935</v>
      </c>
      <c r="BR17" s="46">
        <v>298736</v>
      </c>
      <c r="BS17" s="43">
        <f t="shared" si="21"/>
        <v>298586.00951326074</v>
      </c>
      <c r="BT17" s="44">
        <v>25.03</v>
      </c>
      <c r="BU17" s="16">
        <f t="shared" si="12"/>
        <v>7473607.818116916</v>
      </c>
      <c r="BV17" s="17">
        <f t="shared" si="13"/>
        <v>66424727.72865906</v>
      </c>
      <c r="BW17" s="48">
        <f t="shared" si="18"/>
        <v>0.004317706027250359</v>
      </c>
      <c r="BX17" s="18">
        <f t="shared" si="14"/>
        <v>0.004317706027250359</v>
      </c>
      <c r="BY17" s="49">
        <v>0.004582826640490551</v>
      </c>
    </row>
    <row r="18" spans="1:147" ht="12.75">
      <c r="A18" s="39" t="s">
        <v>155</v>
      </c>
      <c r="B18" s="28">
        <v>3</v>
      </c>
      <c r="C18" s="28">
        <v>4</v>
      </c>
      <c r="D18" s="28">
        <v>4</v>
      </c>
      <c r="E18" s="40">
        <v>4361</v>
      </c>
      <c r="F18" s="41">
        <v>4848</v>
      </c>
      <c r="G18" s="45">
        <v>345000</v>
      </c>
      <c r="H18" s="13">
        <f>((1*$E18)/3300)/((1-1)+(1*$E18)/3300)</f>
        <v>1</v>
      </c>
      <c r="I18" s="19">
        <v>69</v>
      </c>
      <c r="J18" s="42">
        <v>25</v>
      </c>
      <c r="K18" s="13">
        <f>73.9/75</f>
        <v>0.9853333333333334</v>
      </c>
      <c r="L18" s="43">
        <f t="shared" si="15"/>
        <v>136920.88970419628</v>
      </c>
      <c r="M18" s="44">
        <v>2.94</v>
      </c>
      <c r="N18" s="16">
        <f t="shared" si="19"/>
        <v>402547.41573033703</v>
      </c>
      <c r="O18" s="45">
        <v>14444000</v>
      </c>
      <c r="P18" s="13">
        <f>(0.7073*E18/3300)/((1-0.7073)+(0.7073*E18/3300))</f>
        <v>0.7615299236358037</v>
      </c>
      <c r="Q18" s="46">
        <v>162467</v>
      </c>
      <c r="R18" s="42">
        <v>45120</v>
      </c>
      <c r="S18" s="13">
        <f>45.6/48.7</f>
        <v>0.9363449691991786</v>
      </c>
      <c r="T18" s="43">
        <f t="shared" si="0"/>
        <v>3179733.985543499</v>
      </c>
      <c r="U18" s="44">
        <v>10.53</v>
      </c>
      <c r="V18" s="16">
        <f t="shared" si="1"/>
        <v>33482598.86777304</v>
      </c>
      <c r="W18" s="45">
        <v>1222000</v>
      </c>
      <c r="X18" s="47">
        <v>0.1223</v>
      </c>
      <c r="Y18" s="45">
        <f t="shared" si="16"/>
        <v>1290014.96806</v>
      </c>
      <c r="Z18" s="13">
        <f>((1*$E18)/3300)/((1-1)+(1*$E18)/3300)</f>
        <v>1</v>
      </c>
      <c r="AA18" s="46">
        <v>17047</v>
      </c>
      <c r="AB18" s="42">
        <v>4500</v>
      </c>
      <c r="AC18" s="13">
        <f>73.9/75</f>
        <v>0.9853333333333334</v>
      </c>
      <c r="AD18" s="43">
        <f t="shared" si="2"/>
        <v>373008.73454016546</v>
      </c>
      <c r="AE18" s="44">
        <v>10.39</v>
      </c>
      <c r="AF18" s="16">
        <f t="shared" si="3"/>
        <v>3875560.7518723193</v>
      </c>
      <c r="AG18" s="45">
        <v>30000</v>
      </c>
      <c r="AH18" s="13">
        <f>(0.9779*E18/3300)/((1-0.9779)+(0.9779*E18/3300))</f>
        <v>0.9831863683291029</v>
      </c>
      <c r="AI18" s="46">
        <v>17047</v>
      </c>
      <c r="AJ18" s="42">
        <v>4500</v>
      </c>
      <c r="AK18" s="13">
        <f>32.4/31.1</f>
        <v>1.0418006430868165</v>
      </c>
      <c r="AL18" s="43">
        <f t="shared" si="4"/>
        <v>9017.430453439907</v>
      </c>
      <c r="AM18" s="44">
        <v>8.68</v>
      </c>
      <c r="AN18" s="16">
        <f t="shared" si="20"/>
        <v>78271.2963358584</v>
      </c>
      <c r="AO18" s="45">
        <v>6000</v>
      </c>
      <c r="AP18" s="13">
        <f>(0.8985*E18/3300)/((1-0.8985)+(0.8985*E18/3300))</f>
        <v>0.9212495402108734</v>
      </c>
      <c r="AQ18" s="46">
        <v>4408</v>
      </c>
      <c r="AR18" s="42">
        <v>1735</v>
      </c>
      <c r="AS18" s="13">
        <f>33.8/45.1</f>
        <v>0.7494456762749445</v>
      </c>
      <c r="AT18" s="43">
        <f t="shared" si="5"/>
        <v>1812.6047371511966</v>
      </c>
      <c r="AU18" s="44">
        <v>18.05</v>
      </c>
      <c r="AV18" s="16">
        <f t="shared" si="6"/>
        <v>32717.5155055791</v>
      </c>
      <c r="AW18" s="45">
        <v>5605000</v>
      </c>
      <c r="AX18" s="13">
        <f>(0.1343*E18/3300)/((1-0.1343)+(0.1343*E18/3300))</f>
        <v>0.17013322005106593</v>
      </c>
      <c r="AY18" s="46">
        <v>60016</v>
      </c>
      <c r="AZ18" s="42">
        <v>21100</v>
      </c>
      <c r="BA18" s="13">
        <f>12.1/13.5</f>
        <v>0.8962962962962963</v>
      </c>
      <c r="BB18" s="43">
        <f t="shared" si="7"/>
        <v>334047.5366836358</v>
      </c>
      <c r="BC18" s="44">
        <v>23.53</v>
      </c>
      <c r="BD18" s="16">
        <f t="shared" si="8"/>
        <v>7860138.53816595</v>
      </c>
      <c r="BE18" s="13">
        <f>0.91*(F18/3300)</f>
        <v>1.3368727272727272</v>
      </c>
      <c r="BF18" s="19">
        <v>89</v>
      </c>
      <c r="BG18" s="45">
        <f t="shared" si="9"/>
        <v>118.98167272727272</v>
      </c>
      <c r="BH18" s="13">
        <f>1.17/0.91</f>
        <v>1.2857142857142856</v>
      </c>
      <c r="BI18" s="43">
        <f t="shared" si="10"/>
        <v>3059.528727272727</v>
      </c>
      <c r="BJ18" s="16">
        <f t="shared" si="17"/>
        <v>13247.759389090908</v>
      </c>
      <c r="BK18" s="16">
        <f t="shared" si="11"/>
        <v>45745082.14477217</v>
      </c>
      <c r="BL18" s="45">
        <v>5605000</v>
      </c>
      <c r="BM18" s="40">
        <v>1272</v>
      </c>
      <c r="BN18" s="40">
        <v>1026</v>
      </c>
      <c r="BO18" s="13">
        <f>(0.1862*BM18/1675)/((1-0.1862)+(0.1862*BM18/1675))</f>
        <v>0.1480325712857823</v>
      </c>
      <c r="BP18" s="13">
        <f>8.4/11.1</f>
        <v>0.7567567567567568</v>
      </c>
      <c r="BQ18" s="42">
        <v>74520</v>
      </c>
      <c r="BR18" s="46">
        <v>248338</v>
      </c>
      <c r="BS18" s="43">
        <f t="shared" si="21"/>
        <v>151977.43956929134</v>
      </c>
      <c r="BT18" s="44">
        <v>23.53</v>
      </c>
      <c r="BU18" s="16">
        <f t="shared" si="12"/>
        <v>3576029.1530654253</v>
      </c>
      <c r="BV18" s="17">
        <f t="shared" si="13"/>
        <v>49321111.2978376</v>
      </c>
      <c r="BW18" s="48">
        <f t="shared" si="18"/>
        <v>0.003205945538704554</v>
      </c>
      <c r="BX18" s="18">
        <f t="shared" si="14"/>
        <v>0.003205945538704554</v>
      </c>
      <c r="BY18" s="49">
        <v>0.003402800591334732</v>
      </c>
      <c r="BZ18" s="20"/>
      <c r="CA18" s="20"/>
      <c r="CB18" s="20"/>
      <c r="CC18" s="50"/>
      <c r="CF18" s="20"/>
      <c r="CG18" s="20"/>
      <c r="CH18" s="20"/>
      <c r="CI18" s="50"/>
      <c r="CL18" s="50"/>
      <c r="CN18" s="21"/>
      <c r="CO18" s="50"/>
      <c r="CR18" s="50"/>
      <c r="CU18" s="51"/>
      <c r="CV18" s="21"/>
      <c r="CW18" s="38"/>
      <c r="CY18" s="38"/>
      <c r="DE18" s="51"/>
      <c r="DF18" s="21"/>
      <c r="DG18" s="38"/>
      <c r="DM18" s="51"/>
      <c r="DN18" s="21"/>
      <c r="DU18" s="51"/>
      <c r="DV18" s="21"/>
      <c r="EA18" s="51"/>
      <c r="EB18" s="21"/>
      <c r="EE18" s="52"/>
      <c r="EI18" s="21"/>
      <c r="EJ18" s="21"/>
      <c r="EK18" s="20"/>
      <c r="EP18" s="21"/>
      <c r="EQ18" s="21"/>
    </row>
    <row r="19" spans="1:96" ht="12.75">
      <c r="A19" s="39" t="s">
        <v>156</v>
      </c>
      <c r="B19" s="28">
        <v>3</v>
      </c>
      <c r="C19" s="28">
        <v>6</v>
      </c>
      <c r="D19" s="28">
        <v>6</v>
      </c>
      <c r="E19" s="40">
        <v>660</v>
      </c>
      <c r="F19" s="41">
        <v>694</v>
      </c>
      <c r="G19" s="45">
        <v>0</v>
      </c>
      <c r="H19" s="13">
        <f>((1*$E19)/1346)/((1-1)+(1*$E19)/1346)</f>
        <v>1</v>
      </c>
      <c r="I19" s="19">
        <v>284</v>
      </c>
      <c r="J19" s="42">
        <v>105</v>
      </c>
      <c r="K19" s="13">
        <f>73.9/75</f>
        <v>0.9853333333333334</v>
      </c>
      <c r="L19" s="43">
        <v>0</v>
      </c>
      <c r="M19" s="44">
        <v>2.99</v>
      </c>
      <c r="N19" s="16">
        <f t="shared" si="19"/>
        <v>0</v>
      </c>
      <c r="O19" s="45">
        <v>14368000</v>
      </c>
      <c r="P19" s="13">
        <f>(0.5102*E19/1346)/((1-0.5102)+(0.5102*E19/1346))</f>
        <v>0.3380833869141733</v>
      </c>
      <c r="Q19" s="46">
        <v>377299</v>
      </c>
      <c r="R19" s="42">
        <v>103615</v>
      </c>
      <c r="S19" s="13">
        <f>45.6/48.7</f>
        <v>0.9363449691991786</v>
      </c>
      <c r="T19" s="43">
        <f t="shared" si="0"/>
        <v>1313434.8739348706</v>
      </c>
      <c r="U19" s="44">
        <v>11.83</v>
      </c>
      <c r="V19" s="16">
        <f t="shared" si="1"/>
        <v>15537934.55864952</v>
      </c>
      <c r="W19" s="45">
        <v>591000</v>
      </c>
      <c r="X19" s="47">
        <v>0.1223</v>
      </c>
      <c r="Y19" s="45">
        <f t="shared" si="16"/>
        <v>623894.30943</v>
      </c>
      <c r="Z19" s="13">
        <f>((1*$E19)/1346)/((1-1)+(1*$E19)/1346)</f>
        <v>1</v>
      </c>
      <c r="AA19" s="46">
        <v>70496</v>
      </c>
      <c r="AB19" s="42">
        <v>22765</v>
      </c>
      <c r="AC19" s="13">
        <f>73.9/75</f>
        <v>0.9853333333333334</v>
      </c>
      <c r="AD19" s="43">
        <f t="shared" si="2"/>
        <v>208743.47717590618</v>
      </c>
      <c r="AE19" s="44">
        <v>9.91</v>
      </c>
      <c r="AF19" s="16">
        <f t="shared" si="3"/>
        <v>2068647.8588132304</v>
      </c>
      <c r="AG19" s="45">
        <v>913000</v>
      </c>
      <c r="AH19" s="13">
        <f>(0.9894*E19/1346)/((1-0.9894)+(0.9894*E19/1346))</f>
        <v>0.9786180020249624</v>
      </c>
      <c r="AI19" s="46">
        <v>70496</v>
      </c>
      <c r="AJ19" s="42">
        <v>22765</v>
      </c>
      <c r="AK19" s="13">
        <f>32.4/31.1</f>
        <v>1.0418006430868165</v>
      </c>
      <c r="AL19" s="43">
        <f t="shared" si="4"/>
        <v>316072.93795230356</v>
      </c>
      <c r="AM19" s="44">
        <v>9.03</v>
      </c>
      <c r="AN19" s="16">
        <f t="shared" si="20"/>
        <v>2854138.629709301</v>
      </c>
      <c r="AO19" s="45">
        <v>13893000</v>
      </c>
      <c r="AP19" s="13">
        <f>(0.7201*E19/1346)/((1-0.7201)+(0.7201*E19/1346))</f>
        <v>0.557816479920339</v>
      </c>
      <c r="AQ19" s="46">
        <v>226573</v>
      </c>
      <c r="AR19" s="42">
        <v>89595</v>
      </c>
      <c r="AS19" s="13">
        <f>33.8/45.1</f>
        <v>0.7494456762749445</v>
      </c>
      <c r="AT19" s="43">
        <f t="shared" si="5"/>
        <v>2415008.638108715</v>
      </c>
      <c r="AU19" s="44">
        <v>19.27</v>
      </c>
      <c r="AV19" s="16">
        <f t="shared" si="6"/>
        <v>46537216.45635494</v>
      </c>
      <c r="AW19" s="45">
        <v>320203000</v>
      </c>
      <c r="AX19" s="13">
        <f>(0.0754*E19/1346)/((1-0.0754)+(0.0754*E19/1346))</f>
        <v>0.03844930708730042</v>
      </c>
      <c r="AY19" s="46">
        <v>5527713</v>
      </c>
      <c r="AZ19" s="42">
        <v>1339160</v>
      </c>
      <c r="BA19" s="13">
        <f>12.1/13.5</f>
        <v>0.8962962962962963</v>
      </c>
      <c r="BB19" s="43">
        <f t="shared" si="7"/>
        <v>2811046.5229292978</v>
      </c>
      <c r="BC19" s="44">
        <v>22.78</v>
      </c>
      <c r="BD19" s="16">
        <f t="shared" si="8"/>
        <v>64035639.79232941</v>
      </c>
      <c r="BE19" s="13">
        <f>0.62*(F19/1346)</f>
        <v>0.3196731054977711</v>
      </c>
      <c r="BF19" s="46">
        <v>16538</v>
      </c>
      <c r="BG19" s="45">
        <f t="shared" si="9"/>
        <v>5286.753818722139</v>
      </c>
      <c r="BH19" s="13">
        <f>0.89/0.62</f>
        <v>1.435483870967742</v>
      </c>
      <c r="BI19" s="43">
        <f t="shared" si="10"/>
        <v>151780.99673105497</v>
      </c>
      <c r="BJ19" s="16">
        <f t="shared" si="17"/>
        <v>657211.715845468</v>
      </c>
      <c r="BK19" s="16">
        <f t="shared" si="11"/>
        <v>131690789.01170185</v>
      </c>
      <c r="BL19" s="45">
        <v>320203000</v>
      </c>
      <c r="BM19" s="40">
        <v>3668</v>
      </c>
      <c r="BN19" s="40">
        <v>3420</v>
      </c>
      <c r="BO19" s="13">
        <f>(0.2883*BM19/3126)/((1-0.2883)+(0.2883*BM19/3126))</f>
        <v>0.3221819267988208</v>
      </c>
      <c r="BP19" s="13">
        <f>8.4/11.1</f>
        <v>0.7567567567567568</v>
      </c>
      <c r="BQ19" s="42">
        <v>1603440</v>
      </c>
      <c r="BR19" s="46">
        <v>6337929</v>
      </c>
      <c r="BS19" s="43">
        <f t="shared" si="21"/>
        <v>18415563.018143438</v>
      </c>
      <c r="BT19" s="44">
        <v>22.78</v>
      </c>
      <c r="BU19" s="16">
        <f t="shared" si="12"/>
        <v>419506525.55330753</v>
      </c>
      <c r="BV19" s="17">
        <f t="shared" si="13"/>
        <v>551197314.5650094</v>
      </c>
      <c r="BW19" s="48">
        <f t="shared" si="18"/>
        <v>0.035828644673160444</v>
      </c>
      <c r="BX19" s="18">
        <f t="shared" si="14"/>
        <v>0.035828644673160444</v>
      </c>
      <c r="BY19" s="49">
        <v>0.011955585280206581</v>
      </c>
      <c r="CA19" s="20"/>
      <c r="CC19" s="50"/>
      <c r="CF19" s="50"/>
      <c r="CI19" s="50"/>
      <c r="CL19" s="50"/>
      <c r="CO19" s="50"/>
      <c r="CR19" s="50"/>
    </row>
    <row r="20" spans="1:147" ht="12.75">
      <c r="A20" s="39" t="s">
        <v>157</v>
      </c>
      <c r="B20" s="28">
        <v>3</v>
      </c>
      <c r="C20" s="28">
        <v>7</v>
      </c>
      <c r="D20" s="28">
        <v>7</v>
      </c>
      <c r="E20" s="40">
        <v>2862</v>
      </c>
      <c r="F20" s="41">
        <v>2884</v>
      </c>
      <c r="G20" s="45">
        <v>149000</v>
      </c>
      <c r="H20" s="13">
        <f>((1*$E20)/2540)/((1-1)+(1*$E20)/2540)</f>
        <v>1</v>
      </c>
      <c r="I20" s="19">
        <v>204</v>
      </c>
      <c r="J20" s="42">
        <v>80</v>
      </c>
      <c r="K20" s="13">
        <f>73.9/75</f>
        <v>0.9853333333333334</v>
      </c>
      <c r="L20" s="43">
        <f t="shared" si="15"/>
        <v>58016.94943432767</v>
      </c>
      <c r="M20" s="44">
        <v>2.99</v>
      </c>
      <c r="N20" s="16">
        <f t="shared" si="19"/>
        <v>173470.67880863973</v>
      </c>
      <c r="O20" s="45">
        <v>101411000</v>
      </c>
      <c r="P20" s="13">
        <f>(0.6175*E20/2540)/((1-0.6175)+(0.6175*E20/2540))</f>
        <v>0.6452688825723346</v>
      </c>
      <c r="Q20" s="46">
        <v>1470824</v>
      </c>
      <c r="R20" s="42">
        <v>320440</v>
      </c>
      <c r="S20" s="13">
        <f>45.6/48.7</f>
        <v>0.9363449691991786</v>
      </c>
      <c r="T20" s="43">
        <f t="shared" si="0"/>
        <v>13451580.37049534</v>
      </c>
      <c r="U20" s="44">
        <v>8.24</v>
      </c>
      <c r="V20" s="16">
        <f t="shared" si="1"/>
        <v>110841022.2528816</v>
      </c>
      <c r="W20" s="45">
        <v>320000</v>
      </c>
      <c r="X20" s="47">
        <v>0.1223</v>
      </c>
      <c r="Y20" s="45">
        <f t="shared" si="16"/>
        <v>337810.7936</v>
      </c>
      <c r="Z20" s="13">
        <f>((1*$E20)/2540)/((1-1)+(1*$E20)/2540)</f>
        <v>1</v>
      </c>
      <c r="AA20" s="46">
        <v>18769</v>
      </c>
      <c r="AB20" s="42">
        <v>8705</v>
      </c>
      <c r="AC20" s="13">
        <f>73.9/75</f>
        <v>0.9853333333333334</v>
      </c>
      <c r="AD20" s="43">
        <f t="shared" si="2"/>
        <v>155564.30914366036</v>
      </c>
      <c r="AE20" s="44">
        <v>9.73</v>
      </c>
      <c r="AF20" s="16">
        <f t="shared" si="3"/>
        <v>1513640.7279678152</v>
      </c>
      <c r="AG20" s="45">
        <v>1365000</v>
      </c>
      <c r="AH20" s="13">
        <f>(1*E20/2540)/((1-1)+(1*E20/2540))</f>
        <v>1</v>
      </c>
      <c r="AI20" s="46">
        <v>18769</v>
      </c>
      <c r="AJ20" s="42">
        <v>8705</v>
      </c>
      <c r="AK20" s="13">
        <f>32.4/31.1</f>
        <v>1.0418006430868165</v>
      </c>
      <c r="AL20" s="43">
        <f t="shared" si="4"/>
        <v>664615.6143929503</v>
      </c>
      <c r="AM20" s="44">
        <v>8.4</v>
      </c>
      <c r="AN20" s="16">
        <f t="shared" si="20"/>
        <v>5582771.160900783</v>
      </c>
      <c r="AO20" s="45">
        <v>14038000</v>
      </c>
      <c r="AP20" s="13">
        <f>(0.7276*E20/2540)/((1-0.7276)+(0.7276*E20/2540))</f>
        <v>0.7506040470503559</v>
      </c>
      <c r="AQ20" s="46">
        <v>323977</v>
      </c>
      <c r="AR20" s="42">
        <v>118870</v>
      </c>
      <c r="AS20" s="13">
        <f>33.8/45.1</f>
        <v>0.7494456762749445</v>
      </c>
      <c r="AT20" s="43">
        <f t="shared" si="5"/>
        <v>2919711.953665149</v>
      </c>
      <c r="AU20" s="44">
        <v>16.13</v>
      </c>
      <c r="AV20" s="16">
        <f t="shared" si="6"/>
        <v>47094953.81261885</v>
      </c>
      <c r="AW20" s="45">
        <v>142507000</v>
      </c>
      <c r="AX20" s="13">
        <f>(0.1013*E20/2540)/((1-0.1013)+(0.1013*E20/2540))</f>
        <v>0.11269474612365779</v>
      </c>
      <c r="AY20" s="46">
        <v>1151346</v>
      </c>
      <c r="AZ20" s="42">
        <v>321860</v>
      </c>
      <c r="BA20" s="13">
        <f>12.1/13.5</f>
        <v>0.8962962962962963</v>
      </c>
      <c r="BB20" s="43">
        <f t="shared" si="7"/>
        <v>4054882.238811178</v>
      </c>
      <c r="BC20" s="44">
        <v>22.27</v>
      </c>
      <c r="BD20" s="16">
        <f t="shared" si="8"/>
        <v>90302227.45832494</v>
      </c>
      <c r="BE20" s="13">
        <f>0.79*(F20/2540)</f>
        <v>0.896992125984252</v>
      </c>
      <c r="BF20" s="46">
        <v>29141</v>
      </c>
      <c r="BG20" s="45">
        <f t="shared" si="9"/>
        <v>26139.24754330709</v>
      </c>
      <c r="BH20" s="13">
        <f>0.73/0.79</f>
        <v>0.9240506329113923</v>
      </c>
      <c r="BI20" s="43">
        <f t="shared" si="10"/>
        <v>483079.76472440944</v>
      </c>
      <c r="BJ20" s="16">
        <f t="shared" si="17"/>
        <v>2091735.3812566928</v>
      </c>
      <c r="BK20" s="16">
        <f t="shared" si="11"/>
        <v>257599821.47275934</v>
      </c>
      <c r="BL20" s="45">
        <v>142507000</v>
      </c>
      <c r="BM20" s="40">
        <v>1871</v>
      </c>
      <c r="BN20" s="40">
        <v>1700</v>
      </c>
      <c r="BO20" s="13">
        <f>(0.2475*BM20/2347)/((1-0.2475)+(0.2475*BM20/2347))</f>
        <v>0.20773128356039638</v>
      </c>
      <c r="BP20" s="13">
        <f>8.4/11.1</f>
        <v>0.7567567567567568</v>
      </c>
      <c r="BQ20" s="42">
        <v>786340</v>
      </c>
      <c r="BR20" s="46">
        <v>3006369</v>
      </c>
      <c r="BS20" s="43">
        <f t="shared" si="21"/>
        <v>5323994.852808782</v>
      </c>
      <c r="BT20" s="44">
        <v>22.27</v>
      </c>
      <c r="BU20" s="16">
        <f t="shared" si="12"/>
        <v>118565365.37205157</v>
      </c>
      <c r="BV20" s="17">
        <f t="shared" si="13"/>
        <v>376165186.8448109</v>
      </c>
      <c r="BW20" s="48">
        <f t="shared" si="18"/>
        <v>0.024451296226854484</v>
      </c>
      <c r="BX20" s="18">
        <f t="shared" si="14"/>
        <v>0.024451296226854484</v>
      </c>
      <c r="BY20" s="49">
        <v>0.025952682057494163</v>
      </c>
      <c r="BZ20" s="20"/>
      <c r="CA20" s="50"/>
      <c r="CB20" s="50"/>
      <c r="CC20" s="50"/>
      <c r="CD20" s="51"/>
      <c r="CF20" s="50"/>
      <c r="CG20" s="50"/>
      <c r="CH20" s="20"/>
      <c r="CI20" s="50"/>
      <c r="CL20" s="50"/>
      <c r="CN20" s="21"/>
      <c r="CO20" s="50"/>
      <c r="CR20" s="50"/>
      <c r="CU20" s="51"/>
      <c r="CV20" s="21"/>
      <c r="CW20" s="38"/>
      <c r="CX20" s="54"/>
      <c r="CY20" s="38"/>
      <c r="DE20" s="51"/>
      <c r="DF20" s="21"/>
      <c r="DG20" s="38"/>
      <c r="DM20" s="51"/>
      <c r="DN20" s="21"/>
      <c r="DU20" s="51"/>
      <c r="DV20" s="21"/>
      <c r="EA20" s="51"/>
      <c r="EB20" s="21"/>
      <c r="EE20" s="52"/>
      <c r="EI20" s="21"/>
      <c r="EJ20" s="21"/>
      <c r="EK20" s="20"/>
      <c r="EP20" s="21"/>
      <c r="EQ20" s="21"/>
    </row>
    <row r="21" spans="1:147" ht="12.75">
      <c r="A21" s="39" t="s">
        <v>158</v>
      </c>
      <c r="B21" s="28">
        <v>4</v>
      </c>
      <c r="C21" s="28">
        <v>6</v>
      </c>
      <c r="D21" s="28">
        <v>6</v>
      </c>
      <c r="E21" s="40">
        <v>1</v>
      </c>
      <c r="F21" s="40">
        <v>20</v>
      </c>
      <c r="G21" s="45">
        <v>0</v>
      </c>
      <c r="H21" s="13">
        <f>((1*$E21)/1175)/((1-1)+(1*$E21)/1175)</f>
        <v>1</v>
      </c>
      <c r="I21" s="19">
        <v>16</v>
      </c>
      <c r="J21" s="42">
        <v>10</v>
      </c>
      <c r="K21" s="13">
        <v>1</v>
      </c>
      <c r="L21" s="43">
        <v>0</v>
      </c>
      <c r="M21" s="44" t="s">
        <v>148</v>
      </c>
      <c r="N21" s="16">
        <f t="shared" si="19"/>
        <v>0</v>
      </c>
      <c r="O21" s="45">
        <v>553000</v>
      </c>
      <c r="P21" s="13">
        <f>(0.4841*E21/1175)/((1-0.4841)+(0.4841*E21/1175))</f>
        <v>0.0007979671206557275</v>
      </c>
      <c r="Q21" s="46">
        <v>12874</v>
      </c>
      <c r="R21" s="42">
        <v>4080</v>
      </c>
      <c r="S21" s="13">
        <f>32.4/34.4</f>
        <v>0.9418604651162791</v>
      </c>
      <c r="T21" s="43">
        <f t="shared" si="0"/>
        <v>2634.3492425868353</v>
      </c>
      <c r="U21" s="44">
        <v>20.89</v>
      </c>
      <c r="V21" s="16">
        <f t="shared" si="1"/>
        <v>55031.55567763899</v>
      </c>
      <c r="W21" s="45">
        <v>950</v>
      </c>
      <c r="X21" s="47">
        <v>0</v>
      </c>
      <c r="Y21" s="45">
        <f t="shared" si="16"/>
        <v>950</v>
      </c>
      <c r="Z21" s="13">
        <f>((1*$E21)/1175)/((1-1)+(1*$E21)/1175)</f>
        <v>1</v>
      </c>
      <c r="AA21" s="19">
        <v>435</v>
      </c>
      <c r="AB21" s="42">
        <v>165</v>
      </c>
      <c r="AC21" s="13">
        <v>1</v>
      </c>
      <c r="AD21" s="43">
        <f t="shared" si="2"/>
        <v>7206.896551724138</v>
      </c>
      <c r="AE21" s="44">
        <v>10.45</v>
      </c>
      <c r="AF21" s="16">
        <f t="shared" si="3"/>
        <v>75312.06896551723</v>
      </c>
      <c r="AG21" s="45">
        <v>30</v>
      </c>
      <c r="AH21" s="13">
        <f>(1*E21/1175)/((1-1)+(1*E21/1175))</f>
        <v>1</v>
      </c>
      <c r="AI21" s="19">
        <v>435</v>
      </c>
      <c r="AJ21" s="42">
        <v>165</v>
      </c>
      <c r="AK21" s="13">
        <f>39/40.8</f>
        <v>0.9558823529411765</v>
      </c>
      <c r="AL21" s="43">
        <f t="shared" si="4"/>
        <v>217.54563894523326</v>
      </c>
      <c r="AM21" s="44" t="s">
        <v>148</v>
      </c>
      <c r="AN21" s="16">
        <f t="shared" si="20"/>
        <v>0</v>
      </c>
      <c r="AO21" s="45">
        <v>387000</v>
      </c>
      <c r="AP21" s="13">
        <f>(0.317*E21/1175)/((1-0.317)+(0.317*E21/1175))</f>
        <v>0.00039484730494916806</v>
      </c>
      <c r="AQ21" s="46">
        <v>10311</v>
      </c>
      <c r="AR21" s="42">
        <v>3595</v>
      </c>
      <c r="AS21" s="13">
        <f>49.5/47.5</f>
        <v>1.0421052631578946</v>
      </c>
      <c r="AT21" s="43">
        <f t="shared" si="5"/>
        <v>1110.400978746057</v>
      </c>
      <c r="AU21" s="44">
        <v>29.62</v>
      </c>
      <c r="AV21" s="16">
        <f t="shared" si="6"/>
        <v>32890.07699045821</v>
      </c>
      <c r="AW21" s="45">
        <v>9175000</v>
      </c>
      <c r="AX21" s="49">
        <f>(0.0377*E21/1175)/((1-0.0377)+(0.0377*E21/1175))</f>
        <v>3.334099203336009E-05</v>
      </c>
      <c r="AY21" s="46">
        <v>192689</v>
      </c>
      <c r="AZ21" s="42">
        <v>49850</v>
      </c>
      <c r="BA21" s="13">
        <f>8.2/10.9</f>
        <v>0.7522935779816513</v>
      </c>
      <c r="BB21" s="43">
        <f t="shared" si="7"/>
        <v>1190.7214591897439</v>
      </c>
      <c r="BC21" s="44">
        <v>48.09</v>
      </c>
      <c r="BD21" s="16">
        <f t="shared" si="8"/>
        <v>57261.794972434785</v>
      </c>
      <c r="BE21" s="13">
        <f>0.4*(F21/1175)</f>
        <v>0.006808510638297873</v>
      </c>
      <c r="BF21" s="46">
        <v>1957</v>
      </c>
      <c r="BG21" s="45">
        <f t="shared" si="9"/>
        <v>13.324255319148937</v>
      </c>
      <c r="BH21" s="13">
        <f>0.43/0.4</f>
        <v>1.075</v>
      </c>
      <c r="BI21" s="43">
        <f t="shared" si="10"/>
        <v>286.47148936170214</v>
      </c>
      <c r="BJ21" s="16">
        <f t="shared" si="17"/>
        <v>1240.4215489361702</v>
      </c>
      <c r="BK21" s="16">
        <f t="shared" si="11"/>
        <v>221735.91815498538</v>
      </c>
      <c r="BL21" s="45">
        <v>9175000</v>
      </c>
      <c r="BM21" s="40">
        <v>4672</v>
      </c>
      <c r="BN21" s="40">
        <v>3002</v>
      </c>
      <c r="BO21" s="13">
        <f>(0.2649*BM21/3850)/((1-0.2649)+(0.2649*BM21/3850))</f>
        <v>0.3042501307480272</v>
      </c>
      <c r="BP21" s="13">
        <f>2.8/3.8</f>
        <v>0.7368421052631579</v>
      </c>
      <c r="BQ21" s="42">
        <v>100410</v>
      </c>
      <c r="BR21" s="46">
        <v>403240</v>
      </c>
      <c r="BS21" s="43">
        <f t="shared" si="21"/>
        <v>329103.4961918327</v>
      </c>
      <c r="BT21" s="44">
        <v>48.09</v>
      </c>
      <c r="BU21" s="16">
        <f t="shared" si="12"/>
        <v>15826587.131865235</v>
      </c>
      <c r="BV21" s="17">
        <f t="shared" si="13"/>
        <v>16048323.05002022</v>
      </c>
      <c r="BW21" s="48">
        <f t="shared" si="18"/>
        <v>0.0010431648503458908</v>
      </c>
      <c r="BX21" s="18">
        <f t="shared" si="14"/>
        <v>0.0010431648503458908</v>
      </c>
      <c r="BY21" s="49">
        <v>0.0011072184248803385</v>
      </c>
      <c r="BZ21" s="20"/>
      <c r="CA21" s="50"/>
      <c r="CB21" s="50"/>
      <c r="CC21" s="50"/>
      <c r="CF21" s="50"/>
      <c r="CG21" s="50"/>
      <c r="CH21" s="20"/>
      <c r="CI21" s="50"/>
      <c r="CL21" s="50"/>
      <c r="CN21" s="21"/>
      <c r="CO21" s="50"/>
      <c r="CR21" s="50"/>
      <c r="CU21" s="51"/>
      <c r="CV21" s="21"/>
      <c r="CW21" s="38"/>
      <c r="CX21" s="54"/>
      <c r="CY21" s="38"/>
      <c r="DE21" s="51"/>
      <c r="DF21" s="21"/>
      <c r="DG21" s="38"/>
      <c r="DM21" s="51"/>
      <c r="DN21" s="21"/>
      <c r="DU21" s="51"/>
      <c r="DV21" s="21"/>
      <c r="EA21" s="51"/>
      <c r="EB21" s="21"/>
      <c r="EE21" s="52"/>
      <c r="EI21" s="21"/>
      <c r="EJ21" s="21"/>
      <c r="EK21" s="20"/>
      <c r="EP21" s="21"/>
      <c r="EQ21" s="21"/>
    </row>
    <row r="22" spans="1:147" ht="12.75">
      <c r="A22" s="53" t="s">
        <v>159</v>
      </c>
      <c r="B22" s="28">
        <v>4</v>
      </c>
      <c r="C22" s="28">
        <v>2</v>
      </c>
      <c r="D22" s="28">
        <v>2</v>
      </c>
      <c r="E22" s="40">
        <v>6813</v>
      </c>
      <c r="F22" s="41">
        <v>6909</v>
      </c>
      <c r="G22" s="45">
        <v>238000</v>
      </c>
      <c r="H22" s="13">
        <f>((1*$E22)/5885)/((1-1)+(1*$E22)/5885)</f>
        <v>1</v>
      </c>
      <c r="I22" s="46">
        <v>1461</v>
      </c>
      <c r="J22" s="42">
        <v>455</v>
      </c>
      <c r="K22" s="13">
        <v>1</v>
      </c>
      <c r="L22" s="43">
        <f t="shared" si="15"/>
        <v>75164.87533948114</v>
      </c>
      <c r="M22" s="44">
        <v>1.76</v>
      </c>
      <c r="N22" s="16">
        <f aca="true" t="shared" si="22" ref="N22:N28">L22*M22</f>
        <v>132290.1805974868</v>
      </c>
      <c r="O22" s="45">
        <v>18593000</v>
      </c>
      <c r="P22" s="13">
        <f>(0.7053*E22/6171)/((1-0.7053)+(0.7053*E22/6171))</f>
        <v>0.7254456677196268</v>
      </c>
      <c r="Q22" s="46">
        <v>213436</v>
      </c>
      <c r="R22" s="42">
        <v>38305</v>
      </c>
      <c r="S22" s="13">
        <f>32.4/34.4</f>
        <v>0.9418604651162791</v>
      </c>
      <c r="T22" s="43">
        <f aca="true" t="shared" si="23" ref="T22:T60">O22*(F22/E22)*P22*(R22/Q22)*S22</f>
        <v>2312094.207313855</v>
      </c>
      <c r="U22" s="44">
        <v>6.13</v>
      </c>
      <c r="V22" s="16">
        <f aca="true" t="shared" si="24" ref="V22:V60">T22*U22</f>
        <v>14173137.490833933</v>
      </c>
      <c r="W22" s="45">
        <v>3149000</v>
      </c>
      <c r="X22" s="47">
        <v>0</v>
      </c>
      <c r="Y22" s="45">
        <f t="shared" si="16"/>
        <v>3149000</v>
      </c>
      <c r="Z22" s="13">
        <f>((1*$E22)/5885)/((1-1)+(1*$E22)/5885)</f>
        <v>1</v>
      </c>
      <c r="AA22" s="46">
        <v>25194</v>
      </c>
      <c r="AB22" s="42">
        <v>6620</v>
      </c>
      <c r="AC22" s="13">
        <v>1</v>
      </c>
      <c r="AD22" s="43">
        <f t="shared" si="2"/>
        <v>839093.4457810384</v>
      </c>
      <c r="AE22" s="44">
        <v>8.86</v>
      </c>
      <c r="AF22" s="16">
        <f t="shared" si="3"/>
        <v>7434367.92962</v>
      </c>
      <c r="AG22" s="45">
        <v>35000</v>
      </c>
      <c r="AH22" s="13">
        <f>(1*E22/6171)/((1-1)+(1*E22/6171))</f>
        <v>1</v>
      </c>
      <c r="AI22" s="46">
        <v>25194</v>
      </c>
      <c r="AJ22" s="42">
        <v>6620</v>
      </c>
      <c r="AK22" s="13">
        <f>39/40.8</f>
        <v>0.9558823529411765</v>
      </c>
      <c r="AL22" s="43">
        <f aca="true" t="shared" si="25" ref="AL22:AL60">AG22*(F22/E22)*AH22*(AJ22/AI22)*AK22</f>
        <v>8914.770277921387</v>
      </c>
      <c r="AM22" s="44">
        <v>7.86</v>
      </c>
      <c r="AN22" s="16">
        <f aca="true" t="shared" si="26" ref="AN22:AN60">AL22*AM22</f>
        <v>70070.0943844621</v>
      </c>
      <c r="AO22" s="45">
        <v>1625000</v>
      </c>
      <c r="AP22" s="13">
        <f>(0.8119*E22/5885)/((1-0.8119)+(0.8119*E22/5885))</f>
        <v>0.8332487803767004</v>
      </c>
      <c r="AQ22" s="46">
        <v>27382</v>
      </c>
      <c r="AR22" s="42">
        <v>6795</v>
      </c>
      <c r="AS22" s="13">
        <f>49.5/47.5</f>
        <v>1.0421052631578946</v>
      </c>
      <c r="AT22" s="43">
        <f aca="true" t="shared" si="27" ref="AT22:AT60">AO22*(F22/E22)*AP22*(AR22/AQ22)*AS22</f>
        <v>355091.8789437295</v>
      </c>
      <c r="AU22" s="44">
        <v>13.18</v>
      </c>
      <c r="AV22" s="16">
        <f t="shared" si="6"/>
        <v>4680110.964478355</v>
      </c>
      <c r="AW22" s="45">
        <v>23224000</v>
      </c>
      <c r="AX22" s="13">
        <f>(0.1379*E22/5885)/((1-0.1379)+(0.1379*E22/5885))</f>
        <v>0.15624766338478388</v>
      </c>
      <c r="AY22" s="46">
        <v>161789</v>
      </c>
      <c r="AZ22" s="42">
        <v>49630</v>
      </c>
      <c r="BA22" s="13">
        <f>8.2/10.9</f>
        <v>0.7522935779816513</v>
      </c>
      <c r="BB22" s="43">
        <f aca="true" t="shared" si="28" ref="BB22:BB60">AW22*(F22/E22)*AX22*(AZ22/AY22)*BA22</f>
        <v>849200.0223031354</v>
      </c>
      <c r="BC22" s="44">
        <v>15.79</v>
      </c>
      <c r="BD22" s="16">
        <f t="shared" si="8"/>
        <v>13408868.352166507</v>
      </c>
      <c r="BE22" s="13">
        <f>1.41*(F22/5885)</f>
        <v>1.6553423959218352</v>
      </c>
      <c r="BF22" s="46">
        <v>36100</v>
      </c>
      <c r="BG22" s="45">
        <f aca="true" t="shared" si="29" ref="BG22:BG60">BE22*BF22</f>
        <v>59757.86049277825</v>
      </c>
      <c r="BH22" s="13">
        <f>2.27/1.41</f>
        <v>1.6099290780141846</v>
      </c>
      <c r="BI22" s="43">
        <f t="shared" si="10"/>
        <v>1924118.344944775</v>
      </c>
      <c r="BJ22" s="16">
        <f t="shared" si="17"/>
        <v>8331432.433610876</v>
      </c>
      <c r="BK22" s="16">
        <f aca="true" t="shared" si="30" ref="BK22:BK60">N22+V22+AF22+AN22+AV22+BD22+BJ22</f>
        <v>48230277.44569162</v>
      </c>
      <c r="BL22" s="45">
        <v>23224000</v>
      </c>
      <c r="BM22" s="40">
        <v>551</v>
      </c>
      <c r="BN22" s="40">
        <v>456</v>
      </c>
      <c r="BO22" s="13">
        <f>(0.0494*BM22/583)/((1-0.0494)+(0.0494*BM22/583))</f>
        <v>0.04681544744308409</v>
      </c>
      <c r="BP22" s="13">
        <f>2.8/3.8</f>
        <v>0.7368421052631579</v>
      </c>
      <c r="BQ22" s="42">
        <v>112855</v>
      </c>
      <c r="BR22" s="46">
        <v>469645</v>
      </c>
      <c r="BS22" s="43">
        <f t="shared" si="21"/>
        <v>159318.04993137962</v>
      </c>
      <c r="BT22" s="44">
        <v>15.79</v>
      </c>
      <c r="BU22" s="16">
        <f t="shared" si="12"/>
        <v>2515632.008416484</v>
      </c>
      <c r="BV22" s="17">
        <f t="shared" si="13"/>
        <v>50745909.454108104</v>
      </c>
      <c r="BW22" s="48">
        <f t="shared" si="18"/>
        <v>0.003298559536492762</v>
      </c>
      <c r="BX22" s="18">
        <f t="shared" si="14"/>
        <v>0.003298559536492762</v>
      </c>
      <c r="BY22" s="49">
        <v>0.003501101377369585</v>
      </c>
      <c r="BZ22" s="20"/>
      <c r="CA22" s="50"/>
      <c r="CB22" s="50"/>
      <c r="CC22" s="50"/>
      <c r="CD22" s="51"/>
      <c r="CF22" s="50"/>
      <c r="CG22" s="50"/>
      <c r="CH22" s="20"/>
      <c r="CI22" s="50"/>
      <c r="CL22" s="50"/>
      <c r="CN22" s="21"/>
      <c r="CO22" s="50"/>
      <c r="CR22" s="50"/>
      <c r="CU22" s="51"/>
      <c r="CV22" s="21"/>
      <c r="CW22" s="38"/>
      <c r="CX22" s="54"/>
      <c r="CY22" s="38"/>
      <c r="DE22" s="51"/>
      <c r="DF22" s="21"/>
      <c r="DG22" s="38"/>
      <c r="DM22" s="51"/>
      <c r="DN22" s="21"/>
      <c r="DU22" s="51"/>
      <c r="DV22" s="21"/>
      <c r="EA22" s="51"/>
      <c r="EB22" s="21"/>
      <c r="EE22" s="52"/>
      <c r="EI22" s="21"/>
      <c r="EJ22" s="21"/>
      <c r="EK22" s="20"/>
      <c r="EP22" s="21"/>
      <c r="EQ22" s="21"/>
    </row>
    <row r="23" spans="1:147" ht="12.75">
      <c r="A23" s="39" t="s">
        <v>160</v>
      </c>
      <c r="B23" s="28">
        <v>2</v>
      </c>
      <c r="C23" s="28">
        <v>2</v>
      </c>
      <c r="D23" s="28">
        <v>2</v>
      </c>
      <c r="E23" s="40">
        <v>6018</v>
      </c>
      <c r="F23" s="41">
        <v>6355</v>
      </c>
      <c r="G23" s="45">
        <v>2355000</v>
      </c>
      <c r="H23" s="13">
        <f>((1*$E23)/6567)/((1-1)+(1*$E23)/6567)</f>
        <v>1</v>
      </c>
      <c r="I23" s="19">
        <v>938</v>
      </c>
      <c r="J23" s="42">
        <v>400</v>
      </c>
      <c r="K23" s="13">
        <f>78.8/78.8</f>
        <v>1</v>
      </c>
      <c r="L23" s="43">
        <f t="shared" si="15"/>
        <v>1060501.8632800956</v>
      </c>
      <c r="M23" s="44">
        <v>1.87</v>
      </c>
      <c r="N23" s="16">
        <f t="shared" si="22"/>
        <v>1983138.484333779</v>
      </c>
      <c r="O23" s="45">
        <v>455012000</v>
      </c>
      <c r="P23" s="13">
        <f>(0.7704*E23/6464)/((1-0.7704)+(0.7704*E23/6464))</f>
        <v>0.7575102914815263</v>
      </c>
      <c r="Q23" s="46">
        <v>3698099</v>
      </c>
      <c r="R23" s="42">
        <v>879370</v>
      </c>
      <c r="S23" s="13">
        <f>82.8/83.8</f>
        <v>0.9880668257756563</v>
      </c>
      <c r="T23" s="43">
        <f t="shared" si="23"/>
        <v>85517341.17770658</v>
      </c>
      <c r="U23" s="44">
        <v>8.39</v>
      </c>
      <c r="V23" s="16">
        <f t="shared" si="24"/>
        <v>717490492.4809583</v>
      </c>
      <c r="W23" s="45">
        <v>2693000</v>
      </c>
      <c r="X23" s="47">
        <v>0</v>
      </c>
      <c r="Y23" s="45">
        <f t="shared" si="16"/>
        <v>2693000</v>
      </c>
      <c r="Z23" s="13">
        <f>((1*$E23)/6567)/((1-1)+(1*$E23)/6567)</f>
        <v>1</v>
      </c>
      <c r="AA23" s="46">
        <v>28427</v>
      </c>
      <c r="AB23" s="42">
        <v>8215</v>
      </c>
      <c r="AC23" s="13">
        <f>78.8/78.8</f>
        <v>1</v>
      </c>
      <c r="AD23" s="43">
        <f>Y23*(F23/E23)*Z23*(AB23/AA23)*AC23</f>
        <v>821819.1617441388</v>
      </c>
      <c r="AE23" s="44">
        <v>8.39</v>
      </c>
      <c r="AF23" s="16">
        <f t="shared" si="3"/>
        <v>6895062.7670333255</v>
      </c>
      <c r="AG23" s="45">
        <v>2950000</v>
      </c>
      <c r="AH23" s="13">
        <f>(1*E23/6464)/((1-1)+(1*E23/6464))</f>
        <v>1</v>
      </c>
      <c r="AI23" s="46">
        <v>28427</v>
      </c>
      <c r="AJ23" s="42">
        <v>8215</v>
      </c>
      <c r="AK23" s="13">
        <v>1</v>
      </c>
      <c r="AL23" s="43">
        <f t="shared" si="25"/>
        <v>900247.5035815855</v>
      </c>
      <c r="AM23" s="44">
        <v>9.29</v>
      </c>
      <c r="AN23" s="16">
        <f t="shared" si="26"/>
        <v>8363299.308272928</v>
      </c>
      <c r="AO23" s="45">
        <v>16723000</v>
      </c>
      <c r="AP23" s="13">
        <f>(0.853*E23/6464)/((1-0.853)+(0.853*E23/6464))</f>
        <v>0.8438072957915116</v>
      </c>
      <c r="AQ23" s="46">
        <v>229004</v>
      </c>
      <c r="AR23" s="42">
        <v>60885</v>
      </c>
      <c r="AS23" s="13">
        <f>69.2/70</f>
        <v>0.9885714285714287</v>
      </c>
      <c r="AT23" s="43">
        <f t="shared" si="27"/>
        <v>3916481.9916312816</v>
      </c>
      <c r="AU23" s="44">
        <v>11.95</v>
      </c>
      <c r="AV23" s="16">
        <f t="shared" si="6"/>
        <v>46801959.79999381</v>
      </c>
      <c r="AW23" s="45">
        <v>135194000</v>
      </c>
      <c r="AX23" s="13">
        <f>(0.0854*E23/6464)/((1-0.0854)+(0.0854*E23/6464))</f>
        <v>0.07997887801631136</v>
      </c>
      <c r="AY23" s="46">
        <v>570601</v>
      </c>
      <c r="AZ23" s="42">
        <v>197910</v>
      </c>
      <c r="BA23" s="13">
        <f>14.7/25.7</f>
        <v>0.5719844357976653</v>
      </c>
      <c r="BB23" s="43">
        <f t="shared" si="28"/>
        <v>2265246.7623749888</v>
      </c>
      <c r="BC23" s="44">
        <v>25.89</v>
      </c>
      <c r="BD23" s="16">
        <f t="shared" si="8"/>
        <v>58647238.67788846</v>
      </c>
      <c r="BE23" s="13">
        <f>1.99*(F23/6464)</f>
        <v>1.9564433787128712</v>
      </c>
      <c r="BF23" s="46">
        <v>16958</v>
      </c>
      <c r="BG23" s="45">
        <f t="shared" si="29"/>
        <v>33177.36681621287</v>
      </c>
      <c r="BH23" s="13">
        <f>1.63/1.99</f>
        <v>0.8190954773869347</v>
      </c>
      <c r="BI23" s="43">
        <f t="shared" si="10"/>
        <v>543508.6222153464</v>
      </c>
      <c r="BJ23" s="16">
        <f t="shared" si="17"/>
        <v>2353392.33419245</v>
      </c>
      <c r="BK23" s="16">
        <f t="shared" si="30"/>
        <v>842534583.852673</v>
      </c>
      <c r="BL23" s="45">
        <v>135194000</v>
      </c>
      <c r="BM23" s="40">
        <v>1065</v>
      </c>
      <c r="BN23" s="40">
        <v>876</v>
      </c>
      <c r="BO23" s="13">
        <f>(0.1085*BM23/768)/((1-0.1085)+(0.1085*BM23/768))</f>
        <v>0.14440010272117387</v>
      </c>
      <c r="BP23" s="13">
        <f>2.8/4</f>
        <v>0.7</v>
      </c>
      <c r="BQ23" s="42">
        <v>1172320</v>
      </c>
      <c r="BR23" s="46">
        <v>4591779</v>
      </c>
      <c r="BS23" s="43">
        <f t="shared" si="21"/>
        <v>2869740.6859730165</v>
      </c>
      <c r="BT23" s="44">
        <v>25.89</v>
      </c>
      <c r="BU23" s="16">
        <f t="shared" si="12"/>
        <v>74297586.3598414</v>
      </c>
      <c r="BV23" s="17">
        <f t="shared" si="13"/>
        <v>916832170.2125144</v>
      </c>
      <c r="BW23" s="48">
        <f t="shared" si="18"/>
        <v>0.059595453721305224</v>
      </c>
      <c r="BX23" s="18">
        <f t="shared" si="14"/>
        <v>0.059595453721305224</v>
      </c>
      <c r="BY23" s="49">
        <v>0.06325480040614236</v>
      </c>
      <c r="BZ23" s="20"/>
      <c r="CA23" s="50"/>
      <c r="CB23" s="50"/>
      <c r="CC23" s="50"/>
      <c r="CD23" s="51"/>
      <c r="CF23" s="50"/>
      <c r="CG23" s="50"/>
      <c r="CH23" s="20"/>
      <c r="CI23" s="50"/>
      <c r="CL23" s="50"/>
      <c r="CN23" s="21"/>
      <c r="CO23" s="50"/>
      <c r="CR23" s="50"/>
      <c r="CU23" s="51"/>
      <c r="CV23" s="21"/>
      <c r="CW23" s="38"/>
      <c r="CX23" s="54"/>
      <c r="CY23" s="38"/>
      <c r="DE23" s="51"/>
      <c r="DF23" s="21"/>
      <c r="DG23" s="38"/>
      <c r="DM23" s="51"/>
      <c r="DN23" s="21"/>
      <c r="DU23" s="51"/>
      <c r="DV23" s="21"/>
      <c r="EA23" s="51"/>
      <c r="EB23" s="21"/>
      <c r="EE23" s="52"/>
      <c r="EI23" s="21"/>
      <c r="EJ23" s="21"/>
      <c r="EK23" s="20"/>
      <c r="EP23" s="21"/>
      <c r="EQ23" s="21"/>
    </row>
    <row r="24" spans="1:147" ht="12.75">
      <c r="A24" s="39" t="s">
        <v>161</v>
      </c>
      <c r="B24" s="28">
        <v>2</v>
      </c>
      <c r="C24" s="28">
        <v>2</v>
      </c>
      <c r="D24" s="28">
        <v>2</v>
      </c>
      <c r="E24" s="40">
        <v>5531</v>
      </c>
      <c r="F24" s="41">
        <v>5894</v>
      </c>
      <c r="G24" s="45">
        <v>3118000</v>
      </c>
      <c r="H24" s="13">
        <f>((1*$E24)/6567)/((1-1)+(1*$E24)/6567)</f>
        <v>1</v>
      </c>
      <c r="I24" s="46">
        <v>2077</v>
      </c>
      <c r="J24" s="42">
        <v>910</v>
      </c>
      <c r="K24" s="13">
        <f>78.8/78.8</f>
        <v>1</v>
      </c>
      <c r="L24" s="43">
        <f t="shared" si="15"/>
        <v>1455752.282382304</v>
      </c>
      <c r="M24" s="44">
        <v>2.41</v>
      </c>
      <c r="N24" s="16">
        <f t="shared" si="22"/>
        <v>3508363.000541353</v>
      </c>
      <c r="O24" s="45">
        <v>154240000</v>
      </c>
      <c r="P24" s="13">
        <f>(0.7704*E24/6464)/((1-0.7704)+(0.7704*E24/6464))</f>
        <v>0.7416747789221809</v>
      </c>
      <c r="Q24" s="46">
        <v>1510378</v>
      </c>
      <c r="R24" s="42">
        <v>354285</v>
      </c>
      <c r="S24" s="13">
        <f>82.8/83.8</f>
        <v>0.9880668257756563</v>
      </c>
      <c r="T24" s="43">
        <f t="shared" si="23"/>
        <v>28253381.433677644</v>
      </c>
      <c r="U24" s="44">
        <v>6.26</v>
      </c>
      <c r="V24" s="16">
        <f t="shared" si="24"/>
        <v>176866167.77482206</v>
      </c>
      <c r="W24" s="45">
        <v>10600000</v>
      </c>
      <c r="X24" s="47">
        <v>0</v>
      </c>
      <c r="Y24" s="45">
        <f t="shared" si="16"/>
        <v>10600000</v>
      </c>
      <c r="Z24" s="13">
        <f>((1*$E24)/6567)/((1-1)+(1*$E24)/6567)</f>
        <v>1</v>
      </c>
      <c r="AA24" s="46">
        <v>60264</v>
      </c>
      <c r="AB24" s="42">
        <v>16270</v>
      </c>
      <c r="AC24" s="13">
        <f>78.8/78.8</f>
        <v>1</v>
      </c>
      <c r="AD24" s="43">
        <f t="shared" si="2"/>
        <v>3049593.3843598263</v>
      </c>
      <c r="AE24" s="44">
        <v>9.14</v>
      </c>
      <c r="AF24" s="16">
        <f t="shared" si="3"/>
        <v>27873283.533048816</v>
      </c>
      <c r="AG24" s="45">
        <v>7532000</v>
      </c>
      <c r="AH24" s="13">
        <f>(1*E24/6464)/((1-1)+(1*E24/6464))</f>
        <v>1</v>
      </c>
      <c r="AI24" s="46">
        <v>60264</v>
      </c>
      <c r="AJ24" s="42">
        <v>16270</v>
      </c>
      <c r="AK24" s="13">
        <v>1</v>
      </c>
      <c r="AL24" s="43">
        <f t="shared" si="25"/>
        <v>2166937.48783002</v>
      </c>
      <c r="AM24" s="44">
        <v>9.18</v>
      </c>
      <c r="AN24" s="16">
        <f t="shared" si="26"/>
        <v>19892486.138279583</v>
      </c>
      <c r="AO24" s="45">
        <v>16216000</v>
      </c>
      <c r="AP24" s="13">
        <f>(0.853*E24/6464)/((1-0.853)+(0.853*E24/6464))</f>
        <v>0.8323601470744163</v>
      </c>
      <c r="AQ24" s="46">
        <v>209401</v>
      </c>
      <c r="AR24" s="42">
        <v>44070</v>
      </c>
      <c r="AS24" s="13">
        <f>69.2/70</f>
        <v>0.9885714285714287</v>
      </c>
      <c r="AT24" s="43">
        <f t="shared" si="27"/>
        <v>2992497.8056445895</v>
      </c>
      <c r="AU24" s="44">
        <v>13.52</v>
      </c>
      <c r="AV24" s="16">
        <f t="shared" si="6"/>
        <v>40458570.33231485</v>
      </c>
      <c r="AW24" s="45">
        <v>98284000</v>
      </c>
      <c r="AX24" s="13">
        <f>(0.0854*E24/6464)/((1-0.0854)+(0.0854*E24/6464))</f>
        <v>0.07398552497776663</v>
      </c>
      <c r="AY24" s="46">
        <v>506997</v>
      </c>
      <c r="AZ24" s="42">
        <v>144180</v>
      </c>
      <c r="BA24" s="13">
        <f>14.7/25.7</f>
        <v>0.5719844357976653</v>
      </c>
      <c r="BB24" s="43">
        <f t="shared" si="28"/>
        <v>1260433.3889337333</v>
      </c>
      <c r="BC24" s="44">
        <v>20.12</v>
      </c>
      <c r="BD24" s="16">
        <f t="shared" si="8"/>
        <v>25359919.785346717</v>
      </c>
      <c r="BE24" s="13">
        <f>1.99*(F24/6464)</f>
        <v>1.814520420792079</v>
      </c>
      <c r="BF24" s="46">
        <v>33075</v>
      </c>
      <c r="BG24" s="45">
        <f t="shared" si="29"/>
        <v>60015.26291769802</v>
      </c>
      <c r="BH24" s="13">
        <f>1.63/1.99</f>
        <v>0.8190954773869347</v>
      </c>
      <c r="BI24" s="43">
        <f t="shared" si="10"/>
        <v>983164.6086014851</v>
      </c>
      <c r="BJ24" s="16">
        <f t="shared" si="17"/>
        <v>4257102.755244431</v>
      </c>
      <c r="BK24" s="16">
        <f t="shared" si="30"/>
        <v>298215893.3195978</v>
      </c>
      <c r="BL24" s="45">
        <v>98284000</v>
      </c>
      <c r="BM24" s="40">
        <v>1122</v>
      </c>
      <c r="BN24" s="40">
        <v>894</v>
      </c>
      <c r="BO24" s="13">
        <f>(0.1085*BM24/768)/((1-0.1085)+(0.1085*BM24/768))</f>
        <v>0.1509618568245146</v>
      </c>
      <c r="BP24" s="13">
        <f>2.8/4</f>
        <v>0.7</v>
      </c>
      <c r="BQ24" s="42">
        <v>573840</v>
      </c>
      <c r="BR24" s="46">
        <v>2336306</v>
      </c>
      <c r="BS24" s="43">
        <f t="shared" si="21"/>
        <v>2032609.016036427</v>
      </c>
      <c r="BT24" s="44">
        <v>20.12</v>
      </c>
      <c r="BU24" s="16">
        <f t="shared" si="12"/>
        <v>40896093.40265291</v>
      </c>
      <c r="BV24" s="17">
        <f t="shared" si="13"/>
        <v>339111986.7222507</v>
      </c>
      <c r="BW24" s="48">
        <f t="shared" si="18"/>
        <v>0.02204278314793574</v>
      </c>
      <c r="BX24" s="18">
        <f t="shared" si="14"/>
        <v>0.02204278314793574</v>
      </c>
      <c r="BY24" s="49">
        <v>0.023396278765473857</v>
      </c>
      <c r="BZ24" s="20"/>
      <c r="CA24" s="50"/>
      <c r="CB24" s="50"/>
      <c r="CC24" s="50"/>
      <c r="CD24" s="51"/>
      <c r="CF24" s="50"/>
      <c r="CG24" s="50"/>
      <c r="CH24" s="20"/>
      <c r="CI24" s="50"/>
      <c r="CL24" s="50"/>
      <c r="CN24" s="21"/>
      <c r="CO24" s="50"/>
      <c r="CR24" s="50"/>
      <c r="CU24" s="51"/>
      <c r="CV24" s="21"/>
      <c r="CW24" s="38"/>
      <c r="CX24" s="54"/>
      <c r="CY24" s="38"/>
      <c r="DE24" s="51"/>
      <c r="DF24" s="21"/>
      <c r="DG24" s="38"/>
      <c r="DM24" s="51"/>
      <c r="DN24" s="21"/>
      <c r="DU24" s="51"/>
      <c r="DV24" s="21"/>
      <c r="EA24" s="51"/>
      <c r="EB24" s="21"/>
      <c r="EE24" s="52"/>
      <c r="EI24" s="21"/>
      <c r="EJ24" s="21"/>
      <c r="EK24" s="20"/>
      <c r="EP24" s="21"/>
      <c r="EQ24" s="21"/>
    </row>
    <row r="25" spans="1:147" ht="12.75">
      <c r="A25" s="39" t="s">
        <v>162</v>
      </c>
      <c r="B25" s="28">
        <v>2</v>
      </c>
      <c r="C25" s="28">
        <v>2</v>
      </c>
      <c r="D25" s="28">
        <v>2</v>
      </c>
      <c r="E25" s="40">
        <v>6668</v>
      </c>
      <c r="F25" s="41">
        <v>7058</v>
      </c>
      <c r="G25" s="45">
        <v>3080000</v>
      </c>
      <c r="H25" s="13">
        <f>((1*$E25)/6567)/((1-1)+(1*$E25)/6567)</f>
        <v>1</v>
      </c>
      <c r="I25" s="19">
        <v>70</v>
      </c>
      <c r="J25" s="42">
        <v>20</v>
      </c>
      <c r="K25" s="13">
        <f>78.8/78.8</f>
        <v>1</v>
      </c>
      <c r="L25" s="43">
        <f t="shared" si="15"/>
        <v>931469.7060587882</v>
      </c>
      <c r="M25" s="44">
        <v>2.39</v>
      </c>
      <c r="N25" s="16">
        <f t="shared" si="22"/>
        <v>2226212.597480504</v>
      </c>
      <c r="O25" s="45">
        <v>72812000</v>
      </c>
      <c r="P25" s="13">
        <f>(0.7704*E25/6464)/((1-0.7704)+(0.7704*E25/6464))</f>
        <v>0.7758498448368938</v>
      </c>
      <c r="Q25" s="46">
        <v>773247</v>
      </c>
      <c r="R25" s="42">
        <v>170895</v>
      </c>
      <c r="S25" s="13">
        <f>82.8/83.8</f>
        <v>0.9880668257756563</v>
      </c>
      <c r="T25" s="43">
        <f t="shared" si="23"/>
        <v>13057623.18853837</v>
      </c>
      <c r="U25" s="44">
        <v>7.77</v>
      </c>
      <c r="V25" s="16">
        <f t="shared" si="24"/>
        <v>101457732.17494313</v>
      </c>
      <c r="W25" s="45">
        <v>2848000</v>
      </c>
      <c r="X25" s="47">
        <v>0</v>
      </c>
      <c r="Y25" s="45">
        <f t="shared" si="16"/>
        <v>2848000</v>
      </c>
      <c r="Z25" s="13">
        <f>((1*$E25)/6567)/((1-1)+(1*$E25)/6567)</f>
        <v>1</v>
      </c>
      <c r="AA25" s="46">
        <v>25860</v>
      </c>
      <c r="AB25" s="42">
        <v>6865</v>
      </c>
      <c r="AC25" s="13">
        <f>78.8/78.8</f>
        <v>1</v>
      </c>
      <c r="AD25" s="43">
        <f t="shared" si="2"/>
        <v>800272.8233935579</v>
      </c>
      <c r="AE25" s="44">
        <v>10.06</v>
      </c>
      <c r="AF25" s="16">
        <f t="shared" si="3"/>
        <v>8050744.603339193</v>
      </c>
      <c r="AG25" s="45">
        <v>137000</v>
      </c>
      <c r="AH25" s="13">
        <f>(1*E25/6464)/((1-1)+(1*E25/6464))</f>
        <v>1</v>
      </c>
      <c r="AI25" s="46">
        <v>25860</v>
      </c>
      <c r="AJ25" s="42">
        <v>6865</v>
      </c>
      <c r="AK25" s="13">
        <v>1</v>
      </c>
      <c r="AL25" s="43">
        <f t="shared" si="25"/>
        <v>38496.269945546854</v>
      </c>
      <c r="AM25" s="44">
        <v>9.18</v>
      </c>
      <c r="AN25" s="16">
        <f t="shared" si="26"/>
        <v>353395.7581001201</v>
      </c>
      <c r="AO25" s="45">
        <v>17058000</v>
      </c>
      <c r="AP25" s="13">
        <f>(0.853*E25/6464)/((1-0.853)+(0.853*E25/6464))</f>
        <v>0.8568535278333332</v>
      </c>
      <c r="AQ25" s="46">
        <v>180140</v>
      </c>
      <c r="AR25" s="42">
        <v>39560</v>
      </c>
      <c r="AS25" s="13">
        <f>69.2/70</f>
        <v>0.9885714285714287</v>
      </c>
      <c r="AT25" s="43">
        <f t="shared" si="27"/>
        <v>3358728.8218568447</v>
      </c>
      <c r="AU25" s="44">
        <v>9.66</v>
      </c>
      <c r="AV25" s="16">
        <f t="shared" si="6"/>
        <v>32445320.41913712</v>
      </c>
      <c r="AW25" s="45">
        <v>40490000</v>
      </c>
      <c r="AX25" s="13">
        <f>(0.0854*E25/6464)/((1-0.0854)+(0.0854*E25/6464))</f>
        <v>0.08785837971101895</v>
      </c>
      <c r="AY25" s="46">
        <v>147318</v>
      </c>
      <c r="AZ25" s="42">
        <v>51995</v>
      </c>
      <c r="BA25" s="13">
        <f>14.7/25.7</f>
        <v>0.5719844357976653</v>
      </c>
      <c r="BB25" s="43">
        <f t="shared" si="28"/>
        <v>760163.4937291729</v>
      </c>
      <c r="BC25" s="44">
        <v>24.54</v>
      </c>
      <c r="BD25" s="16">
        <f t="shared" si="8"/>
        <v>18654412.1361139</v>
      </c>
      <c r="BE25" s="13">
        <f>1.99*(F25/6464)</f>
        <v>2.172868193069307</v>
      </c>
      <c r="BF25" s="46">
        <v>13243</v>
      </c>
      <c r="BG25" s="45">
        <f t="shared" si="29"/>
        <v>28775.293480816832</v>
      </c>
      <c r="BH25" s="13">
        <f>1.63/1.99</f>
        <v>0.8190954773869347</v>
      </c>
      <c r="BI25" s="43">
        <f t="shared" si="10"/>
        <v>471394.25501237623</v>
      </c>
      <c r="BJ25" s="16">
        <f t="shared" si="17"/>
        <v>2041137.124203589</v>
      </c>
      <c r="BK25" s="16">
        <f t="shared" si="30"/>
        <v>165228954.8133176</v>
      </c>
      <c r="BL25" s="45">
        <v>40490000</v>
      </c>
      <c r="BM25" s="40">
        <v>942</v>
      </c>
      <c r="BN25" s="40">
        <v>837</v>
      </c>
      <c r="BO25" s="13">
        <f>(0.1085*BM25/768)/((1-0.1085)+(0.1085*BM25/768))</f>
        <v>0.12988909349467959</v>
      </c>
      <c r="BP25" s="13">
        <f>2.8/4</f>
        <v>0.7</v>
      </c>
      <c r="BQ25" s="42">
        <v>277130</v>
      </c>
      <c r="BR25" s="46">
        <v>1149276</v>
      </c>
      <c r="BS25" s="43">
        <f t="shared" si="21"/>
        <v>788773.4103113731</v>
      </c>
      <c r="BT25" s="44">
        <v>24.54</v>
      </c>
      <c r="BU25" s="16">
        <f t="shared" si="12"/>
        <v>19356499.489041094</v>
      </c>
      <c r="BV25" s="17">
        <f t="shared" si="13"/>
        <v>184585454.3023587</v>
      </c>
      <c r="BW25" s="48">
        <f t="shared" si="18"/>
        <v>0.01199832887294138</v>
      </c>
      <c r="BX25" s="18">
        <f t="shared" si="14"/>
        <v>0.01199832887294138</v>
      </c>
      <c r="BY25" s="49">
        <v>0.012735063678084533</v>
      </c>
      <c r="BZ25" s="20"/>
      <c r="CA25" s="50"/>
      <c r="CB25" s="50"/>
      <c r="CC25" s="50"/>
      <c r="CD25" s="51"/>
      <c r="CF25" s="50"/>
      <c r="CG25" s="50"/>
      <c r="CH25" s="20"/>
      <c r="CI25" s="50"/>
      <c r="CL25" s="50"/>
      <c r="CN25" s="21"/>
      <c r="CO25" s="50"/>
      <c r="CR25" s="50"/>
      <c r="CU25" s="51"/>
      <c r="CV25" s="21"/>
      <c r="CW25" s="38"/>
      <c r="CX25" s="54"/>
      <c r="CY25" s="38"/>
      <c r="DV25" s="21"/>
      <c r="EB25" s="21"/>
      <c r="EE25" s="52"/>
      <c r="EJ25" s="21"/>
      <c r="EK25" s="20"/>
      <c r="EP25" s="21"/>
      <c r="EQ25" s="21"/>
    </row>
    <row r="26" spans="1:147" ht="12.75">
      <c r="A26" s="39" t="s">
        <v>163</v>
      </c>
      <c r="B26" s="28">
        <v>2</v>
      </c>
      <c r="C26" s="28">
        <v>3</v>
      </c>
      <c r="D26" s="28">
        <v>3</v>
      </c>
      <c r="E26" s="40">
        <v>4969</v>
      </c>
      <c r="F26" s="41">
        <v>5120</v>
      </c>
      <c r="G26" s="45">
        <v>19000</v>
      </c>
      <c r="H26" s="13">
        <f>((1*$E26)/5547)/((1-1)+(1*$E26)/5547)</f>
        <v>1</v>
      </c>
      <c r="I26" s="19">
        <v>27</v>
      </c>
      <c r="J26" s="42">
        <v>15</v>
      </c>
      <c r="K26" s="13">
        <f>78.8/78.8</f>
        <v>1</v>
      </c>
      <c r="L26" s="43">
        <f t="shared" si="15"/>
        <v>10876.322085820977</v>
      </c>
      <c r="M26" s="44">
        <v>1.59</v>
      </c>
      <c r="N26" s="16">
        <f t="shared" si="22"/>
        <v>17293.352116455353</v>
      </c>
      <c r="O26" s="45">
        <v>67822000</v>
      </c>
      <c r="P26" s="13">
        <f>(0.7881*E26/5547)/((1-0.881)+(0.7881*E26/5547))</f>
        <v>0.8557540108010602</v>
      </c>
      <c r="Q26" s="46">
        <v>741988</v>
      </c>
      <c r="R26" s="42">
        <v>179465</v>
      </c>
      <c r="S26" s="13">
        <f>82.8/83.8</f>
        <v>0.9880668257756563</v>
      </c>
      <c r="T26" s="43">
        <f t="shared" si="23"/>
        <v>14291891.150784384</v>
      </c>
      <c r="U26" s="44">
        <v>7.58</v>
      </c>
      <c r="V26" s="16">
        <f t="shared" si="24"/>
        <v>108332534.92294563</v>
      </c>
      <c r="W26" s="45">
        <v>73000</v>
      </c>
      <c r="X26" s="47">
        <v>0</v>
      </c>
      <c r="Y26" s="45">
        <f t="shared" si="16"/>
        <v>73000</v>
      </c>
      <c r="Z26" s="13">
        <f>((1*$E26)/5547)/((1-1)+(1*$E26)/5547)</f>
        <v>1</v>
      </c>
      <c r="AA26" s="46">
        <v>1571</v>
      </c>
      <c r="AB26" s="42">
        <v>420</v>
      </c>
      <c r="AC26" s="13">
        <f>78.8/78.8</f>
        <v>1</v>
      </c>
      <c r="AD26" s="43">
        <f t="shared" si="2"/>
        <v>20109.298913608094</v>
      </c>
      <c r="AE26" s="44">
        <v>10.78</v>
      </c>
      <c r="AF26" s="16">
        <f t="shared" si="3"/>
        <v>216778.24228869524</v>
      </c>
      <c r="AG26" s="45">
        <v>1962000</v>
      </c>
      <c r="AH26" s="13">
        <f>(1*E26/5547)/((1-1)+(1*E26/5547))</f>
        <v>1</v>
      </c>
      <c r="AI26" s="46">
        <v>1571</v>
      </c>
      <c r="AJ26" s="42">
        <v>420</v>
      </c>
      <c r="AK26" s="13">
        <v>1</v>
      </c>
      <c r="AL26" s="43">
        <f t="shared" si="25"/>
        <v>540471.8420342341</v>
      </c>
      <c r="AM26" s="44">
        <v>9.17</v>
      </c>
      <c r="AN26" s="16">
        <f t="shared" si="26"/>
        <v>4956126.791453927</v>
      </c>
      <c r="AO26" s="45">
        <v>6319000</v>
      </c>
      <c r="AP26" s="13">
        <f>(0.8098*E26/5547)/((1-0.8098)+(0.8098*E26/5547))</f>
        <v>0.792271553905901</v>
      </c>
      <c r="AQ26" s="46">
        <v>98537</v>
      </c>
      <c r="AR26" s="42">
        <v>22635</v>
      </c>
      <c r="AS26" s="13">
        <f>69.2/70</f>
        <v>0.9885714285714287</v>
      </c>
      <c r="AT26" s="43">
        <f t="shared" si="27"/>
        <v>1171419.9069490703</v>
      </c>
      <c r="AU26" s="44">
        <v>10.72</v>
      </c>
      <c r="AV26" s="16">
        <f t="shared" si="6"/>
        <v>12557621.402494034</v>
      </c>
      <c r="AW26" s="45">
        <v>38717000</v>
      </c>
      <c r="AX26" s="13">
        <f>(0.087*E26/5547)/((1-0.087)+(0.087*E26/5547))</f>
        <v>0.07864753378109175</v>
      </c>
      <c r="AY26" s="46">
        <v>178722</v>
      </c>
      <c r="AZ26" s="42">
        <v>54550</v>
      </c>
      <c r="BA26" s="13">
        <f>14.7/25.7</f>
        <v>0.5719844357976653</v>
      </c>
      <c r="BB26" s="43">
        <f t="shared" si="28"/>
        <v>547757.9908365125</v>
      </c>
      <c r="BC26" s="44">
        <v>22.43</v>
      </c>
      <c r="BD26" s="16">
        <f t="shared" si="8"/>
        <v>12286211.734462976</v>
      </c>
      <c r="BE26" s="13">
        <f>1.66*(F26/5547)</f>
        <v>1.5322156120425454</v>
      </c>
      <c r="BF26" s="46">
        <v>12852</v>
      </c>
      <c r="BG26" s="45">
        <f t="shared" si="29"/>
        <v>19692.035045970795</v>
      </c>
      <c r="BH26" s="13">
        <f>2.37/1.66</f>
        <v>1.4277108433734942</v>
      </c>
      <c r="BI26" s="43">
        <f t="shared" si="10"/>
        <v>562290.6392644674</v>
      </c>
      <c r="BJ26" s="16">
        <f t="shared" si="17"/>
        <v>2434718.468015144</v>
      </c>
      <c r="BK26" s="16">
        <f t="shared" si="30"/>
        <v>140801284.91377684</v>
      </c>
      <c r="BL26" s="45">
        <v>38717000</v>
      </c>
      <c r="BM26" s="40">
        <v>1598</v>
      </c>
      <c r="BN26" s="40">
        <v>1441</v>
      </c>
      <c r="BO26" s="13">
        <f>(0.1473*BM26/1112)/((1-0.1473)+(0.1473*BM26/1112))</f>
        <v>0.1988744730217733</v>
      </c>
      <c r="BP26" s="13">
        <f>2.8/4</f>
        <v>0.7</v>
      </c>
      <c r="BQ26" s="42">
        <v>262115</v>
      </c>
      <c r="BR26" s="46">
        <v>1037891</v>
      </c>
      <c r="BS26" s="43">
        <f t="shared" si="21"/>
        <v>1227456.5143371588</v>
      </c>
      <c r="BT26" s="44">
        <v>22.43</v>
      </c>
      <c r="BU26" s="16">
        <f t="shared" si="12"/>
        <v>27531849.616582472</v>
      </c>
      <c r="BV26" s="17">
        <f t="shared" si="13"/>
        <v>168333134.53035933</v>
      </c>
      <c r="BW26" s="48">
        <f t="shared" si="18"/>
        <v>0.010941903932473228</v>
      </c>
      <c r="BX26" s="18">
        <f t="shared" si="14"/>
        <v>0.010941903932473228</v>
      </c>
      <c r="BY26" s="49">
        <v>0.011613770952201747</v>
      </c>
      <c r="BZ26" s="20"/>
      <c r="CA26" s="50"/>
      <c r="CB26" s="50"/>
      <c r="CC26" s="50"/>
      <c r="CD26" s="51"/>
      <c r="CF26" s="50"/>
      <c r="CG26" s="50"/>
      <c r="CH26" s="20"/>
      <c r="CI26" s="50"/>
      <c r="CL26" s="50"/>
      <c r="CN26" s="21"/>
      <c r="CO26" s="50"/>
      <c r="CR26" s="50"/>
      <c r="CU26" s="51"/>
      <c r="CV26" s="21"/>
      <c r="CW26" s="38"/>
      <c r="CX26" s="54"/>
      <c r="CY26" s="38"/>
      <c r="DE26" s="51"/>
      <c r="DF26" s="21"/>
      <c r="DG26" s="38"/>
      <c r="DM26" s="51"/>
      <c r="DN26" s="21"/>
      <c r="DU26" s="51"/>
      <c r="DV26" s="21"/>
      <c r="EB26" s="21"/>
      <c r="EE26" s="52"/>
      <c r="EI26" s="21"/>
      <c r="EJ26" s="21"/>
      <c r="EK26" s="20"/>
      <c r="EP26" s="21"/>
      <c r="EQ26" s="21"/>
    </row>
    <row r="27" spans="1:147" ht="12.75">
      <c r="A27" s="39" t="s">
        <v>164</v>
      </c>
      <c r="B27" s="28">
        <v>3</v>
      </c>
      <c r="C27" s="28">
        <v>3</v>
      </c>
      <c r="D27" s="28">
        <v>3</v>
      </c>
      <c r="E27" s="40">
        <v>4283</v>
      </c>
      <c r="F27" s="41">
        <v>4616</v>
      </c>
      <c r="G27" s="45">
        <v>2883000</v>
      </c>
      <c r="H27" s="13">
        <f>((0.9042*$E27)/4612)/((1-0.9042)+(0.9042*$E27)/4612)</f>
        <v>0.8975946839209069</v>
      </c>
      <c r="I27" s="46">
        <v>12124</v>
      </c>
      <c r="J27" s="42">
        <v>8595</v>
      </c>
      <c r="K27" s="13">
        <f>73.9/75</f>
        <v>0.9853333333333334</v>
      </c>
      <c r="L27" s="43">
        <f t="shared" si="15"/>
        <v>1948165.141465309</v>
      </c>
      <c r="M27" s="44">
        <v>2.03</v>
      </c>
      <c r="N27" s="16">
        <f t="shared" si="22"/>
        <v>3954775.237174577</v>
      </c>
      <c r="O27" s="45">
        <v>61126000</v>
      </c>
      <c r="P27" s="13">
        <f>(7119*E27/4612)/((1-0.7119)+(7119*E27/4612))</f>
        <v>0.9999564240800581</v>
      </c>
      <c r="Q27" s="46">
        <v>706249</v>
      </c>
      <c r="R27" s="42">
        <v>171880</v>
      </c>
      <c r="S27" s="13">
        <f>45.6/48.7</f>
        <v>0.9363449691991786</v>
      </c>
      <c r="T27" s="43">
        <f t="shared" si="23"/>
        <v>15011640.599277332</v>
      </c>
      <c r="U27" s="44">
        <v>7.12</v>
      </c>
      <c r="V27" s="16">
        <f t="shared" si="24"/>
        <v>106882881.06685461</v>
      </c>
      <c r="W27" s="45">
        <v>2775000</v>
      </c>
      <c r="X27" s="47">
        <v>0.1223</v>
      </c>
      <c r="Y27" s="45">
        <f t="shared" si="16"/>
        <v>2929452.97575</v>
      </c>
      <c r="Z27" s="13">
        <f>((0.9042*$E27)/4612)/((1-0.9042)+(0.9042*$E27)/4612)</f>
        <v>0.8975946839209069</v>
      </c>
      <c r="AA27" s="46">
        <v>44203</v>
      </c>
      <c r="AB27" s="42">
        <v>19455</v>
      </c>
      <c r="AC27" s="13">
        <f>73.9/75</f>
        <v>0.9853333333333334</v>
      </c>
      <c r="AD27" s="43">
        <f t="shared" si="2"/>
        <v>1228986.7291856003</v>
      </c>
      <c r="AE27" s="44">
        <v>9.11</v>
      </c>
      <c r="AF27" s="16">
        <f t="shared" si="3"/>
        <v>11196069.102880819</v>
      </c>
      <c r="AG27" s="45">
        <v>4899000</v>
      </c>
      <c r="AH27" s="13">
        <f>(0.8334*E27/4612)/((1-0.8334)+(0.8334*E27/4612))</f>
        <v>0.8228693852388327</v>
      </c>
      <c r="AI27" s="46">
        <v>44203</v>
      </c>
      <c r="AJ27" s="42">
        <v>19455</v>
      </c>
      <c r="AK27" s="13">
        <f>32.4/31.1</f>
        <v>1.0418006430868165</v>
      </c>
      <c r="AL27" s="43">
        <f t="shared" si="25"/>
        <v>1992141.4917428952</v>
      </c>
      <c r="AM27" s="44">
        <v>9.27</v>
      </c>
      <c r="AN27" s="16">
        <f t="shared" si="26"/>
        <v>18467151.628456637</v>
      </c>
      <c r="AO27" s="45">
        <v>9723000</v>
      </c>
      <c r="AP27" s="13">
        <f>(0.8383*E27/4612)/((1-0.8383)+(0.8383*E27/4612))</f>
        <v>0.828015192936358</v>
      </c>
      <c r="AQ27" s="46">
        <v>156389</v>
      </c>
      <c r="AR27" s="42">
        <v>49195</v>
      </c>
      <c r="AS27" s="13">
        <f>33.8/45.1</f>
        <v>0.7494456762749445</v>
      </c>
      <c r="AT27" s="43">
        <f t="shared" si="27"/>
        <v>2045555.3608681287</v>
      </c>
      <c r="AU27" s="44">
        <v>14.72</v>
      </c>
      <c r="AV27" s="16">
        <f t="shared" si="6"/>
        <v>30110574.911978856</v>
      </c>
      <c r="AW27" s="45">
        <v>76932000</v>
      </c>
      <c r="AX27" s="13">
        <f>(0.1732*E27/4612)/((1-0.1732)+(0.1732*E27/4612))</f>
        <v>0.1628568164352925</v>
      </c>
      <c r="AY27" s="46">
        <v>617884</v>
      </c>
      <c r="AZ27" s="42">
        <v>198465</v>
      </c>
      <c r="BA27" s="13">
        <f>12.1/13.5</f>
        <v>0.8962962962962963</v>
      </c>
      <c r="BB27" s="43">
        <f t="shared" si="28"/>
        <v>3887400.359254067</v>
      </c>
      <c r="BC27" s="44">
        <v>16.03</v>
      </c>
      <c r="BD27" s="16">
        <f t="shared" si="8"/>
        <v>62315027.7588427</v>
      </c>
      <c r="BE27" s="13">
        <f>1.35*(F27/4612)</f>
        <v>1.3511708586296618</v>
      </c>
      <c r="BF27" s="46">
        <v>45465</v>
      </c>
      <c r="BG27" s="45">
        <f t="shared" si="29"/>
        <v>61430.983087597575</v>
      </c>
      <c r="BH27" s="13">
        <f>2.11/1.35</f>
        <v>1.5629629629629627</v>
      </c>
      <c r="BI27" s="43">
        <f t="shared" si="10"/>
        <v>1920287.026886383</v>
      </c>
      <c r="BJ27" s="16">
        <f t="shared" si="17"/>
        <v>8314842.826418038</v>
      </c>
      <c r="BK27" s="16">
        <f t="shared" si="30"/>
        <v>241241322.53260624</v>
      </c>
      <c r="BL27" s="45">
        <v>76932000</v>
      </c>
      <c r="BM27" s="40">
        <v>1463</v>
      </c>
      <c r="BN27" s="40">
        <v>1172</v>
      </c>
      <c r="BO27" s="13">
        <f>(0.1407*BM27/1186)/((1-0.1407)+(0.1407*BM27/1186))</f>
        <v>0.16803958027187357</v>
      </c>
      <c r="BP27" s="13">
        <f>8.4/11.1</f>
        <v>0.7567567567567568</v>
      </c>
      <c r="BQ27" s="42">
        <v>472560</v>
      </c>
      <c r="BR27" s="46">
        <v>1590647</v>
      </c>
      <c r="BS27" s="43">
        <f t="shared" si="21"/>
        <v>2328312.9354613745</v>
      </c>
      <c r="BT27" s="44">
        <v>16.03</v>
      </c>
      <c r="BU27" s="16">
        <f t="shared" si="12"/>
        <v>37322856.35544583</v>
      </c>
      <c r="BV27" s="17">
        <f t="shared" si="13"/>
        <v>278564178.8880521</v>
      </c>
      <c r="BW27" s="48">
        <f t="shared" si="18"/>
        <v>0.018107085648498004</v>
      </c>
      <c r="BX27" s="18">
        <f t="shared" si="14"/>
        <v>0.018107085648498004</v>
      </c>
      <c r="BY27" s="49">
        <v>0.019218917167555728</v>
      </c>
      <c r="BZ27" s="20"/>
      <c r="CA27" s="50"/>
      <c r="CB27" s="50"/>
      <c r="CC27" s="50"/>
      <c r="CD27" s="51"/>
      <c r="CF27" s="50"/>
      <c r="CG27" s="50"/>
      <c r="CH27" s="20"/>
      <c r="CI27" s="50"/>
      <c r="CL27" s="50"/>
      <c r="CN27" s="21"/>
      <c r="CO27" s="50"/>
      <c r="CR27" s="50"/>
      <c r="CU27" s="51"/>
      <c r="CV27" s="21"/>
      <c r="CW27" s="38"/>
      <c r="CX27" s="54"/>
      <c r="CY27" s="38"/>
      <c r="DE27" s="51"/>
      <c r="DF27" s="21"/>
      <c r="DG27" s="38"/>
      <c r="DM27" s="51"/>
      <c r="DN27" s="21"/>
      <c r="DU27" s="51"/>
      <c r="DV27" s="21"/>
      <c r="EA27" s="51"/>
      <c r="EB27" s="21"/>
      <c r="EE27" s="52"/>
      <c r="EI27" s="21"/>
      <c r="EJ27" s="21"/>
      <c r="EK27" s="20"/>
      <c r="EP27" s="21"/>
      <c r="EQ27" s="21"/>
    </row>
    <row r="28" spans="1:147" ht="12.75">
      <c r="A28" s="39" t="s">
        <v>165</v>
      </c>
      <c r="B28" s="28">
        <v>3</v>
      </c>
      <c r="C28" s="28">
        <v>6</v>
      </c>
      <c r="D28" s="28">
        <v>6</v>
      </c>
      <c r="E28" s="40">
        <v>1766</v>
      </c>
      <c r="F28" s="41">
        <v>1783</v>
      </c>
      <c r="G28" s="45">
        <v>2600</v>
      </c>
      <c r="H28" s="13">
        <f>((1*$E28)/1346)/((1-1)+(1*$E28)/1346)</f>
        <v>1</v>
      </c>
      <c r="I28" s="19">
        <v>89</v>
      </c>
      <c r="J28" s="42">
        <v>40</v>
      </c>
      <c r="K28" s="13">
        <f>73.9/75</f>
        <v>0.9853333333333334</v>
      </c>
      <c r="L28" s="43">
        <f t="shared" si="15"/>
        <v>1162.4844482335927</v>
      </c>
      <c r="M28" s="44">
        <v>2.87</v>
      </c>
      <c r="N28" s="16">
        <f t="shared" si="22"/>
        <v>3336.3303664304112</v>
      </c>
      <c r="O28" s="45">
        <v>47035000</v>
      </c>
      <c r="P28" s="13">
        <f>(0.5102*E28/1346)/((1-0.5102)+(0.5102*E28/1346))</f>
        <v>0.5774674354156039</v>
      </c>
      <c r="Q28" s="46">
        <v>776540</v>
      </c>
      <c r="R28" s="42">
        <v>254135</v>
      </c>
      <c r="S28" s="13">
        <f>45.6/48.7</f>
        <v>0.9363449691991786</v>
      </c>
      <c r="T28" s="43">
        <f t="shared" si="23"/>
        <v>8403221.707402116</v>
      </c>
      <c r="U28" s="44">
        <v>7.84</v>
      </c>
      <c r="V28" s="16">
        <f t="shared" si="24"/>
        <v>65881258.186032586</v>
      </c>
      <c r="W28" s="45">
        <v>20000</v>
      </c>
      <c r="X28" s="47">
        <v>0.1223</v>
      </c>
      <c r="Y28" s="45">
        <f t="shared" si="16"/>
        <v>21113.1746</v>
      </c>
      <c r="Z28" s="13">
        <f>((1*$E28)/1346)/((1-1)+(1*$E28)/1346)</f>
        <v>1</v>
      </c>
      <c r="AA28" s="46">
        <v>2492</v>
      </c>
      <c r="AB28" s="42">
        <v>1215</v>
      </c>
      <c r="AC28" s="13">
        <f>73.9/75</f>
        <v>0.9853333333333334</v>
      </c>
      <c r="AD28" s="43">
        <f t="shared" si="2"/>
        <v>10240.604604151342</v>
      </c>
      <c r="AE28" s="44">
        <v>8.35</v>
      </c>
      <c r="AF28" s="16">
        <f t="shared" si="3"/>
        <v>85509.0484446637</v>
      </c>
      <c r="AG28" s="45">
        <v>354000</v>
      </c>
      <c r="AH28" s="13">
        <f>(0.9894*E28/1346)/((1-0.9894)+(0.9894*E28/1346))</f>
        <v>0.9919005329403457</v>
      </c>
      <c r="AI28" s="46">
        <v>2492</v>
      </c>
      <c r="AJ28" s="42">
        <v>1215</v>
      </c>
      <c r="AK28" s="13">
        <f>32.4/31.1</f>
        <v>1.0418006430868165</v>
      </c>
      <c r="AL28" s="43">
        <f t="shared" si="25"/>
        <v>180071.4620292126</v>
      </c>
      <c r="AM28" s="44">
        <v>7.78</v>
      </c>
      <c r="AN28" s="16">
        <f t="shared" si="26"/>
        <v>1400955.974587274</v>
      </c>
      <c r="AO28" s="45">
        <v>2861000</v>
      </c>
      <c r="AP28" s="13">
        <f>(0.7201*E28/1346)/((1-0.7201)+(0.7201*E28/1346))</f>
        <v>0.7714536513871887</v>
      </c>
      <c r="AQ28" s="46">
        <v>81681</v>
      </c>
      <c r="AR28" s="42">
        <v>35370</v>
      </c>
      <c r="AS28" s="13">
        <f>33.8/45.1</f>
        <v>0.7494456762749445</v>
      </c>
      <c r="AT28" s="43">
        <f t="shared" si="27"/>
        <v>723173.5156226506</v>
      </c>
      <c r="AU28" s="44">
        <v>16.07</v>
      </c>
      <c r="AV28" s="16">
        <f t="shared" si="6"/>
        <v>11621398.396055996</v>
      </c>
      <c r="AW28" s="45">
        <v>90164000</v>
      </c>
      <c r="AX28" s="13">
        <f>(0.0754*E28/1346)/((1-0.0754)+(0.0754*E28/1346))</f>
        <v>0.09665347529303141</v>
      </c>
      <c r="AY28" s="46">
        <v>774936</v>
      </c>
      <c r="AZ28" s="42">
        <v>240050</v>
      </c>
      <c r="BA28" s="13">
        <f>12.1/13.5</f>
        <v>0.8962962962962963</v>
      </c>
      <c r="BB28" s="43">
        <f t="shared" si="28"/>
        <v>2442861.0439448943</v>
      </c>
      <c r="BC28" s="44">
        <v>22.49</v>
      </c>
      <c r="BD28" s="16">
        <f t="shared" si="8"/>
        <v>54939944.87832067</v>
      </c>
      <c r="BE28" s="13">
        <f>0.62*(F28/1346)</f>
        <v>0.8212927191679049</v>
      </c>
      <c r="BF28" s="46">
        <v>12647</v>
      </c>
      <c r="BG28" s="45">
        <f t="shared" si="29"/>
        <v>10386.889019316493</v>
      </c>
      <c r="BH28" s="13">
        <f>0.89/0.62</f>
        <v>1.435483870967742</v>
      </c>
      <c r="BI28" s="43">
        <f t="shared" si="10"/>
        <v>298204.2331352155</v>
      </c>
      <c r="BJ28" s="16">
        <f t="shared" si="17"/>
        <v>1291224.329475483</v>
      </c>
      <c r="BK28" s="16">
        <f t="shared" si="30"/>
        <v>135223627.14328313</v>
      </c>
      <c r="BL28" s="45">
        <v>90164000</v>
      </c>
      <c r="BM28" s="40">
        <v>2738</v>
      </c>
      <c r="BN28" s="40">
        <v>2575</v>
      </c>
      <c r="BO28" s="13">
        <f>(0.2883*BM28/3126)/((1-0.2883)+(0.2883*BM28/3126))</f>
        <v>0.2618874719671246</v>
      </c>
      <c r="BP28" s="13">
        <f>8.4/11.1</f>
        <v>0.7567567567567568</v>
      </c>
      <c r="BQ28" s="42">
        <v>539620</v>
      </c>
      <c r="BR28" s="46">
        <v>1656053</v>
      </c>
      <c r="BS28" s="43">
        <f t="shared" si="21"/>
        <v>5475979.283012664</v>
      </c>
      <c r="BT28" s="44">
        <v>22.49</v>
      </c>
      <c r="BU28" s="16">
        <f t="shared" si="12"/>
        <v>123154774.07495481</v>
      </c>
      <c r="BV28" s="17">
        <f t="shared" si="13"/>
        <v>258378401.21823794</v>
      </c>
      <c r="BW28" s="48">
        <f t="shared" si="18"/>
        <v>0.01679498009850282</v>
      </c>
      <c r="BX28" s="18">
        <f t="shared" si="14"/>
        <v>0.01679498009850282</v>
      </c>
      <c r="BY28" s="49">
        <v>0.010171963862267208</v>
      </c>
      <c r="BZ28" s="20"/>
      <c r="CA28" s="50"/>
      <c r="CB28" s="50"/>
      <c r="CC28" s="50"/>
      <c r="CD28" s="51"/>
      <c r="CF28" s="50"/>
      <c r="CG28" s="50"/>
      <c r="CH28" s="20"/>
      <c r="CI28" s="50"/>
      <c r="CL28" s="50"/>
      <c r="CN28" s="21"/>
      <c r="CO28" s="50"/>
      <c r="CR28" s="50"/>
      <c r="CU28" s="51"/>
      <c r="CV28" s="21"/>
      <c r="CW28" s="38"/>
      <c r="CX28" s="54"/>
      <c r="CY28" s="38"/>
      <c r="DE28" s="51"/>
      <c r="DF28" s="21"/>
      <c r="DG28" s="38"/>
      <c r="DM28" s="51"/>
      <c r="DN28" s="21"/>
      <c r="DU28" s="51"/>
      <c r="DV28" s="21"/>
      <c r="EA28" s="51"/>
      <c r="EB28" s="21"/>
      <c r="EE28" s="52"/>
      <c r="EI28" s="21"/>
      <c r="EJ28" s="21"/>
      <c r="EK28" s="20"/>
      <c r="EP28" s="21"/>
      <c r="EQ28" s="21"/>
    </row>
    <row r="29" spans="1:85" ht="12.75">
      <c r="A29" s="39" t="s">
        <v>166</v>
      </c>
      <c r="B29" s="28">
        <v>1</v>
      </c>
      <c r="C29" s="28">
        <v>1</v>
      </c>
      <c r="D29" s="28">
        <v>1</v>
      </c>
      <c r="E29" s="40">
        <v>7760</v>
      </c>
      <c r="F29" s="41">
        <v>8012</v>
      </c>
      <c r="G29" s="45">
        <v>59000</v>
      </c>
      <c r="H29" s="13">
        <f>((0.8318*$E29)/7342)/((1-0.8318)+(0.8318*$E29)/7342)</f>
        <v>0.8394052277045568</v>
      </c>
      <c r="I29" s="19">
        <v>786</v>
      </c>
      <c r="J29" s="42">
        <v>185</v>
      </c>
      <c r="K29" s="13">
        <f>75.3/84.9</f>
        <v>0.8869257950530034</v>
      </c>
      <c r="L29" s="43">
        <f t="shared" si="15"/>
        <v>10674.299127503633</v>
      </c>
      <c r="M29" s="44">
        <v>3.53</v>
      </c>
      <c r="N29" s="16">
        <f aca="true" t="shared" si="31" ref="N29:N60">L29*M29</f>
        <v>37680.27592008782</v>
      </c>
      <c r="O29" s="45">
        <v>974000</v>
      </c>
      <c r="P29" s="13">
        <f>(0.7695*E29/7342)/((1-0.7695)+(0.7695*E29/7342))</f>
        <v>0.779174312608964</v>
      </c>
      <c r="Q29" s="46">
        <v>17940</v>
      </c>
      <c r="R29" s="42">
        <v>5260</v>
      </c>
      <c r="S29" s="13">
        <f>66.4/79.3</f>
        <v>0.8373266078184112</v>
      </c>
      <c r="T29" s="43">
        <f t="shared" si="23"/>
        <v>192367.18963563663</v>
      </c>
      <c r="U29" s="44">
        <v>9.05</v>
      </c>
      <c r="V29" s="16">
        <f t="shared" si="24"/>
        <v>1740923.0662025118</v>
      </c>
      <c r="W29" s="45">
        <v>43595000</v>
      </c>
      <c r="X29" s="47">
        <v>0.2392</v>
      </c>
      <c r="Y29" s="45">
        <f t="shared" si="16"/>
        <v>48340748.2124</v>
      </c>
      <c r="Z29" s="13">
        <f>((0.8318*$E29)/7342)/((1-0.8318)+(0.8318*$E29)/7342)</f>
        <v>0.8394052277045568</v>
      </c>
      <c r="AA29" s="46">
        <v>415420</v>
      </c>
      <c r="AB29" s="42">
        <v>96805</v>
      </c>
      <c r="AC29" s="13">
        <f>75.3/84.9</f>
        <v>0.8869257950530034</v>
      </c>
      <c r="AD29" s="43">
        <f t="shared" si="2"/>
        <v>8658884.185835166</v>
      </c>
      <c r="AE29" s="44">
        <v>9.84</v>
      </c>
      <c r="AF29" s="16">
        <f t="shared" si="3"/>
        <v>85203420.38861804</v>
      </c>
      <c r="AG29" s="45">
        <v>8725000</v>
      </c>
      <c r="AH29" s="13">
        <f>(0.977*E29/7342)/((1-0.977)+(0.977*E29/7342))</f>
        <v>0.9782119238964355</v>
      </c>
      <c r="AI29" s="46">
        <v>415420</v>
      </c>
      <c r="AJ29" s="42">
        <v>96805</v>
      </c>
      <c r="AK29" s="13">
        <f>58.5/66.5</f>
        <v>0.8796992481203008</v>
      </c>
      <c r="AL29" s="43">
        <f t="shared" si="25"/>
        <v>1806434.487633985</v>
      </c>
      <c r="AM29" s="44">
        <v>10.27</v>
      </c>
      <c r="AN29" s="16">
        <f t="shared" si="26"/>
        <v>18552082.188001025</v>
      </c>
      <c r="AO29" s="45">
        <v>4533000</v>
      </c>
      <c r="AP29" s="13">
        <f>(0.5105*E29/7342)/((1-0.5105)+(0.5105*E29/7342))</f>
        <v>0.5243250876956832</v>
      </c>
      <c r="AQ29" s="46">
        <v>25292</v>
      </c>
      <c r="AR29" s="42">
        <v>6375</v>
      </c>
      <c r="AS29" s="13">
        <f>56.9/75.2</f>
        <v>0.7566489361702127</v>
      </c>
      <c r="AT29" s="43">
        <f t="shared" si="27"/>
        <v>468012.0319641869</v>
      </c>
      <c r="AU29" s="44">
        <v>16.96</v>
      </c>
      <c r="AV29" s="16">
        <f t="shared" si="6"/>
        <v>7937484.062112611</v>
      </c>
      <c r="AW29" s="45">
        <v>12639000</v>
      </c>
      <c r="AX29" s="13">
        <f>(0.0235*E29/7342)/((1-0.0235)+(0.0235*E29/7342))</f>
        <v>0.024804732105220703</v>
      </c>
      <c r="AY29" s="46">
        <v>22995</v>
      </c>
      <c r="AZ29" s="42">
        <v>11180</v>
      </c>
      <c r="BA29" s="13">
        <f>14/22.3</f>
        <v>0.6278026905829596</v>
      </c>
      <c r="BB29" s="43">
        <f t="shared" si="28"/>
        <v>98800.24839014541</v>
      </c>
      <c r="BC29" s="44">
        <v>36.59</v>
      </c>
      <c r="BD29" s="16">
        <f t="shared" si="8"/>
        <v>3615101.088595421</v>
      </c>
      <c r="BE29" s="13">
        <f>5.16*(F29/7342)</f>
        <v>5.630879869245438</v>
      </c>
      <c r="BF29" s="46">
        <v>33389</v>
      </c>
      <c r="BG29" s="45">
        <f t="shared" si="29"/>
        <v>188009.44795423592</v>
      </c>
      <c r="BH29" s="13">
        <f>7.99/5.16</f>
        <v>1.5484496124031009</v>
      </c>
      <c r="BI29" s="43">
        <f t="shared" si="10"/>
        <v>5822463.136257151</v>
      </c>
      <c r="BJ29" s="16">
        <f t="shared" si="17"/>
        <v>25211265.379993465</v>
      </c>
      <c r="BK29" s="16">
        <f t="shared" si="30"/>
        <v>142297956.44944316</v>
      </c>
      <c r="BL29" s="45">
        <v>12639000</v>
      </c>
      <c r="BM29" s="40">
        <v>268</v>
      </c>
      <c r="BN29" s="40">
        <v>228</v>
      </c>
      <c r="BO29" s="13">
        <f>(0.0197*BM29/604)/((1-0.0197)+(0.0197*BM29/604))</f>
        <v>0.008837913772923402</v>
      </c>
      <c r="BP29" s="13">
        <f>1.6/2.5</f>
        <v>0.64</v>
      </c>
      <c r="BQ29" s="42">
        <v>128775</v>
      </c>
      <c r="BR29" s="46">
        <v>518200</v>
      </c>
      <c r="BS29" s="43">
        <f t="shared" si="21"/>
        <v>15113.90370092231</v>
      </c>
      <c r="BT29" s="44">
        <v>36.59</v>
      </c>
      <c r="BU29" s="16">
        <f t="shared" si="12"/>
        <v>553017.7364167473</v>
      </c>
      <c r="BV29" s="17">
        <f t="shared" si="13"/>
        <v>142850974.18585992</v>
      </c>
      <c r="BW29" s="48">
        <f t="shared" si="18"/>
        <v>0.009285525636784182</v>
      </c>
      <c r="BX29" s="18">
        <f t="shared" si="14"/>
        <v>0.009285525636784182</v>
      </c>
      <c r="BY29" s="49">
        <v>0.009855685864355182</v>
      </c>
      <c r="CA29" s="50"/>
      <c r="CB29" s="50"/>
      <c r="CD29" s="51"/>
      <c r="CF29" s="50"/>
      <c r="CG29" s="50"/>
    </row>
    <row r="30" spans="1:147" ht="12.75">
      <c r="A30" s="39" t="s">
        <v>167</v>
      </c>
      <c r="B30" s="28">
        <v>3</v>
      </c>
      <c r="C30" s="28">
        <v>3</v>
      </c>
      <c r="D30" s="28">
        <v>3</v>
      </c>
      <c r="E30" s="40">
        <v>4361</v>
      </c>
      <c r="F30" s="41">
        <v>4848</v>
      </c>
      <c r="G30" s="45">
        <v>501000</v>
      </c>
      <c r="H30" s="13">
        <f>((0.9042*$E30)/4612)/((1-0.9042)+(0.9042*$E30)/4612)</f>
        <v>0.8992417365401292</v>
      </c>
      <c r="I30" s="46">
        <v>2636</v>
      </c>
      <c r="J30" s="42">
        <v>990</v>
      </c>
      <c r="K30" s="13">
        <f>73.9/75</f>
        <v>0.9853333333333334</v>
      </c>
      <c r="L30" s="43">
        <f t="shared" si="15"/>
        <v>185337.6575077977</v>
      </c>
      <c r="M30" s="44">
        <v>2.81</v>
      </c>
      <c r="N30" s="16">
        <f t="shared" si="31"/>
        <v>520798.81759691157</v>
      </c>
      <c r="O30" s="45">
        <v>77352000</v>
      </c>
      <c r="P30" s="13">
        <f>(7119*E30/4612)/((1-0.7119)+(7119*E30/4612))</f>
        <v>0.9999572034371537</v>
      </c>
      <c r="Q30" s="46">
        <v>911868</v>
      </c>
      <c r="R30" s="42">
        <v>231095</v>
      </c>
      <c r="S30" s="13">
        <f>45.6/48.7</f>
        <v>0.9363449691991786</v>
      </c>
      <c r="T30" s="43">
        <f t="shared" si="23"/>
        <v>20404405.239991855</v>
      </c>
      <c r="U30" s="44">
        <v>9.47</v>
      </c>
      <c r="V30" s="16">
        <f t="shared" si="24"/>
        <v>193229717.62272286</v>
      </c>
      <c r="W30" s="45">
        <v>27340000</v>
      </c>
      <c r="X30" s="47">
        <v>0.1223</v>
      </c>
      <c r="Y30" s="45">
        <f t="shared" si="16"/>
        <v>28861709.6782</v>
      </c>
      <c r="Z30" s="13">
        <f>((0.9042*$E30)/4612)/((1-0.9042)+(0.9042*$E30)/4612)</f>
        <v>0.8992417365401292</v>
      </c>
      <c r="AA30" s="46">
        <v>316734</v>
      </c>
      <c r="AB30" s="42">
        <v>83295</v>
      </c>
      <c r="AC30" s="13">
        <f>73.9/75</f>
        <v>0.9853333333333334</v>
      </c>
      <c r="AD30" s="43">
        <f t="shared" si="2"/>
        <v>7476226.5969687225</v>
      </c>
      <c r="AE30" s="44">
        <v>10.23</v>
      </c>
      <c r="AF30" s="16">
        <f t="shared" si="3"/>
        <v>76481798.08699003</v>
      </c>
      <c r="AG30" s="45">
        <v>2968000</v>
      </c>
      <c r="AH30" s="13">
        <f>(0.8334*E30/4612)/((1-0.8334)+(0.8334*E30/4612))</f>
        <v>0.8254846227299134</v>
      </c>
      <c r="AI30" s="46">
        <v>316734</v>
      </c>
      <c r="AJ30" s="42">
        <v>83295</v>
      </c>
      <c r="AK30" s="13">
        <f>32.4/31.1</f>
        <v>1.0418006430868165</v>
      </c>
      <c r="AL30" s="43">
        <f t="shared" si="25"/>
        <v>746205.2098804173</v>
      </c>
      <c r="AM30" s="44">
        <v>8.62</v>
      </c>
      <c r="AN30" s="16">
        <f t="shared" si="26"/>
        <v>6432288.909169197</v>
      </c>
      <c r="AO30" s="45">
        <v>6386000</v>
      </c>
      <c r="AP30" s="13">
        <f>(0.8383*E30/4612)/((1-0.8383)+(0.8383*E30/4612))</f>
        <v>0.8305700987328047</v>
      </c>
      <c r="AQ30" s="46">
        <v>61262</v>
      </c>
      <c r="AR30" s="42">
        <v>17820</v>
      </c>
      <c r="AS30" s="13">
        <f>33.8/45.1</f>
        <v>0.7494456762749445</v>
      </c>
      <c r="AT30" s="43">
        <f t="shared" si="27"/>
        <v>1285400.362009101</v>
      </c>
      <c r="AU30" s="44">
        <v>18.24</v>
      </c>
      <c r="AV30" s="16">
        <f t="shared" si="6"/>
        <v>23445702.603046</v>
      </c>
      <c r="AW30" s="45">
        <v>79644000</v>
      </c>
      <c r="AX30" s="13">
        <f>(0.1732*E30/4612)/((1-0.1732)+(0.1732*E30/4612))</f>
        <v>0.1653323342658294</v>
      </c>
      <c r="AY30" s="46">
        <v>655468</v>
      </c>
      <c r="AZ30" s="42">
        <v>148445</v>
      </c>
      <c r="BA30" s="13">
        <f>12.1/13.5</f>
        <v>0.8962962962962963</v>
      </c>
      <c r="BB30" s="43">
        <f t="shared" si="28"/>
        <v>2971344.9109252742</v>
      </c>
      <c r="BC30" s="44">
        <v>23.31</v>
      </c>
      <c r="BD30" s="16">
        <f t="shared" si="8"/>
        <v>69262049.87366813</v>
      </c>
      <c r="BE30" s="13">
        <f>1.35*(F30/4612)</f>
        <v>1.4190806591500436</v>
      </c>
      <c r="BF30" s="46">
        <v>19721</v>
      </c>
      <c r="BG30" s="45">
        <f t="shared" si="29"/>
        <v>27985.68967909801</v>
      </c>
      <c r="BH30" s="13">
        <f>2.11/1.35</f>
        <v>1.5629629629629627</v>
      </c>
      <c r="BI30" s="43">
        <f t="shared" si="10"/>
        <v>874811.9292281007</v>
      </c>
      <c r="BJ30" s="16">
        <f t="shared" si="17"/>
        <v>3787935.653557676</v>
      </c>
      <c r="BK30" s="16">
        <f t="shared" si="30"/>
        <v>373160291.56675076</v>
      </c>
      <c r="BL30" s="45">
        <v>79644000</v>
      </c>
      <c r="BM30" s="40">
        <v>1272</v>
      </c>
      <c r="BN30" s="40">
        <v>1026</v>
      </c>
      <c r="BO30" s="13">
        <f>(0.1407*BM30/1186)/((1-0.1407)+(0.1407*BM30/1186))</f>
        <v>0.14937849104774376</v>
      </c>
      <c r="BP30" s="13">
        <f>8.4/11.1</f>
        <v>0.7567567567567568</v>
      </c>
      <c r="BQ30" s="42">
        <v>492800</v>
      </c>
      <c r="BR30" s="46">
        <v>1980859</v>
      </c>
      <c r="BS30" s="43">
        <f t="shared" si="21"/>
        <v>1806653.3248782258</v>
      </c>
      <c r="BT30" s="44">
        <v>23.31</v>
      </c>
      <c r="BU30" s="16">
        <f t="shared" si="12"/>
        <v>42113089.00291144</v>
      </c>
      <c r="BV30" s="17">
        <f t="shared" si="13"/>
        <v>415273380.5696622</v>
      </c>
      <c r="BW30" s="48">
        <f t="shared" si="18"/>
        <v>0.026993386944191535</v>
      </c>
      <c r="BX30" s="18">
        <f t="shared" si="14"/>
        <v>0.026993386944191535</v>
      </c>
      <c r="BY30" s="49">
        <v>0.02865086507144405</v>
      </c>
      <c r="BZ30" s="20"/>
      <c r="CA30" s="50"/>
      <c r="CB30" s="50"/>
      <c r="CC30" s="50"/>
      <c r="CD30" s="51"/>
      <c r="CF30" s="50"/>
      <c r="CG30" s="50"/>
      <c r="CH30" s="20"/>
      <c r="CI30" s="50"/>
      <c r="CL30" s="50"/>
      <c r="CN30" s="21"/>
      <c r="CO30" s="50"/>
      <c r="CR30" s="50"/>
      <c r="CU30" s="51"/>
      <c r="CV30" s="21"/>
      <c r="CW30" s="38"/>
      <c r="CX30" s="54"/>
      <c r="CY30" s="38"/>
      <c r="DE30" s="51"/>
      <c r="DF30" s="21"/>
      <c r="DG30" s="38"/>
      <c r="DM30" s="51"/>
      <c r="DN30" s="21"/>
      <c r="DU30" s="51"/>
      <c r="DV30" s="21"/>
      <c r="EA30" s="51"/>
      <c r="EB30" s="21"/>
      <c r="EE30" s="52"/>
      <c r="EI30" s="21"/>
      <c r="EJ30" s="21"/>
      <c r="EK30" s="20"/>
      <c r="EP30" s="21"/>
      <c r="EQ30" s="21"/>
    </row>
    <row r="31" spans="1:77" ht="12.75">
      <c r="A31" s="39" t="s">
        <v>168</v>
      </c>
      <c r="B31" s="28">
        <v>1</v>
      </c>
      <c r="C31" s="28">
        <v>2</v>
      </c>
      <c r="D31" s="28">
        <v>2</v>
      </c>
      <c r="E31" s="40">
        <v>5877</v>
      </c>
      <c r="F31" s="41">
        <v>6409</v>
      </c>
      <c r="G31" s="45">
        <v>344000</v>
      </c>
      <c r="H31" s="13">
        <f>((0.8386*$E31)/6567)/((1-0.8386)+(0.8386*$E31)/6567)</f>
        <v>0.8230045057366233</v>
      </c>
      <c r="I31" s="46">
        <v>2592</v>
      </c>
      <c r="J31" s="42">
        <v>455</v>
      </c>
      <c r="K31" s="13">
        <f>75.3/84.9</f>
        <v>0.8869257950530034</v>
      </c>
      <c r="L31" s="43">
        <f t="shared" si="15"/>
        <v>48068.317568746985</v>
      </c>
      <c r="M31" s="44">
        <v>4.12</v>
      </c>
      <c r="N31" s="16">
        <f t="shared" si="31"/>
        <v>198041.46838323757</v>
      </c>
      <c r="O31" s="45">
        <v>110840000</v>
      </c>
      <c r="P31" s="13">
        <f>(0.7753*E31/6567)/((1-0.7753)+(0.7753*E31/6567))</f>
        <v>0.7553722843156124</v>
      </c>
      <c r="Q31" s="46">
        <v>1072587</v>
      </c>
      <c r="R31" s="42">
        <v>298065</v>
      </c>
      <c r="S31" s="13">
        <f>66.4/79.3</f>
        <v>0.8373266078184112</v>
      </c>
      <c r="T31" s="43">
        <f t="shared" si="23"/>
        <v>21245428.236372188</v>
      </c>
      <c r="U31" s="44">
        <v>9.51</v>
      </c>
      <c r="V31" s="16">
        <f t="shared" si="24"/>
        <v>202044022.5278995</v>
      </c>
      <c r="W31" s="45">
        <v>104401000</v>
      </c>
      <c r="X31" s="47">
        <v>0.2392</v>
      </c>
      <c r="Y31" s="45">
        <f t="shared" si="16"/>
        <v>115766084.50792</v>
      </c>
      <c r="Z31" s="13">
        <f>((0.8386*$E31)/6567)/((1-0.8386)+(0.8386*$E31)/6567)</f>
        <v>0.8230045057366233</v>
      </c>
      <c r="AA31" s="46">
        <v>963353</v>
      </c>
      <c r="AB31" s="42">
        <v>211520</v>
      </c>
      <c r="AC31" s="13">
        <f>75.3/84.9</f>
        <v>0.8869257950530034</v>
      </c>
      <c r="AD31" s="43">
        <f t="shared" si="2"/>
        <v>20233518.36773758</v>
      </c>
      <c r="AE31" s="44">
        <v>9.64</v>
      </c>
      <c r="AF31" s="16">
        <f t="shared" si="3"/>
        <v>195051117.06499028</v>
      </c>
      <c r="AG31" s="45">
        <v>1013000</v>
      </c>
      <c r="AH31" s="13">
        <f>(0.9809*E31/6567)/((1-0.9809)+(0.9809*E31/6567))</f>
        <v>0.9787052821314938</v>
      </c>
      <c r="AI31" s="46">
        <v>963353</v>
      </c>
      <c r="AJ31" s="42">
        <v>211520</v>
      </c>
      <c r="AK31" s="13">
        <f>58.5/66.5</f>
        <v>0.8796992481203008</v>
      </c>
      <c r="AL31" s="43">
        <f t="shared" si="25"/>
        <v>208831.57450072418</v>
      </c>
      <c r="AM31" s="44">
        <v>10.34</v>
      </c>
      <c r="AN31" s="16">
        <f t="shared" si="26"/>
        <v>2159318.480337488</v>
      </c>
      <c r="AO31" s="45">
        <v>5929000</v>
      </c>
      <c r="AP31" s="13">
        <f>(0.5809*E31/6567)/((1-0.5809)+(0.5809*E31/6567))</f>
        <v>0.5536571838086438</v>
      </c>
      <c r="AQ31" s="46">
        <v>64204</v>
      </c>
      <c r="AR31" s="42">
        <v>22030</v>
      </c>
      <c r="AS31" s="13">
        <f>56.9/75.2</f>
        <v>0.7566489361702127</v>
      </c>
      <c r="AT31" s="43">
        <f t="shared" si="27"/>
        <v>929402.43812302</v>
      </c>
      <c r="AU31" s="44">
        <v>18.33</v>
      </c>
      <c r="AV31" s="16">
        <f t="shared" si="6"/>
        <v>17035946.690794956</v>
      </c>
      <c r="AW31" s="45">
        <v>59342000</v>
      </c>
      <c r="AX31" s="13">
        <f>(0.0966*E31/6567)/((1-0.0966)+(0.0966*E31/6567))</f>
        <v>0.08733661254339385</v>
      </c>
      <c r="AY31" s="46">
        <v>303613</v>
      </c>
      <c r="AZ31" s="42">
        <v>124235</v>
      </c>
      <c r="BA31" s="13">
        <f>14/22.3</f>
        <v>0.6278026905829596</v>
      </c>
      <c r="BB31" s="43">
        <f t="shared" si="28"/>
        <v>1451910.6043645218</v>
      </c>
      <c r="BC31" s="44">
        <v>30.87</v>
      </c>
      <c r="BD31" s="16">
        <f t="shared" si="8"/>
        <v>44820480.35673279</v>
      </c>
      <c r="BE31" s="13">
        <f>1.33*(F31/6567)</f>
        <v>1.298000609106137</v>
      </c>
      <c r="BF31" s="46">
        <v>19513</v>
      </c>
      <c r="BG31" s="45">
        <f t="shared" si="29"/>
        <v>25327.88588548805</v>
      </c>
      <c r="BH31" s="13">
        <f>1.34/1.33</f>
        <v>1.0075187969924813</v>
      </c>
      <c r="BI31" s="43">
        <f t="shared" si="10"/>
        <v>510366.4223541953</v>
      </c>
      <c r="BJ31" s="16">
        <f t="shared" si="17"/>
        <v>2209886.6087936657</v>
      </c>
      <c r="BK31" s="16">
        <f t="shared" si="30"/>
        <v>463518813.1979319</v>
      </c>
      <c r="BL31" s="45">
        <v>59342000</v>
      </c>
      <c r="BM31" s="40">
        <v>580</v>
      </c>
      <c r="BN31" s="40">
        <v>452</v>
      </c>
      <c r="BO31" s="13">
        <f>(0.0703*BM31/641)/((1-0.0703)+(0.0703*BM31/641))</f>
        <v>0.06403840230986803</v>
      </c>
      <c r="BP31" s="13">
        <f>1.6/2.5</f>
        <v>0.64</v>
      </c>
      <c r="BQ31" s="42">
        <v>669015</v>
      </c>
      <c r="BR31" s="46">
        <v>2443580</v>
      </c>
      <c r="BS31" s="43">
        <f t="shared" si="21"/>
        <v>518922.3497478015</v>
      </c>
      <c r="BT31" s="44">
        <v>30.87</v>
      </c>
      <c r="BU31" s="16">
        <f t="shared" si="12"/>
        <v>16019132.936714632</v>
      </c>
      <c r="BV31" s="17">
        <f t="shared" si="13"/>
        <v>479537946.13464653</v>
      </c>
      <c r="BW31" s="48">
        <f t="shared" si="18"/>
        <v>0.031170679220225078</v>
      </c>
      <c r="BX31" s="18">
        <f t="shared" si="14"/>
        <v>0.031170679220225078</v>
      </c>
      <c r="BY31" s="49">
        <v>0.0330846561185648</v>
      </c>
    </row>
    <row r="32" spans="1:77" ht="12.75">
      <c r="A32" s="39" t="s">
        <v>169</v>
      </c>
      <c r="B32" s="28">
        <v>2</v>
      </c>
      <c r="C32" s="28">
        <v>2</v>
      </c>
      <c r="D32" s="28">
        <v>2</v>
      </c>
      <c r="E32" s="40">
        <v>6616</v>
      </c>
      <c r="F32" s="41">
        <v>6950</v>
      </c>
      <c r="G32" s="45">
        <v>1628000</v>
      </c>
      <c r="H32" s="13">
        <f>((1*$E32)/6567)/((1-1)+(1*$E32)/6567)</f>
        <v>1</v>
      </c>
      <c r="I32" s="19">
        <v>659</v>
      </c>
      <c r="J32" s="42">
        <v>325</v>
      </c>
      <c r="K32" s="13">
        <f>78.8/78.8</f>
        <v>1</v>
      </c>
      <c r="L32" s="43">
        <f t="shared" si="15"/>
        <v>843415.6493753131</v>
      </c>
      <c r="M32" s="44">
        <v>3.06</v>
      </c>
      <c r="N32" s="16">
        <f t="shared" si="31"/>
        <v>2580851.887088458</v>
      </c>
      <c r="O32" s="45">
        <v>365571000</v>
      </c>
      <c r="P32" s="13">
        <f>(0.7704*E32/6464)/((1-0.7704)+(0.7704*E32/6464))</f>
        <v>0.7744853870039492</v>
      </c>
      <c r="Q32" s="46">
        <v>2961242</v>
      </c>
      <c r="R32" s="42">
        <v>720640</v>
      </c>
      <c r="S32" s="13">
        <f>82.8/83.8</f>
        <v>0.9880668257756563</v>
      </c>
      <c r="T32" s="43">
        <f t="shared" si="23"/>
        <v>71516302.86008851</v>
      </c>
      <c r="U32" s="44">
        <v>4.93</v>
      </c>
      <c r="V32" s="16">
        <f t="shared" si="24"/>
        <v>352575373.10023636</v>
      </c>
      <c r="W32" s="45">
        <v>15883000</v>
      </c>
      <c r="X32" s="47">
        <v>0</v>
      </c>
      <c r="Y32" s="45">
        <f t="shared" si="16"/>
        <v>15883000</v>
      </c>
      <c r="Z32" s="13">
        <f>((1*$E32)/6567)/((1-1)+(1*$E32)/6567)</f>
        <v>1</v>
      </c>
      <c r="AA32" s="46">
        <v>130933</v>
      </c>
      <c r="AB32" s="42">
        <v>35360</v>
      </c>
      <c r="AC32" s="13">
        <f>78.8/78.8</f>
        <v>1</v>
      </c>
      <c r="AD32" s="43">
        <f t="shared" si="2"/>
        <v>4505935.6118991645</v>
      </c>
      <c r="AE32" s="44">
        <v>9.62</v>
      </c>
      <c r="AF32" s="16">
        <f t="shared" si="3"/>
        <v>43347100.586469956</v>
      </c>
      <c r="AG32" s="45">
        <v>3436000</v>
      </c>
      <c r="AH32" s="13">
        <f>(1*E32/6464)/((1-1)+(1*E32/6464))</f>
        <v>1</v>
      </c>
      <c r="AI32" s="46">
        <v>130933</v>
      </c>
      <c r="AJ32" s="42">
        <v>35360</v>
      </c>
      <c r="AK32" s="13">
        <v>1</v>
      </c>
      <c r="AL32" s="43">
        <f t="shared" si="25"/>
        <v>974777.734841373</v>
      </c>
      <c r="AM32" s="44">
        <v>9.38</v>
      </c>
      <c r="AN32" s="16">
        <f t="shared" si="26"/>
        <v>9143415.15281208</v>
      </c>
      <c r="AO32" s="45">
        <v>34489000</v>
      </c>
      <c r="AP32" s="13">
        <f>(0.853*E32/6464)/((1-0.853)+(0.853*E32/6464))</f>
        <v>0.8558905711793275</v>
      </c>
      <c r="AQ32" s="46">
        <v>357502</v>
      </c>
      <c r="AR32" s="42">
        <v>90315</v>
      </c>
      <c r="AS32" s="13">
        <f>69.2/70</f>
        <v>0.9885714285714287</v>
      </c>
      <c r="AT32" s="43">
        <f t="shared" si="27"/>
        <v>7744218.846312291</v>
      </c>
      <c r="AU32" s="44">
        <v>12.85</v>
      </c>
      <c r="AV32" s="16">
        <f t="shared" si="6"/>
        <v>99513212.17511293</v>
      </c>
      <c r="AW32" s="45">
        <v>104616000</v>
      </c>
      <c r="AX32" s="13">
        <f>(0.0854*E32/6464)/((1-0.0854)+(0.0854*E32/6464))</f>
        <v>0.0872329897905518</v>
      </c>
      <c r="AY32" s="46">
        <v>251208</v>
      </c>
      <c r="AZ32" s="42">
        <v>96680</v>
      </c>
      <c r="BA32" s="13">
        <f>14.7/25.7</f>
        <v>0.5719844357976653</v>
      </c>
      <c r="BB32" s="43">
        <f t="shared" si="28"/>
        <v>2110355.223378393</v>
      </c>
      <c r="BC32" s="44">
        <v>24.98</v>
      </c>
      <c r="BD32" s="16">
        <f t="shared" si="8"/>
        <v>52716673.479992256</v>
      </c>
      <c r="BE32" s="13">
        <f>1.99*(F32/6464)</f>
        <v>2.1396194306930694</v>
      </c>
      <c r="BF32" s="46">
        <v>54608</v>
      </c>
      <c r="BG32" s="45">
        <f t="shared" si="29"/>
        <v>116840.33787128713</v>
      </c>
      <c r="BH32" s="13">
        <f>1.63/1.99</f>
        <v>0.8190954773869347</v>
      </c>
      <c r="BI32" s="43">
        <f t="shared" si="10"/>
        <v>1914067.8465346536</v>
      </c>
      <c r="BJ32" s="16">
        <f t="shared" si="17"/>
        <v>8287913.7754950505</v>
      </c>
      <c r="BK32" s="16">
        <f t="shared" si="30"/>
        <v>568164540.1572071</v>
      </c>
      <c r="BL32" s="45">
        <v>104616000</v>
      </c>
      <c r="BM32" s="40">
        <v>727</v>
      </c>
      <c r="BN32" s="40">
        <v>568</v>
      </c>
      <c r="BO32" s="13">
        <f>(0.1085*BM32/768)/((1-0.1085)+(0.1085*BM32/768))</f>
        <v>0.103306063834594</v>
      </c>
      <c r="BP32" s="13">
        <f>2.8/4</f>
        <v>0.7</v>
      </c>
      <c r="BQ32" s="42">
        <v>973060</v>
      </c>
      <c r="BR32" s="46">
        <v>3785661</v>
      </c>
      <c r="BS32" s="43">
        <f t="shared" si="21"/>
        <v>1519265.8965076401</v>
      </c>
      <c r="BT32" s="44">
        <v>24.98</v>
      </c>
      <c r="BU32" s="16">
        <f t="shared" si="12"/>
        <v>37951262.09476085</v>
      </c>
      <c r="BV32" s="17">
        <f t="shared" si="13"/>
        <v>606115802.251968</v>
      </c>
      <c r="BW32" s="48">
        <f t="shared" si="18"/>
        <v>0.03939842799635425</v>
      </c>
      <c r="BX32" s="18">
        <f t="shared" si="14"/>
        <v>0.03939842799635425</v>
      </c>
      <c r="BY32" s="49">
        <v>0.041817614324735394</v>
      </c>
    </row>
    <row r="33" spans="1:77" ht="12.75">
      <c r="A33" s="39" t="s">
        <v>170</v>
      </c>
      <c r="B33" s="28">
        <v>2</v>
      </c>
      <c r="C33" s="28">
        <v>1</v>
      </c>
      <c r="D33" s="28">
        <v>1</v>
      </c>
      <c r="E33" s="40">
        <v>8306</v>
      </c>
      <c r="F33" s="41">
        <v>8756</v>
      </c>
      <c r="G33" s="45">
        <v>679000</v>
      </c>
      <c r="H33" s="13">
        <f>((0.9844*$E33)/7780)/((1-0.9844)+(0.9844*$E33)/7780)</f>
        <v>0.9853734626155596</v>
      </c>
      <c r="I33" s="19">
        <v>433</v>
      </c>
      <c r="J33" s="42">
        <v>205</v>
      </c>
      <c r="K33" s="13">
        <f>78.8/78.8</f>
        <v>1</v>
      </c>
      <c r="L33" s="43">
        <f t="shared" si="15"/>
        <v>333926.147527827</v>
      </c>
      <c r="M33" s="44">
        <v>3.53</v>
      </c>
      <c r="N33" s="16">
        <f t="shared" si="31"/>
        <v>1178759.3007732292</v>
      </c>
      <c r="O33" s="45">
        <v>121217000</v>
      </c>
      <c r="P33" s="13">
        <f>(0.8086*E33/7780)/((1-0.8086)+(0.8086*E33/7780))</f>
        <v>0.8185212341899593</v>
      </c>
      <c r="Q33" s="46">
        <v>1281261</v>
      </c>
      <c r="R33" s="42">
        <v>253940</v>
      </c>
      <c r="S33" s="13">
        <f>82.8/83.8</f>
        <v>0.9880668257756563</v>
      </c>
      <c r="T33" s="43">
        <f t="shared" si="23"/>
        <v>20482696.712321993</v>
      </c>
      <c r="U33" s="44">
        <v>7.02</v>
      </c>
      <c r="V33" s="16">
        <f t="shared" si="24"/>
        <v>143788530.92050037</v>
      </c>
      <c r="W33" s="45">
        <v>11149000</v>
      </c>
      <c r="X33" s="47">
        <v>0</v>
      </c>
      <c r="Y33" s="45">
        <f t="shared" si="16"/>
        <v>11149000</v>
      </c>
      <c r="Z33" s="13">
        <f>((0.9844*$E33)/7780)/((1-0.9844)+(0.9844*$E33)/7780)</f>
        <v>0.9853734626155596</v>
      </c>
      <c r="AA33" s="46">
        <v>121401</v>
      </c>
      <c r="AB33" s="42">
        <v>39220</v>
      </c>
      <c r="AC33" s="13">
        <f>78.8/78.8</f>
        <v>1</v>
      </c>
      <c r="AD33" s="43">
        <f t="shared" si="2"/>
        <v>3741415.3938108706</v>
      </c>
      <c r="AE33" s="44">
        <v>8.88</v>
      </c>
      <c r="AF33" s="16">
        <f t="shared" si="3"/>
        <v>33223768.697040536</v>
      </c>
      <c r="AG33" s="45">
        <v>181000</v>
      </c>
      <c r="AH33" s="13">
        <f>(1*E33/7780)/((1-1)+(1*E33/7780))</f>
        <v>1</v>
      </c>
      <c r="AI33" s="46">
        <v>121401</v>
      </c>
      <c r="AJ33" s="42">
        <v>39220</v>
      </c>
      <c r="AK33" s="13">
        <v>1</v>
      </c>
      <c r="AL33" s="43">
        <f t="shared" si="25"/>
        <v>61642.14265660866</v>
      </c>
      <c r="AM33" s="44">
        <v>9.31</v>
      </c>
      <c r="AN33" s="16">
        <f t="shared" si="26"/>
        <v>573888.3481330266</v>
      </c>
      <c r="AO33" s="45">
        <v>19135000</v>
      </c>
      <c r="AP33" s="13">
        <f>(0.8215*E33/7780)/((1-0.8215)+(0.8215*E33/7780))</f>
        <v>0.8308924053492226</v>
      </c>
      <c r="AQ33" s="46">
        <v>197163</v>
      </c>
      <c r="AR33" s="42">
        <v>54100</v>
      </c>
      <c r="AS33" s="13">
        <f>69.2/70</f>
        <v>0.9885714285714287</v>
      </c>
      <c r="AT33" s="43">
        <f t="shared" si="27"/>
        <v>4546393.100127486</v>
      </c>
      <c r="AU33" s="44">
        <v>11.74</v>
      </c>
      <c r="AV33" s="16">
        <f t="shared" si="6"/>
        <v>53374654.99549668</v>
      </c>
      <c r="AW33" s="45">
        <v>61408000</v>
      </c>
      <c r="AX33" s="13">
        <f>(0.0413*E33/7780)/((1-0.0413)+(0.0413*E33/7780))</f>
        <v>0.04396948787138555</v>
      </c>
      <c r="AY33" s="46">
        <v>229094</v>
      </c>
      <c r="AZ33" s="42">
        <v>83030</v>
      </c>
      <c r="BA33" s="13">
        <f>14.7/25.7</f>
        <v>0.5719844357976653</v>
      </c>
      <c r="BB33" s="43">
        <f t="shared" si="28"/>
        <v>590059.3828021002</v>
      </c>
      <c r="BC33" s="44">
        <v>22.03</v>
      </c>
      <c r="BD33" s="16">
        <f t="shared" si="8"/>
        <v>12999008.203130268</v>
      </c>
      <c r="BE33" s="13">
        <f>2.45*(F33/7780)</f>
        <v>2.7573521850899745</v>
      </c>
      <c r="BF33" s="46">
        <v>36961</v>
      </c>
      <c r="BG33" s="45">
        <f t="shared" si="29"/>
        <v>101914.49411311054</v>
      </c>
      <c r="BH33" s="13">
        <f>3.79/2.45</f>
        <v>1.546938775510204</v>
      </c>
      <c r="BI33" s="43">
        <f t="shared" si="10"/>
        <v>3153109.6546015423</v>
      </c>
      <c r="BJ33" s="16">
        <f t="shared" si="17"/>
        <v>13652964.804424679</v>
      </c>
      <c r="BK33" s="16">
        <f t="shared" si="30"/>
        <v>258791575.2694988</v>
      </c>
      <c r="BL33" s="45">
        <v>61408000</v>
      </c>
      <c r="BM33" s="40">
        <v>607</v>
      </c>
      <c r="BN33" s="40">
        <v>483</v>
      </c>
      <c r="BO33" s="13">
        <f>(0.0917*BM33/657)/((1-0.0917)+(0.0917*BM33/657))</f>
        <v>0.08531670792363757</v>
      </c>
      <c r="BP33" s="13">
        <f>2.8/4</f>
        <v>0.7</v>
      </c>
      <c r="BQ33" s="42">
        <v>454100</v>
      </c>
      <c r="BR33" s="46">
        <v>1895127</v>
      </c>
      <c r="BS33" s="43">
        <f t="shared" si="21"/>
        <v>699243.9295370262</v>
      </c>
      <c r="BT33" s="44">
        <v>22.03</v>
      </c>
      <c r="BU33" s="16">
        <f t="shared" si="12"/>
        <v>15404343.767700689</v>
      </c>
      <c r="BV33" s="17">
        <f t="shared" si="13"/>
        <v>274195919.0371995</v>
      </c>
      <c r="BW33" s="48">
        <f t="shared" si="18"/>
        <v>0.01782314226579168</v>
      </c>
      <c r="BX33" s="18">
        <f t="shared" si="14"/>
        <v>0.01782314226579168</v>
      </c>
      <c r="BY33" s="49">
        <v>0.018917538775778966</v>
      </c>
    </row>
    <row r="34" spans="1:77" ht="12.75">
      <c r="A34" s="39" t="s">
        <v>171</v>
      </c>
      <c r="B34" s="28">
        <v>3</v>
      </c>
      <c r="C34" s="28">
        <v>7</v>
      </c>
      <c r="D34" s="28">
        <v>7</v>
      </c>
      <c r="E34" s="40">
        <v>2520</v>
      </c>
      <c r="F34" s="41">
        <v>2563</v>
      </c>
      <c r="G34" s="45">
        <v>350</v>
      </c>
      <c r="H34" s="13">
        <f>((1*$E34)/2540)/((1-1)+(1*$E34)/2540)</f>
        <v>1</v>
      </c>
      <c r="I34" s="19">
        <v>66</v>
      </c>
      <c r="J34" s="42">
        <v>40</v>
      </c>
      <c r="K34" s="13">
        <f>73.9/75</f>
        <v>0.9853333333333334</v>
      </c>
      <c r="L34" s="43">
        <f t="shared" si="15"/>
        <v>212.57654320987658</v>
      </c>
      <c r="M34" s="44" t="s">
        <v>148</v>
      </c>
      <c r="N34" s="16">
        <f t="shared" si="31"/>
        <v>0</v>
      </c>
      <c r="O34" s="45">
        <v>25543000</v>
      </c>
      <c r="P34" s="13">
        <f>(0.6175*E34/2540)/((1-0.6175)+(0.6175*E34/2540))</f>
        <v>0.6156311198148479</v>
      </c>
      <c r="Q34" s="46">
        <v>389021</v>
      </c>
      <c r="R34" s="42">
        <v>119795</v>
      </c>
      <c r="S34" s="13">
        <f>45.6/48.7</f>
        <v>0.9363449691991786</v>
      </c>
      <c r="T34" s="43">
        <f t="shared" si="23"/>
        <v>4611498.389034297</v>
      </c>
      <c r="U34" s="44">
        <v>7.17</v>
      </c>
      <c r="V34" s="16">
        <f t="shared" si="24"/>
        <v>33064443.449375913</v>
      </c>
      <c r="W34" s="45">
        <v>11000</v>
      </c>
      <c r="X34" s="47">
        <v>0.1223</v>
      </c>
      <c r="Y34" s="45">
        <f t="shared" si="16"/>
        <v>11612.24603</v>
      </c>
      <c r="Z34" s="13">
        <f>((1*$E34)/2540)/((1-1)+(1*$E34)/2540)</f>
        <v>1</v>
      </c>
      <c r="AA34" s="46">
        <v>2027</v>
      </c>
      <c r="AB34" s="42">
        <v>875</v>
      </c>
      <c r="AC34" s="13">
        <f>73.9/75</f>
        <v>0.9853333333333334</v>
      </c>
      <c r="AD34" s="43">
        <f t="shared" si="2"/>
        <v>5023.44640840407</v>
      </c>
      <c r="AE34" s="44">
        <v>8.59</v>
      </c>
      <c r="AF34" s="16">
        <f t="shared" si="3"/>
        <v>43151.40464819096</v>
      </c>
      <c r="AG34" s="45">
        <v>118000</v>
      </c>
      <c r="AH34" s="13">
        <f>(1*E34/2540)/((1-1)+(1*E34/2540))</f>
        <v>1</v>
      </c>
      <c r="AI34" s="46">
        <v>2027</v>
      </c>
      <c r="AJ34" s="42">
        <v>875</v>
      </c>
      <c r="AK34" s="13">
        <f>32.4/31.1</f>
        <v>1.0418006430868165</v>
      </c>
      <c r="AL34" s="43">
        <f t="shared" si="25"/>
        <v>53972.06046348569</v>
      </c>
      <c r="AM34" s="44">
        <v>8.01</v>
      </c>
      <c r="AN34" s="16">
        <f t="shared" si="26"/>
        <v>432316.2043125204</v>
      </c>
      <c r="AO34" s="45">
        <v>34489000</v>
      </c>
      <c r="AP34" s="13">
        <f>(0.7276*E34/2540)/((1-0.7276)+(0.7276*E34/2540))</f>
        <v>0.7260303914394595</v>
      </c>
      <c r="AQ34" s="46">
        <v>216498</v>
      </c>
      <c r="AR34" s="42">
        <v>79730</v>
      </c>
      <c r="AS34" s="13">
        <f>33.8/45.1</f>
        <v>0.7494456762749445</v>
      </c>
      <c r="AT34" s="43">
        <f t="shared" si="27"/>
        <v>7028966.961707472</v>
      </c>
      <c r="AU34" s="44">
        <v>15.87</v>
      </c>
      <c r="AV34" s="16">
        <f t="shared" si="6"/>
        <v>111549705.68229757</v>
      </c>
      <c r="AW34" s="45">
        <v>55689000</v>
      </c>
      <c r="AX34" s="13">
        <f>(0.1013*E34/2540)/((1-0.1013)+(0.1013*E34/2540))</f>
        <v>0.100582590680598</v>
      </c>
      <c r="AY34" s="46">
        <v>416322</v>
      </c>
      <c r="AZ34" s="42">
        <v>121630</v>
      </c>
      <c r="BA34" s="13">
        <f>12.1/13.5</f>
        <v>0.8962962962962963</v>
      </c>
      <c r="BB34" s="43">
        <f t="shared" si="28"/>
        <v>1491774.741857254</v>
      </c>
      <c r="BC34" s="44">
        <v>20.31</v>
      </c>
      <c r="BD34" s="16">
        <f t="shared" si="8"/>
        <v>30297945.007120825</v>
      </c>
      <c r="BE34" s="13">
        <f>0.79*(F34/2540)</f>
        <v>0.7971535433070867</v>
      </c>
      <c r="BF34" s="46">
        <v>17736</v>
      </c>
      <c r="BG34" s="45">
        <f t="shared" si="29"/>
        <v>14138.315244094489</v>
      </c>
      <c r="BH34" s="13">
        <f>0.73/0.79</f>
        <v>0.9240506329113923</v>
      </c>
      <c r="BI34" s="43">
        <f t="shared" si="10"/>
        <v>261290.38299212596</v>
      </c>
      <c r="BJ34" s="16">
        <f t="shared" si="17"/>
        <v>1131387.3583559054</v>
      </c>
      <c r="BK34" s="16">
        <f t="shared" si="30"/>
        <v>176518949.10611093</v>
      </c>
      <c r="BL34" s="45">
        <v>55689000</v>
      </c>
      <c r="BM34" s="40">
        <v>2229</v>
      </c>
      <c r="BN34" s="40">
        <v>2079</v>
      </c>
      <c r="BO34" s="13">
        <f>(0.2475*BM34/2347)/((1-0.2475)+(0.2475*BM34/2347))</f>
        <v>0.2380182457896406</v>
      </c>
      <c r="BP34" s="13">
        <f>8.4/11.1</f>
        <v>0.7567567567567568</v>
      </c>
      <c r="BQ34" s="42">
        <v>330980</v>
      </c>
      <c r="BR34" s="46">
        <v>1046434</v>
      </c>
      <c r="BS34" s="43">
        <f t="shared" si="21"/>
        <v>2959172.66941595</v>
      </c>
      <c r="BT34" s="44">
        <v>20.31</v>
      </c>
      <c r="BU34" s="16">
        <f t="shared" si="12"/>
        <v>60100796.915837936</v>
      </c>
      <c r="BV34" s="17">
        <f t="shared" si="13"/>
        <v>236619746.02194887</v>
      </c>
      <c r="BW34" s="48">
        <f t="shared" si="18"/>
        <v>0.015380635171570652</v>
      </c>
      <c r="BX34" s="18">
        <f t="shared" si="14"/>
        <v>0.015380635171570652</v>
      </c>
      <c r="BY34" s="49">
        <v>0.01632505412991907</v>
      </c>
    </row>
    <row r="35" spans="1:77" ht="12.75">
      <c r="A35" s="39" t="s">
        <v>172</v>
      </c>
      <c r="B35" s="28">
        <v>2</v>
      </c>
      <c r="C35" s="28">
        <v>3</v>
      </c>
      <c r="D35" s="28">
        <v>3</v>
      </c>
      <c r="E35" s="40">
        <v>5034</v>
      </c>
      <c r="F35" s="41">
        <v>5219</v>
      </c>
      <c r="G35" s="45">
        <v>2124000</v>
      </c>
      <c r="H35" s="13">
        <f>((1*$E35)/5547)/((1-1)+(1*$E35)/5547)</f>
        <v>1</v>
      </c>
      <c r="I35" s="19">
        <v>170</v>
      </c>
      <c r="J35" s="42">
        <v>55</v>
      </c>
      <c r="K35" s="13">
        <f>78.8/78.8</f>
        <v>1</v>
      </c>
      <c r="L35" s="43">
        <f t="shared" si="15"/>
        <v>712430.2741358761</v>
      </c>
      <c r="M35" s="44">
        <v>1.02</v>
      </c>
      <c r="N35" s="16">
        <f t="shared" si="31"/>
        <v>726678.8796185936</v>
      </c>
      <c r="O35" s="45">
        <v>113587000</v>
      </c>
      <c r="P35" s="13">
        <f>(0.7881*E35/5547)/((1-0.881)+(0.7881*E35/5547))</f>
        <v>0.8573508547499492</v>
      </c>
      <c r="Q35" s="46">
        <v>1261397</v>
      </c>
      <c r="R35" s="42">
        <v>306070</v>
      </c>
      <c r="S35" s="13">
        <f>82.8/83.8</f>
        <v>0.9880668257756563</v>
      </c>
      <c r="T35" s="43">
        <f t="shared" si="23"/>
        <v>24205641.010924056</v>
      </c>
      <c r="U35" s="44">
        <v>7.73</v>
      </c>
      <c r="V35" s="16">
        <f t="shared" si="24"/>
        <v>187109605.01444295</v>
      </c>
      <c r="W35" s="45">
        <v>1626000</v>
      </c>
      <c r="X35" s="47">
        <v>0</v>
      </c>
      <c r="Y35" s="45">
        <f t="shared" si="16"/>
        <v>1626000</v>
      </c>
      <c r="Z35" s="13">
        <f>((1*$E35)/5547)/((1-1)+(1*$E35)/5547)</f>
        <v>1</v>
      </c>
      <c r="AA35" s="46">
        <v>13893</v>
      </c>
      <c r="AB35" s="42">
        <v>4220</v>
      </c>
      <c r="AC35" s="13">
        <f>78.8/78.8</f>
        <v>1</v>
      </c>
      <c r="AD35" s="43">
        <f t="shared" si="2"/>
        <v>512048.43385428237</v>
      </c>
      <c r="AE35" s="44">
        <v>9.34</v>
      </c>
      <c r="AF35" s="16">
        <f t="shared" si="3"/>
        <v>4782532.372198997</v>
      </c>
      <c r="AG35" s="45">
        <v>310000</v>
      </c>
      <c r="AH35" s="13">
        <f>(1*E35/5547)/((1-1)+(1*E35/5547))</f>
        <v>1</v>
      </c>
      <c r="AI35" s="46">
        <v>13893</v>
      </c>
      <c r="AJ35" s="42">
        <v>4220</v>
      </c>
      <c r="AK35" s="13">
        <v>1</v>
      </c>
      <c r="AL35" s="43">
        <f t="shared" si="25"/>
        <v>97623.01014442039</v>
      </c>
      <c r="AM35" s="44">
        <v>9.11</v>
      </c>
      <c r="AN35" s="16">
        <f t="shared" si="26"/>
        <v>889345.6224156697</v>
      </c>
      <c r="AO35" s="45">
        <v>25133000</v>
      </c>
      <c r="AP35" s="13">
        <f>(0.8098*E35/5547)/((1-0.8098)+(0.8098*E35/5547))</f>
        <v>0.7944023241530286</v>
      </c>
      <c r="AQ35" s="46">
        <v>293603</v>
      </c>
      <c r="AR35" s="42">
        <v>96585</v>
      </c>
      <c r="AS35" s="13">
        <f>69.2/70</f>
        <v>0.9885714285714287</v>
      </c>
      <c r="AT35" s="43">
        <f t="shared" si="27"/>
        <v>6731566.9999331925</v>
      </c>
      <c r="AU35" s="44">
        <v>11.44</v>
      </c>
      <c r="AV35" s="16">
        <f t="shared" si="6"/>
        <v>77009126.47923572</v>
      </c>
      <c r="AW35" s="45">
        <v>94737000</v>
      </c>
      <c r="AX35" s="13">
        <f>(0.087*E35/5547)/((1-0.087)+(0.087*E35/5547))</f>
        <v>0.0795944437750358</v>
      </c>
      <c r="AY35" s="46">
        <v>538606</v>
      </c>
      <c r="AZ35" s="42">
        <v>165175</v>
      </c>
      <c r="BA35" s="13">
        <f>14.7/25.7</f>
        <v>0.5719844357976653</v>
      </c>
      <c r="BB35" s="43">
        <f t="shared" si="28"/>
        <v>1371304.1981176834</v>
      </c>
      <c r="BC35" s="44">
        <v>20.65</v>
      </c>
      <c r="BD35" s="16">
        <f t="shared" si="8"/>
        <v>28317431.69113016</v>
      </c>
      <c r="BE35" s="13">
        <f>1.66*(F35/5547)</f>
        <v>1.5618424373535245</v>
      </c>
      <c r="BF35" s="46">
        <v>77666</v>
      </c>
      <c r="BG35" s="45">
        <f t="shared" si="29"/>
        <v>121302.05473949882</v>
      </c>
      <c r="BH35" s="13">
        <f>2.37/1.66</f>
        <v>1.4277108433734942</v>
      </c>
      <c r="BI35" s="43">
        <f t="shared" si="10"/>
        <v>3463685.1775013525</v>
      </c>
      <c r="BJ35" s="16">
        <f t="shared" si="17"/>
        <v>14997756.818580857</v>
      </c>
      <c r="BK35" s="16">
        <f t="shared" si="30"/>
        <v>313832476.87762296</v>
      </c>
      <c r="BL35" s="45">
        <v>94737000</v>
      </c>
      <c r="BM35" s="40">
        <v>1385</v>
      </c>
      <c r="BN35" s="40">
        <v>1250</v>
      </c>
      <c r="BO35" s="13">
        <f>(0.1473*BM35/1112)/((1-0.1473)+(0.1473*BM35/1112))</f>
        <v>0.17705972568090497</v>
      </c>
      <c r="BP35" s="13">
        <f>2.8/4</f>
        <v>0.7</v>
      </c>
      <c r="BQ35" s="42">
        <v>603425</v>
      </c>
      <c r="BR35" s="46">
        <v>2194594</v>
      </c>
      <c r="BS35" s="43">
        <f t="shared" si="21"/>
        <v>2913847.416548256</v>
      </c>
      <c r="BT35" s="44">
        <v>20.65</v>
      </c>
      <c r="BU35" s="16">
        <f t="shared" si="12"/>
        <v>60170949.15172148</v>
      </c>
      <c r="BV35" s="17">
        <f t="shared" si="13"/>
        <v>374003426.02934444</v>
      </c>
      <c r="BW35" s="48">
        <f t="shared" si="18"/>
        <v>0.024310778560895183</v>
      </c>
      <c r="BX35" s="18">
        <f t="shared" si="14"/>
        <v>0.024310778560895183</v>
      </c>
      <c r="BY35" s="49">
        <v>0.025803536168692666</v>
      </c>
    </row>
    <row r="36" spans="1:77" ht="12.75">
      <c r="A36" s="53" t="s">
        <v>173</v>
      </c>
      <c r="B36" s="28">
        <v>4</v>
      </c>
      <c r="C36" s="28">
        <v>1</v>
      </c>
      <c r="D36" s="28">
        <v>1</v>
      </c>
      <c r="E36" s="40">
        <v>8305</v>
      </c>
      <c r="F36" s="41">
        <v>8311</v>
      </c>
      <c r="G36" s="45">
        <v>519000</v>
      </c>
      <c r="H36" s="13">
        <f>((1*$E36)/7065)/((1-1)+(1*$E36)/7065)</f>
        <v>1</v>
      </c>
      <c r="I36" s="46">
        <v>1210</v>
      </c>
      <c r="J36" s="42">
        <v>370</v>
      </c>
      <c r="K36" s="13">
        <v>1</v>
      </c>
      <c r="L36" s="43">
        <f t="shared" si="15"/>
        <v>158817.13495305527</v>
      </c>
      <c r="M36" s="44">
        <v>3.72</v>
      </c>
      <c r="N36" s="16">
        <f t="shared" si="31"/>
        <v>590799.7420253656</v>
      </c>
      <c r="O36" s="45">
        <v>20142000</v>
      </c>
      <c r="P36" s="13">
        <f>(0.8238*E36/7065)/((1-0.8238)+(0.8238*E36/7065))</f>
        <v>0.8460581026776439</v>
      </c>
      <c r="Q36" s="46">
        <v>211921</v>
      </c>
      <c r="R36" s="42">
        <v>47915</v>
      </c>
      <c r="S36" s="13">
        <f>32.4/34.4</f>
        <v>0.9418604651162791</v>
      </c>
      <c r="T36" s="43">
        <f t="shared" si="23"/>
        <v>3631620.773792183</v>
      </c>
      <c r="U36" s="44">
        <v>5.9</v>
      </c>
      <c r="V36" s="16">
        <f t="shared" si="24"/>
        <v>21426562.565373883</v>
      </c>
      <c r="W36" s="45">
        <v>1491000</v>
      </c>
      <c r="X36" s="47">
        <v>0</v>
      </c>
      <c r="Y36" s="45">
        <f t="shared" si="16"/>
        <v>1491000</v>
      </c>
      <c r="Z36" s="13">
        <f>((1*$E36)/7065)/((1-1)+(1*$E36)/7065)</f>
        <v>1</v>
      </c>
      <c r="AA36" s="46">
        <v>11164</v>
      </c>
      <c r="AB36" s="42">
        <v>3200</v>
      </c>
      <c r="AC36" s="13">
        <v>1</v>
      </c>
      <c r="AD36" s="43">
        <f t="shared" si="2"/>
        <v>427682.46002729604</v>
      </c>
      <c r="AE36" s="44">
        <v>8.39</v>
      </c>
      <c r="AF36" s="16">
        <f t="shared" si="3"/>
        <v>3588255.839629014</v>
      </c>
      <c r="AG36" s="45">
        <v>8000</v>
      </c>
      <c r="AH36" s="13">
        <f>(0.9738*E36/7065)/((1-0.9738)+(0.9738*E36/7065))</f>
        <v>0.9776243298287146</v>
      </c>
      <c r="AI36" s="46">
        <v>11164</v>
      </c>
      <c r="AJ36" s="42">
        <v>3200</v>
      </c>
      <c r="AK36" s="13">
        <f>39/40.8</f>
        <v>0.9558823529411765</v>
      </c>
      <c r="AL36" s="43">
        <f t="shared" si="25"/>
        <v>2144.4218719090454</v>
      </c>
      <c r="AM36" s="44">
        <v>7.48</v>
      </c>
      <c r="AN36" s="16">
        <f t="shared" si="26"/>
        <v>16040.27560187966</v>
      </c>
      <c r="AO36" s="45">
        <v>1878000</v>
      </c>
      <c r="AP36" s="13">
        <f>(0.8611*E36/7065)/((1-0.8611)+(0.8611*E36/7065))</f>
        <v>0.8793364101060844</v>
      </c>
      <c r="AQ36" s="46">
        <v>45393</v>
      </c>
      <c r="AR36" s="42">
        <v>12055</v>
      </c>
      <c r="AS36" s="13">
        <f>49.5/47.5</f>
        <v>1.0421052631578946</v>
      </c>
      <c r="AT36" s="43">
        <f t="shared" si="27"/>
        <v>457355.81744000455</v>
      </c>
      <c r="AU36" s="44">
        <v>11.67</v>
      </c>
      <c r="AV36" s="16">
        <f t="shared" si="6"/>
        <v>5337342.389524853</v>
      </c>
      <c r="AW36" s="45">
        <v>12503000</v>
      </c>
      <c r="AX36" s="13">
        <f>(0.2308*E36/7065)/((1-0.2308)+(0.2308*E36/7065))</f>
        <v>0.2607460123473853</v>
      </c>
      <c r="AY36" s="46">
        <v>57589</v>
      </c>
      <c r="AZ36" s="42">
        <v>20255</v>
      </c>
      <c r="BA36" s="13">
        <f>8.2/10.9</f>
        <v>0.7522935779816513</v>
      </c>
      <c r="BB36" s="43">
        <f t="shared" si="28"/>
        <v>863228.1945363831</v>
      </c>
      <c r="BC36" s="44">
        <v>19.02</v>
      </c>
      <c r="BD36" s="16">
        <f t="shared" si="8"/>
        <v>16418600.260082006</v>
      </c>
      <c r="BE36" s="13">
        <f>2.78*(F36/7065)</f>
        <v>3.2702873319179053</v>
      </c>
      <c r="BF36" s="46">
        <v>27034</v>
      </c>
      <c r="BG36" s="45">
        <f t="shared" si="29"/>
        <v>88408.94773106865</v>
      </c>
      <c r="BH36" s="13">
        <f>4.42/2.78</f>
        <v>1.589928057553957</v>
      </c>
      <c r="BI36" s="43">
        <f t="shared" si="10"/>
        <v>2811277.330728946</v>
      </c>
      <c r="BJ36" s="16">
        <f t="shared" si="17"/>
        <v>12172830.842056336</v>
      </c>
      <c r="BK36" s="16">
        <f t="shared" si="30"/>
        <v>59550431.914293334</v>
      </c>
      <c r="BL36" s="45">
        <v>12503000</v>
      </c>
      <c r="BM36" s="40">
        <v>280</v>
      </c>
      <c r="BN36" s="40">
        <v>247</v>
      </c>
      <c r="BO36" s="49">
        <f>(0.0379*BM36/522)/((1-0.0379)+(0.0379*BM36/522))</f>
        <v>0.020693089810583744</v>
      </c>
      <c r="BP36" s="13">
        <f>2.8/3.8</f>
        <v>0.7368421052631579</v>
      </c>
      <c r="BQ36" s="42">
        <v>92570</v>
      </c>
      <c r="BR36" s="46">
        <v>358667</v>
      </c>
      <c r="BS36" s="43">
        <f t="shared" si="21"/>
        <v>43404.201797985195</v>
      </c>
      <c r="BT36" s="44">
        <v>19.02</v>
      </c>
      <c r="BU36" s="16">
        <f t="shared" si="12"/>
        <v>825547.9181976784</v>
      </c>
      <c r="BV36" s="17">
        <f t="shared" si="13"/>
        <v>60375979.83249101</v>
      </c>
      <c r="BW36" s="48">
        <f t="shared" si="18"/>
        <v>0.003924528423944435</v>
      </c>
      <c r="BX36" s="18">
        <f t="shared" si="14"/>
        <v>0.003924528423944435</v>
      </c>
      <c r="BY36" s="49">
        <v>0.0041655067063629155</v>
      </c>
    </row>
    <row r="37" spans="1:77" ht="12.75">
      <c r="A37" s="39" t="s">
        <v>174</v>
      </c>
      <c r="B37" s="28">
        <v>2</v>
      </c>
      <c r="C37" s="28">
        <v>2</v>
      </c>
      <c r="D37" s="28">
        <v>2</v>
      </c>
      <c r="E37" s="40">
        <v>6347</v>
      </c>
      <c r="F37" s="41">
        <v>6525</v>
      </c>
      <c r="G37" s="45">
        <v>718000</v>
      </c>
      <c r="H37" s="13">
        <f>((1*$E37)/6567)/((1-1)+(1*$E37)/6567)</f>
        <v>1</v>
      </c>
      <c r="I37" s="19">
        <v>81</v>
      </c>
      <c r="J37" s="42">
        <v>30</v>
      </c>
      <c r="K37" s="13">
        <f>78.8/78.8</f>
        <v>1</v>
      </c>
      <c r="L37" s="43">
        <f t="shared" si="15"/>
        <v>273383.7508534215</v>
      </c>
      <c r="M37" s="44" t="s">
        <v>148</v>
      </c>
      <c r="N37" s="16">
        <f t="shared" si="31"/>
        <v>0</v>
      </c>
      <c r="O37" s="45">
        <v>40554000</v>
      </c>
      <c r="P37" s="13">
        <f>(0.7704*E37/6464)/((1-0.7704)+(0.7704*E37/6464))</f>
        <v>0.7671530822939532</v>
      </c>
      <c r="Q37" s="46">
        <v>454905</v>
      </c>
      <c r="R37" s="42">
        <v>106725</v>
      </c>
      <c r="S37" s="13">
        <f>82.8/83.8</f>
        <v>0.9880668257756563</v>
      </c>
      <c r="T37" s="43">
        <f t="shared" si="23"/>
        <v>7414118.449668472</v>
      </c>
      <c r="U37" s="44">
        <v>6.42</v>
      </c>
      <c r="V37" s="16">
        <f t="shared" si="24"/>
        <v>47598640.446871586</v>
      </c>
      <c r="W37" s="45">
        <v>407000</v>
      </c>
      <c r="X37" s="47">
        <v>0</v>
      </c>
      <c r="Y37" s="45">
        <f t="shared" si="16"/>
        <v>407000</v>
      </c>
      <c r="Z37" s="13">
        <f>((1*$E37)/6567)/((1-1)+(1*$E37)/6567)</f>
        <v>1</v>
      </c>
      <c r="AA37" s="46">
        <v>8227</v>
      </c>
      <c r="AB37" s="42">
        <v>2610</v>
      </c>
      <c r="AC37" s="13">
        <f>78.8/78.8</f>
        <v>1</v>
      </c>
      <c r="AD37" s="43">
        <f t="shared" si="2"/>
        <v>132741.10755493125</v>
      </c>
      <c r="AE37" s="44">
        <v>7.96</v>
      </c>
      <c r="AF37" s="16">
        <f t="shared" si="3"/>
        <v>1056619.2161372527</v>
      </c>
      <c r="AG37" s="45">
        <v>36000</v>
      </c>
      <c r="AH37" s="13">
        <f>(1*E37/6464)/((1-1)+(1*E37/6464))</f>
        <v>1</v>
      </c>
      <c r="AI37" s="46">
        <v>8227</v>
      </c>
      <c r="AJ37" s="42">
        <v>2610</v>
      </c>
      <c r="AK37" s="13">
        <v>1</v>
      </c>
      <c r="AL37" s="43">
        <f t="shared" si="25"/>
        <v>11741.228186676964</v>
      </c>
      <c r="AM37" s="44">
        <v>9.18</v>
      </c>
      <c r="AN37" s="16">
        <f t="shared" si="26"/>
        <v>107784.47475369454</v>
      </c>
      <c r="AO37" s="45">
        <v>5048000</v>
      </c>
      <c r="AP37" s="13">
        <f>(0.853*E37/6464)/((1-0.853)+(0.853*E37/6464))</f>
        <v>0.8506948007125484</v>
      </c>
      <c r="AQ37" s="46">
        <v>68768</v>
      </c>
      <c r="AR37" s="42">
        <v>20545</v>
      </c>
      <c r="AS37" s="13">
        <f>69.2/70</f>
        <v>0.9885714285714287</v>
      </c>
      <c r="AT37" s="43">
        <f t="shared" si="27"/>
        <v>1303865.9638703174</v>
      </c>
      <c r="AU37" s="44">
        <v>10.04</v>
      </c>
      <c r="AV37" s="16">
        <f t="shared" si="6"/>
        <v>13090814.277257986</v>
      </c>
      <c r="AW37" s="45">
        <v>27055000</v>
      </c>
      <c r="AX37" s="13">
        <f>(0.0854*E37/6464)/((1-0.0854)+(0.0854*E37/6464))</f>
        <v>0.08398405815474484</v>
      </c>
      <c r="AY37" s="46">
        <v>122259</v>
      </c>
      <c r="AZ37" s="42">
        <v>36305</v>
      </c>
      <c r="BA37" s="13">
        <f>14.7/25.7</f>
        <v>0.5719844357976653</v>
      </c>
      <c r="BB37" s="43">
        <f t="shared" si="28"/>
        <v>396758.48695860733</v>
      </c>
      <c r="BC37" s="44">
        <v>19.13</v>
      </c>
      <c r="BD37" s="16">
        <f t="shared" si="8"/>
        <v>7589989.855518158</v>
      </c>
      <c r="BE37" s="13">
        <f>1.99*(F37/6464)</f>
        <v>2.0087793935643568</v>
      </c>
      <c r="BF37" s="46">
        <v>7321</v>
      </c>
      <c r="BG37" s="45">
        <f t="shared" si="29"/>
        <v>14706.273940284656</v>
      </c>
      <c r="BH37" s="13">
        <f>1.63/1.99</f>
        <v>0.8190954773869347</v>
      </c>
      <c r="BI37" s="43">
        <f t="shared" si="10"/>
        <v>240916.84947400994</v>
      </c>
      <c r="BJ37" s="16">
        <f t="shared" si="17"/>
        <v>1043169.958222463</v>
      </c>
      <c r="BK37" s="16">
        <f t="shared" si="30"/>
        <v>70487018.22876114</v>
      </c>
      <c r="BL37" s="45">
        <v>27055000</v>
      </c>
      <c r="BM37" s="40">
        <v>1231</v>
      </c>
      <c r="BN37" s="40">
        <v>1008</v>
      </c>
      <c r="BO37" s="13">
        <f>(0.1085*BM37/768)/((1-0.1085)+(0.1085*BM37/768))</f>
        <v>0.16323356784202103</v>
      </c>
      <c r="BP37" s="13">
        <f>2.8/4</f>
        <v>0.7</v>
      </c>
      <c r="BQ37" s="42">
        <v>170485</v>
      </c>
      <c r="BR37" s="46">
        <v>666184</v>
      </c>
      <c r="BS37" s="43">
        <f t="shared" si="21"/>
        <v>647812.772932099</v>
      </c>
      <c r="BT37" s="44">
        <v>19.13</v>
      </c>
      <c r="BU37" s="16">
        <f t="shared" si="12"/>
        <v>12392658.346191052</v>
      </c>
      <c r="BV37" s="17">
        <f t="shared" si="13"/>
        <v>82879676.57495219</v>
      </c>
      <c r="BW37" s="48">
        <f t="shared" si="18"/>
        <v>0.0053873021587085325</v>
      </c>
      <c r="BX37" s="18">
        <f t="shared" si="14"/>
        <v>0.0053873021587085325</v>
      </c>
      <c r="BY37" s="49">
        <v>0.005718099309559626</v>
      </c>
    </row>
    <row r="38" spans="1:77" ht="12.75">
      <c r="A38" s="53" t="s">
        <v>175</v>
      </c>
      <c r="B38" s="28">
        <v>4</v>
      </c>
      <c r="C38" s="28">
        <v>3</v>
      </c>
      <c r="D38" s="28">
        <v>4</v>
      </c>
      <c r="E38" s="40">
        <v>3523</v>
      </c>
      <c r="F38" s="41">
        <v>3802</v>
      </c>
      <c r="G38" s="45">
        <v>8000</v>
      </c>
      <c r="H38" s="13">
        <f>((0.8344*$E38)/3646)/((1-0.8344)+(0.8344*$E38)/3646)</f>
        <v>0.8296035117767024</v>
      </c>
      <c r="I38" s="19">
        <v>84</v>
      </c>
      <c r="J38" s="42">
        <v>45</v>
      </c>
      <c r="K38" s="13">
        <v>1</v>
      </c>
      <c r="L38" s="43">
        <f t="shared" si="15"/>
        <v>3837.0129578383144</v>
      </c>
      <c r="M38" s="44">
        <v>4.33</v>
      </c>
      <c r="N38" s="16">
        <f t="shared" si="31"/>
        <v>16614.2661074399</v>
      </c>
      <c r="O38" s="45">
        <v>29685000</v>
      </c>
      <c r="P38" s="13">
        <f>(0.6525*E38/3646)/((1-0.6525)+(0.6525*E38/3646))</f>
        <v>0.6446784926281132</v>
      </c>
      <c r="Q38" s="46">
        <v>423073</v>
      </c>
      <c r="R38" s="42">
        <v>72430</v>
      </c>
      <c r="S38" s="13">
        <f>32.4/34.4</f>
        <v>0.9418604651162791</v>
      </c>
      <c r="T38" s="43">
        <f t="shared" si="23"/>
        <v>3330193.33400277</v>
      </c>
      <c r="U38" s="44">
        <v>6.45</v>
      </c>
      <c r="V38" s="16">
        <f t="shared" si="24"/>
        <v>21479747.00431787</v>
      </c>
      <c r="W38" s="45">
        <v>717000</v>
      </c>
      <c r="X38" s="47">
        <v>0</v>
      </c>
      <c r="Y38" s="45">
        <f t="shared" si="16"/>
        <v>717000</v>
      </c>
      <c r="Z38" s="13">
        <f>((0.8344*$E38)/3646)/((1-0.8344)+(0.8344*$E38)/3646)</f>
        <v>0.8296035117767024</v>
      </c>
      <c r="AA38" s="46">
        <v>11385</v>
      </c>
      <c r="AB38" s="42">
        <v>2015</v>
      </c>
      <c r="AC38" s="13">
        <v>1</v>
      </c>
      <c r="AD38" s="43">
        <f t="shared" si="2"/>
        <v>113613.8357233549</v>
      </c>
      <c r="AE38" s="44">
        <v>10.7</v>
      </c>
      <c r="AF38" s="16">
        <f t="shared" si="3"/>
        <v>1215668.0422398974</v>
      </c>
      <c r="AG38" s="45">
        <v>43000</v>
      </c>
      <c r="AH38" s="13">
        <f>(1*E38/4147)/((1-1)+(1*E38/4147))</f>
        <v>1</v>
      </c>
      <c r="AI38" s="46">
        <v>11385</v>
      </c>
      <c r="AJ38" s="42">
        <v>2015</v>
      </c>
      <c r="AK38" s="13">
        <f>39/40.8</f>
        <v>0.9558823529411765</v>
      </c>
      <c r="AL38" s="43">
        <f t="shared" si="25"/>
        <v>7850.80850692255</v>
      </c>
      <c r="AM38" s="44">
        <v>9.8</v>
      </c>
      <c r="AN38" s="16">
        <f t="shared" si="26"/>
        <v>76937.923367841</v>
      </c>
      <c r="AO38" s="45">
        <v>1986000</v>
      </c>
      <c r="AP38" s="13">
        <f>(0.6234*E38/3646)/((1-0.6234)+(0.6234*E38/3646))</f>
        <v>0.6153096647099737</v>
      </c>
      <c r="AQ38" s="46">
        <v>35743</v>
      </c>
      <c r="AR38" s="42">
        <v>9145</v>
      </c>
      <c r="AS38" s="13">
        <f>49.5/47.5</f>
        <v>1.0421052631578946</v>
      </c>
      <c r="AT38" s="43">
        <f t="shared" si="27"/>
        <v>351622.5734658571</v>
      </c>
      <c r="AU38" s="44">
        <v>15.55</v>
      </c>
      <c r="AV38" s="16">
        <f t="shared" si="6"/>
        <v>5467731.017394078</v>
      </c>
      <c r="AW38" s="45">
        <v>28612000</v>
      </c>
      <c r="AX38" s="13">
        <f>(0.1914*E38/3646)/((1-0.1914)+(0.1914*E38/3646))</f>
        <v>0.18614494280651112</v>
      </c>
      <c r="AY38" s="46">
        <v>268691</v>
      </c>
      <c r="AZ38" s="42">
        <v>81720</v>
      </c>
      <c r="BA38" s="13">
        <f>8.2/10.9</f>
        <v>0.7522935779816513</v>
      </c>
      <c r="BB38" s="43">
        <f t="shared" si="28"/>
        <v>1315108.3045927961</v>
      </c>
      <c r="BC38" s="44">
        <v>21.34</v>
      </c>
      <c r="BD38" s="16">
        <f t="shared" si="8"/>
        <v>28064411.22001027</v>
      </c>
      <c r="BE38" s="13">
        <f>0.79*(F38/3646)</f>
        <v>0.8238014262205157</v>
      </c>
      <c r="BF38" s="46">
        <v>7968</v>
      </c>
      <c r="BG38" s="45">
        <f t="shared" si="29"/>
        <v>6564.049764125069</v>
      </c>
      <c r="BH38" s="13">
        <f>0.54/0.79</f>
        <v>0.6835443037974683</v>
      </c>
      <c r="BI38" s="43">
        <f t="shared" si="10"/>
        <v>89736.37652221613</v>
      </c>
      <c r="BJ38" s="16">
        <f t="shared" si="17"/>
        <v>388558.51034119586</v>
      </c>
      <c r="BK38" s="16">
        <f t="shared" si="30"/>
        <v>56709667.98377859</v>
      </c>
      <c r="BL38" s="45">
        <v>28612000</v>
      </c>
      <c r="BM38" s="40">
        <v>2279</v>
      </c>
      <c r="BN38" s="40">
        <v>1921</v>
      </c>
      <c r="BO38" s="13">
        <f>(0.0591*BM38/684)/((1-0.0591)+(0.0591*BM38/684))</f>
        <v>0.1730631424149502</v>
      </c>
      <c r="BP38" s="13">
        <f>2.8/3.8</f>
        <v>0.7368421052631579</v>
      </c>
      <c r="BQ38" s="42">
        <v>168855</v>
      </c>
      <c r="BR38" s="46">
        <v>751165</v>
      </c>
      <c r="BS38" s="43">
        <f t="shared" si="21"/>
        <v>691335.4977952426</v>
      </c>
      <c r="BT38" s="44">
        <v>21.34</v>
      </c>
      <c r="BU38" s="16">
        <f t="shared" si="12"/>
        <v>14753099.522950476</v>
      </c>
      <c r="BV38" s="17">
        <f t="shared" si="13"/>
        <v>71462767.50672907</v>
      </c>
      <c r="BW38" s="48">
        <f t="shared" si="18"/>
        <v>0.004645186100697686</v>
      </c>
      <c r="BX38" s="18">
        <f t="shared" si="14"/>
        <v>0.004645186100697686</v>
      </c>
      <c r="BY38" s="49">
        <v>0.004930415011572857</v>
      </c>
    </row>
    <row r="39" spans="1:77" ht="12.75">
      <c r="A39" s="39" t="s">
        <v>176</v>
      </c>
      <c r="B39" s="28">
        <v>1</v>
      </c>
      <c r="C39" s="28">
        <v>1</v>
      </c>
      <c r="D39" s="28">
        <v>1</v>
      </c>
      <c r="E39" s="40">
        <v>7019</v>
      </c>
      <c r="F39" s="41">
        <v>7587</v>
      </c>
      <c r="G39" s="45">
        <v>83000</v>
      </c>
      <c r="H39" s="13">
        <f>((0.8318*$E39)/7342)/((1-0.8318)+(0.8318*$E39)/7342)</f>
        <v>0.8254111367030227</v>
      </c>
      <c r="I39" s="19">
        <v>873</v>
      </c>
      <c r="J39" s="42">
        <v>105</v>
      </c>
      <c r="K39" s="13">
        <f>75.3/84.9</f>
        <v>0.8869257950530034</v>
      </c>
      <c r="L39" s="43">
        <f t="shared" si="15"/>
        <v>7899.609066127273</v>
      </c>
      <c r="M39" s="44">
        <v>3.53</v>
      </c>
      <c r="N39" s="16">
        <f t="shared" si="31"/>
        <v>27885.62000342927</v>
      </c>
      <c r="O39" s="45">
        <v>6670000</v>
      </c>
      <c r="P39" s="13">
        <f>(0.7695*E39/7342)/((1-0.7695)+(0.7695*E39/7342))</f>
        <v>0.7614234762865439</v>
      </c>
      <c r="Q39" s="46">
        <v>87287</v>
      </c>
      <c r="R39" s="42">
        <v>19630</v>
      </c>
      <c r="S39" s="13">
        <f>66.4/79.3</f>
        <v>0.8373266078184112</v>
      </c>
      <c r="T39" s="43">
        <f t="shared" si="23"/>
        <v>1033742.9549087968</v>
      </c>
      <c r="U39" s="44">
        <v>9.52</v>
      </c>
      <c r="V39" s="16">
        <f t="shared" si="24"/>
        <v>9841232.930731745</v>
      </c>
      <c r="W39" s="45">
        <v>26534000</v>
      </c>
      <c r="X39" s="47">
        <v>0.2392</v>
      </c>
      <c r="Y39" s="45">
        <f t="shared" si="16"/>
        <v>29422489.11728</v>
      </c>
      <c r="Z39" s="13">
        <f>((0.8318*$E39)/7342)/((1-0.8318)+(0.8318*$E39)/7342)</f>
        <v>0.8254111367030227</v>
      </c>
      <c r="AA39" s="46">
        <v>275827</v>
      </c>
      <c r="AB39" s="42">
        <v>56495</v>
      </c>
      <c r="AC39" s="13">
        <f>75.3/84.9</f>
        <v>0.8869257950530034</v>
      </c>
      <c r="AD39" s="43">
        <f t="shared" si="2"/>
        <v>4768755.978785715</v>
      </c>
      <c r="AE39" s="44">
        <v>9.24</v>
      </c>
      <c r="AF39" s="16">
        <f t="shared" si="3"/>
        <v>44063305.243980005</v>
      </c>
      <c r="AG39" s="45">
        <v>2137000</v>
      </c>
      <c r="AH39" s="13">
        <f>(0.977*E39/7342)/((1-0.977)+(0.977*E39/7342))</f>
        <v>0.9759670239320714</v>
      </c>
      <c r="AI39" s="46">
        <v>275827</v>
      </c>
      <c r="AJ39" s="42">
        <v>56495</v>
      </c>
      <c r="AK39" s="13">
        <f>58.5/66.5</f>
        <v>0.8796992481203008</v>
      </c>
      <c r="AL39" s="43">
        <f t="shared" si="25"/>
        <v>406201.9141523939</v>
      </c>
      <c r="AM39" s="44">
        <v>11.1</v>
      </c>
      <c r="AN39" s="16">
        <f t="shared" si="26"/>
        <v>4508841.247091572</v>
      </c>
      <c r="AO39" s="45">
        <v>6324000</v>
      </c>
      <c r="AP39" s="13">
        <f>(0.5105*E39/7342)/((1-0.5105)+(0.5105*E39/7342))</f>
        <v>0.4992539126306924</v>
      </c>
      <c r="AQ39" s="46">
        <v>50823</v>
      </c>
      <c r="AR39" s="42">
        <v>9590</v>
      </c>
      <c r="AS39" s="13">
        <f>56.9/75.2</f>
        <v>0.7566489361702127</v>
      </c>
      <c r="AT39" s="43">
        <f t="shared" si="27"/>
        <v>487260.1738346888</v>
      </c>
      <c r="AU39" s="44">
        <v>15.18</v>
      </c>
      <c r="AV39" s="16">
        <f t="shared" si="6"/>
        <v>7396609.438810576</v>
      </c>
      <c r="AW39" s="45">
        <v>12188000</v>
      </c>
      <c r="AX39" s="13">
        <f>(0.0235*E39/7342)/((1-0.0235)+(0.0235*E39/7342))</f>
        <v>0.022489404225384473</v>
      </c>
      <c r="AY39" s="46">
        <v>36223</v>
      </c>
      <c r="AZ39" s="42">
        <v>12805</v>
      </c>
      <c r="BA39" s="13">
        <f>14/22.3</f>
        <v>0.6278026905829596</v>
      </c>
      <c r="BB39" s="43">
        <f t="shared" si="28"/>
        <v>65754.21196525177</v>
      </c>
      <c r="BC39" s="44">
        <v>38.54</v>
      </c>
      <c r="BD39" s="16">
        <f t="shared" si="8"/>
        <v>2534167.3291408033</v>
      </c>
      <c r="BE39" s="13">
        <f>5.16*(F39/7342)</f>
        <v>5.3321874148733315</v>
      </c>
      <c r="BF39" s="46">
        <v>20226</v>
      </c>
      <c r="BG39" s="45">
        <f t="shared" si="29"/>
        <v>107848.82265322801</v>
      </c>
      <c r="BH39" s="13">
        <f>7.99/5.16</f>
        <v>1.5484496124031009</v>
      </c>
      <c r="BI39" s="43">
        <f t="shared" si="10"/>
        <v>3339969.3527104333</v>
      </c>
      <c r="BJ39" s="16">
        <f t="shared" si="17"/>
        <v>14462067.297236176</v>
      </c>
      <c r="BK39" s="16">
        <f t="shared" si="30"/>
        <v>82834109.1069943</v>
      </c>
      <c r="BL39" s="45">
        <v>12188000</v>
      </c>
      <c r="BM39" s="40">
        <v>455</v>
      </c>
      <c r="BN39" s="40">
        <v>304</v>
      </c>
      <c r="BO39" s="13">
        <f>(0.0197*BM39/604)/((1-0.0197)+(0.0197*BM39/604))</f>
        <v>0.014912704073288617</v>
      </c>
      <c r="BP39" s="13">
        <f>1.6/2.5</f>
        <v>0.64</v>
      </c>
      <c r="BQ39" s="42">
        <v>104115</v>
      </c>
      <c r="BR39" s="46">
        <v>474606</v>
      </c>
      <c r="BS39" s="43">
        <f t="shared" si="21"/>
        <v>17049.477946838306</v>
      </c>
      <c r="BT39" s="44">
        <v>38.54</v>
      </c>
      <c r="BU39" s="16">
        <f t="shared" si="12"/>
        <v>657086.8800711483</v>
      </c>
      <c r="BV39" s="17">
        <f t="shared" si="13"/>
        <v>83491195.98706545</v>
      </c>
      <c r="BW39" s="48">
        <f t="shared" si="18"/>
        <v>0.005427051829377079</v>
      </c>
      <c r="BX39" s="18">
        <f t="shared" si="14"/>
        <v>0.005427051829377079</v>
      </c>
      <c r="BY39" s="49">
        <v>0.0057602897339518455</v>
      </c>
    </row>
    <row r="40" spans="1:77" ht="12.75">
      <c r="A40" s="39" t="s">
        <v>177</v>
      </c>
      <c r="B40" s="28">
        <v>1</v>
      </c>
      <c r="C40" s="28">
        <v>3</v>
      </c>
      <c r="D40" s="28">
        <v>3</v>
      </c>
      <c r="E40" s="40">
        <v>4921</v>
      </c>
      <c r="F40" s="41">
        <v>5443</v>
      </c>
      <c r="G40" s="45">
        <v>88000</v>
      </c>
      <c r="H40" s="13">
        <f>((0.7621*$E40)/5456)/((1-0.7621)+(0.7621*$E40)/5456)</f>
        <v>0.7428860324904946</v>
      </c>
      <c r="I40" s="46">
        <v>1277</v>
      </c>
      <c r="J40" s="42">
        <v>325</v>
      </c>
      <c r="K40" s="13">
        <f>75.3/84.9</f>
        <v>0.8869257950530034</v>
      </c>
      <c r="L40" s="43">
        <f t="shared" si="15"/>
        <v>16321.857582227665</v>
      </c>
      <c r="M40" s="44">
        <v>2.21</v>
      </c>
      <c r="N40" s="16">
        <f t="shared" si="31"/>
        <v>36071.30525672314</v>
      </c>
      <c r="O40" s="45">
        <v>217660000</v>
      </c>
      <c r="P40" s="13">
        <f>(0.7249*E40/5456)/((1-0.7249)+(0.7249*E40/5456))</f>
        <v>0.7038491047621942</v>
      </c>
      <c r="Q40" s="46">
        <v>2048048</v>
      </c>
      <c r="R40" s="42">
        <v>479615</v>
      </c>
      <c r="S40" s="13">
        <f>66.4/79.3</f>
        <v>0.8373266078184112</v>
      </c>
      <c r="T40" s="43">
        <f t="shared" si="23"/>
        <v>33226965.07753128</v>
      </c>
      <c r="U40" s="44">
        <v>7.03</v>
      </c>
      <c r="V40" s="16">
        <f t="shared" si="24"/>
        <v>233585564.49504492</v>
      </c>
      <c r="W40" s="45">
        <v>57226000</v>
      </c>
      <c r="X40" s="47">
        <v>0.2392</v>
      </c>
      <c r="Y40" s="45">
        <f t="shared" si="16"/>
        <v>63455617.78192</v>
      </c>
      <c r="Z40" s="13">
        <f>((0.7621*$E40)/5456)/((1-0.7621)+(0.7621*$E40)/5456)</f>
        <v>0.7428860324904946</v>
      </c>
      <c r="AA40" s="46">
        <v>595094</v>
      </c>
      <c r="AB40" s="42">
        <v>155130</v>
      </c>
      <c r="AC40" s="13">
        <f>75.3/84.9</f>
        <v>0.8869257950530034</v>
      </c>
      <c r="AD40" s="43">
        <f t="shared" si="2"/>
        <v>12055209.045990024</v>
      </c>
      <c r="AE40" s="44">
        <v>10.73</v>
      </c>
      <c r="AF40" s="16">
        <f t="shared" si="3"/>
        <v>129352393.06347296</v>
      </c>
      <c r="AG40" s="45">
        <v>1529000</v>
      </c>
      <c r="AH40" s="13">
        <f>(0.8907*E40/5456)/((1-0.8907)+(0.8907*E40/5456))</f>
        <v>0.8802402381535968</v>
      </c>
      <c r="AI40" s="46">
        <v>595094</v>
      </c>
      <c r="AJ40" s="42">
        <v>155130</v>
      </c>
      <c r="AK40" s="13">
        <f>58.5/66.5</f>
        <v>0.8796992481203008</v>
      </c>
      <c r="AL40" s="43">
        <f t="shared" si="25"/>
        <v>341380.0313001934</v>
      </c>
      <c r="AM40" s="44">
        <v>8.07</v>
      </c>
      <c r="AN40" s="16">
        <f t="shared" si="26"/>
        <v>2754936.852592561</v>
      </c>
      <c r="AO40" s="45">
        <v>5807000</v>
      </c>
      <c r="AP40" s="13">
        <f>(0.4827*E40/5456)/((1-0.4827)+(0.4827*E40/5456))</f>
        <v>0.4569985448526773</v>
      </c>
      <c r="AQ40" s="46">
        <v>73539</v>
      </c>
      <c r="AR40" s="42">
        <v>25425</v>
      </c>
      <c r="AS40" s="13">
        <f>56.9/75.2</f>
        <v>0.7566489361702127</v>
      </c>
      <c r="AT40" s="43">
        <f t="shared" si="27"/>
        <v>767872.7928276447</v>
      </c>
      <c r="AU40" s="44">
        <v>19.35</v>
      </c>
      <c r="AV40" s="16">
        <f t="shared" si="6"/>
        <v>14858338.541214926</v>
      </c>
      <c r="AW40" s="45">
        <v>83766000</v>
      </c>
      <c r="AX40" s="13">
        <f>(0.1192*E40/5456)/((1-0.1192)+(0.1192*E40/5456))</f>
        <v>0.10878308558169276</v>
      </c>
      <c r="AY40" s="46">
        <v>316379</v>
      </c>
      <c r="AZ40" s="42">
        <v>119280</v>
      </c>
      <c r="BA40" s="13">
        <f>14/22.3</f>
        <v>0.6278026905829596</v>
      </c>
      <c r="BB40" s="43">
        <f t="shared" si="28"/>
        <v>2385598.0660454202</v>
      </c>
      <c r="BC40" s="44">
        <v>30.11</v>
      </c>
      <c r="BD40" s="16">
        <f t="shared" si="8"/>
        <v>71830357.7686276</v>
      </c>
      <c r="BE40" s="13">
        <f>1.27*(F40/5456)</f>
        <v>1.266973973607038</v>
      </c>
      <c r="BF40" s="46">
        <v>6989</v>
      </c>
      <c r="BG40" s="45">
        <f t="shared" si="29"/>
        <v>8854.88110153959</v>
      </c>
      <c r="BH40" s="13">
        <f>0.67/1.27</f>
        <v>0.5275590551181103</v>
      </c>
      <c r="BI40" s="43">
        <f t="shared" si="10"/>
        <v>93429.45414222876</v>
      </c>
      <c r="BJ40" s="16">
        <f t="shared" si="17"/>
        <v>404549.53643585055</v>
      </c>
      <c r="BK40" s="16">
        <f t="shared" si="30"/>
        <v>452822211.56264555</v>
      </c>
      <c r="BL40" s="45">
        <v>83766000</v>
      </c>
      <c r="BM40" s="40">
        <v>955</v>
      </c>
      <c r="BN40" s="40">
        <v>768</v>
      </c>
      <c r="BO40" s="13">
        <f>(0.1103*BM40/1053)/((1-0.1103)+(0.10103*BM40/1053))</f>
        <v>0.10193811268387319</v>
      </c>
      <c r="BP40" s="13">
        <f>1.6/2.5</f>
        <v>0.64</v>
      </c>
      <c r="BQ40" s="42">
        <v>793000</v>
      </c>
      <c r="BR40" s="46">
        <v>3064645</v>
      </c>
      <c r="BS40" s="43">
        <f t="shared" si="21"/>
        <v>1137195.6809644655</v>
      </c>
      <c r="BT40" s="44">
        <v>30.11</v>
      </c>
      <c r="BU40" s="16">
        <f t="shared" si="12"/>
        <v>34240961.953840055</v>
      </c>
      <c r="BV40" s="17">
        <f t="shared" si="13"/>
        <v>487063173.51648563</v>
      </c>
      <c r="BW40" s="48">
        <f t="shared" si="18"/>
        <v>0.031659830184542506</v>
      </c>
      <c r="BX40" s="18">
        <f t="shared" si="14"/>
        <v>0.031659830184542506</v>
      </c>
      <c r="BY40" s="49">
        <v>0.03360384247732742</v>
      </c>
    </row>
    <row r="41" spans="1:77" ht="12.75">
      <c r="A41" s="53" t="s">
        <v>178</v>
      </c>
      <c r="B41" s="28">
        <v>4</v>
      </c>
      <c r="C41" s="28">
        <v>3</v>
      </c>
      <c r="D41" s="28">
        <v>4</v>
      </c>
      <c r="E41" s="40">
        <v>4629</v>
      </c>
      <c r="F41" s="41">
        <v>4837</v>
      </c>
      <c r="G41" s="45">
        <v>53000</v>
      </c>
      <c r="H41" s="13">
        <f>((0.8344*$E41)/3646)/((1-0.8344)+(0.8344*$E41)/3646)</f>
        <v>0.864812246396009</v>
      </c>
      <c r="I41" s="19">
        <v>628</v>
      </c>
      <c r="J41" s="42">
        <v>355</v>
      </c>
      <c r="K41" s="13">
        <v>1</v>
      </c>
      <c r="L41" s="43">
        <f t="shared" si="15"/>
        <v>27074.18028061328</v>
      </c>
      <c r="M41" s="44">
        <v>2.13</v>
      </c>
      <c r="N41" s="16">
        <f t="shared" si="31"/>
        <v>57668.003997706284</v>
      </c>
      <c r="O41" s="45">
        <v>34580000</v>
      </c>
      <c r="P41" s="13">
        <f>(0.6525*E41/3646)/((1-0.6525)+(0.6525*E41/3646))</f>
        <v>0.7044869189597676</v>
      </c>
      <c r="Q41" s="46">
        <v>458661</v>
      </c>
      <c r="R41" s="42">
        <v>109505</v>
      </c>
      <c r="S41" s="13">
        <f>32.4/34.4</f>
        <v>0.9418604651162791</v>
      </c>
      <c r="T41" s="43">
        <f t="shared" si="23"/>
        <v>5724209.664440543</v>
      </c>
      <c r="U41" s="44">
        <v>6.33</v>
      </c>
      <c r="V41" s="16">
        <f t="shared" si="24"/>
        <v>36234247.17590864</v>
      </c>
      <c r="W41" s="45">
        <v>115000</v>
      </c>
      <c r="X41" s="47">
        <v>0</v>
      </c>
      <c r="Y41" s="45">
        <f t="shared" si="16"/>
        <v>115000</v>
      </c>
      <c r="Z41" s="13">
        <f>((0.8344*$E41)/3646)/((1-0.8344)+(0.8344*$E41)/3646)</f>
        <v>0.864812246396009</v>
      </c>
      <c r="AA41" s="46">
        <v>1095</v>
      </c>
      <c r="AB41" s="42">
        <v>340</v>
      </c>
      <c r="AC41" s="13">
        <v>1</v>
      </c>
      <c r="AD41" s="43">
        <f t="shared" si="2"/>
        <v>32268.098631806835</v>
      </c>
      <c r="AE41" s="44">
        <v>8.43</v>
      </c>
      <c r="AF41" s="16">
        <f t="shared" si="3"/>
        <v>272020.0714661316</v>
      </c>
      <c r="AG41" s="45">
        <v>128000</v>
      </c>
      <c r="AH41" s="13">
        <f>(1*E41/4147)/((1-1)+(1*E41/4147))</f>
        <v>1</v>
      </c>
      <c r="AI41" s="46">
        <v>1095</v>
      </c>
      <c r="AJ41" s="42">
        <v>340</v>
      </c>
      <c r="AK41" s="13">
        <f>39/40.8</f>
        <v>0.9558823529411765</v>
      </c>
      <c r="AL41" s="43">
        <f t="shared" si="25"/>
        <v>39697.95344221608</v>
      </c>
      <c r="AM41" s="44">
        <v>7.86</v>
      </c>
      <c r="AN41" s="16">
        <f t="shared" si="26"/>
        <v>312025.9140558184</v>
      </c>
      <c r="AO41" s="45">
        <v>3083000</v>
      </c>
      <c r="AP41" s="13">
        <f>(0.6234*E41/3646)/((1-0.6234)+(0.6234*E41/3646))</f>
        <v>0.677589252677666</v>
      </c>
      <c r="AQ41" s="46">
        <v>98440</v>
      </c>
      <c r="AR41" s="42">
        <v>31230</v>
      </c>
      <c r="AS41" s="13">
        <f>49.5/47.5</f>
        <v>1.0421052631578946</v>
      </c>
      <c r="AT41" s="43">
        <f t="shared" si="27"/>
        <v>721673.7502784588</v>
      </c>
      <c r="AU41" s="44">
        <v>13.44</v>
      </c>
      <c r="AV41" s="16">
        <f t="shared" si="6"/>
        <v>9699295.203742485</v>
      </c>
      <c r="AW41" s="45">
        <v>15848000</v>
      </c>
      <c r="AX41" s="13">
        <f>(0.1914*E41/3646)/((1-0.1914)+(0.1914*E41/3646))</f>
        <v>0.23107898180825762</v>
      </c>
      <c r="AY41" s="46">
        <v>78671</v>
      </c>
      <c r="AZ41" s="42">
        <v>22765</v>
      </c>
      <c r="BA41" s="13">
        <f>8.2/10.9</f>
        <v>0.7522935779816513</v>
      </c>
      <c r="BB41" s="43">
        <f t="shared" si="28"/>
        <v>833036.7343853762</v>
      </c>
      <c r="BC41" s="44">
        <v>24.5</v>
      </c>
      <c r="BD41" s="16">
        <f t="shared" si="8"/>
        <v>20409399.992441718</v>
      </c>
      <c r="BE41" s="13">
        <f>0.79*(F41/3646)</f>
        <v>1.0480608886450906</v>
      </c>
      <c r="BF41" s="46">
        <v>34666</v>
      </c>
      <c r="BG41" s="45">
        <f t="shared" si="29"/>
        <v>36332.07876577071</v>
      </c>
      <c r="BH41" s="13">
        <f>0.54/0.79</f>
        <v>0.6835443037974683</v>
      </c>
      <c r="BI41" s="43">
        <f t="shared" si="10"/>
        <v>496691.70970927045</v>
      </c>
      <c r="BJ41" s="16">
        <f t="shared" si="17"/>
        <v>2150675.1030411413</v>
      </c>
      <c r="BK41" s="16">
        <f t="shared" si="30"/>
        <v>69135331.46465364</v>
      </c>
      <c r="BL41" s="45">
        <v>15848000</v>
      </c>
      <c r="BM41" s="40">
        <v>1120</v>
      </c>
      <c r="BN41" s="40">
        <v>893</v>
      </c>
      <c r="BO41" s="13">
        <f>(0.0591*BM41/684)/((1-0.0591)+(0.0591*BM41/684))</f>
        <v>0.09325869481785305</v>
      </c>
      <c r="BP41" s="13">
        <f>2.8/3.8</f>
        <v>0.7368421052631579</v>
      </c>
      <c r="BQ41" s="42">
        <v>181180</v>
      </c>
      <c r="BR41" s="46">
        <v>677971</v>
      </c>
      <c r="BS41" s="43">
        <f t="shared" si="21"/>
        <v>232044.24639478253</v>
      </c>
      <c r="BT41" s="44">
        <v>24.5</v>
      </c>
      <c r="BU41" s="16">
        <f t="shared" si="12"/>
        <v>5685084.036672172</v>
      </c>
      <c r="BV41" s="17">
        <f t="shared" si="13"/>
        <v>74820415.50132582</v>
      </c>
      <c r="BW41" s="48">
        <f t="shared" si="18"/>
        <v>0.0048634382107082255</v>
      </c>
      <c r="BX41" s="18">
        <f t="shared" si="14"/>
        <v>0.0048634382107082255</v>
      </c>
      <c r="BY41" s="49">
        <v>0.005162068481676412</v>
      </c>
    </row>
    <row r="42" spans="1:77" ht="12.75">
      <c r="A42" s="39" t="s">
        <v>179</v>
      </c>
      <c r="B42" s="28">
        <v>1</v>
      </c>
      <c r="C42" s="28">
        <v>2</v>
      </c>
      <c r="D42" s="28">
        <v>2</v>
      </c>
      <c r="E42" s="40">
        <v>5510</v>
      </c>
      <c r="F42" s="41">
        <v>6116</v>
      </c>
      <c r="G42" s="45">
        <v>2834000</v>
      </c>
      <c r="H42" s="13">
        <f>((0.8386*$E42)/6567)/((1-0.8386)+(0.8386*$E42)/6567)</f>
        <v>0.8134151608426984</v>
      </c>
      <c r="I42" s="46">
        <v>9563</v>
      </c>
      <c r="J42" s="42">
        <v>2425</v>
      </c>
      <c r="K42" s="13">
        <f>75.3/84.9</f>
        <v>0.8869257950530034</v>
      </c>
      <c r="L42" s="43">
        <f aca="true" t="shared" si="32" ref="L42:L60">G42*(F42/E42)*H42*(J42/I42)*K42</f>
        <v>575483.4780184132</v>
      </c>
      <c r="M42" s="44">
        <v>3.02</v>
      </c>
      <c r="N42" s="16">
        <f t="shared" si="31"/>
        <v>1737960.1036156078</v>
      </c>
      <c r="O42" s="45">
        <v>380917000</v>
      </c>
      <c r="P42" s="13">
        <f>(0.7753*E42/6567)/((1-0.7753)+(0.7753*E42/6567))</f>
        <v>0.7432617882961066</v>
      </c>
      <c r="Q42" s="46">
        <v>3651779</v>
      </c>
      <c r="R42" s="42">
        <v>1051045</v>
      </c>
      <c r="S42" s="13">
        <f>66.4/79.3</f>
        <v>0.8373266078184112</v>
      </c>
      <c r="T42" s="43">
        <f t="shared" si="23"/>
        <v>75735544.98049769</v>
      </c>
      <c r="U42" s="44">
        <v>9.58</v>
      </c>
      <c r="V42" s="16">
        <f t="shared" si="24"/>
        <v>725546520.9131678</v>
      </c>
      <c r="W42" s="45">
        <v>166026000</v>
      </c>
      <c r="X42" s="47">
        <v>0.2392</v>
      </c>
      <c r="Y42" s="45">
        <f t="shared" si="16"/>
        <v>184099577.07792</v>
      </c>
      <c r="Z42" s="13">
        <f>((0.8386*$E42)/6567)/((1-0.8386)+(0.8386*$E42)/6567)</f>
        <v>0.8134151608426984</v>
      </c>
      <c r="AA42" s="46">
        <v>2336714</v>
      </c>
      <c r="AB42" s="42">
        <v>602940</v>
      </c>
      <c r="AC42" s="13">
        <f>75.3/84.9</f>
        <v>0.8869257950530034</v>
      </c>
      <c r="AD42" s="43">
        <f aca="true" t="shared" si="33" ref="AD42:AD60">Y42*(F42/E42)*Z42*(AB42/AA42)*AC42</f>
        <v>38039671.11656235</v>
      </c>
      <c r="AE42" s="44">
        <v>10.81</v>
      </c>
      <c r="AF42" s="16">
        <f aca="true" t="shared" si="34" ref="AF42:AF60">AD42*AE42</f>
        <v>411208844.770039</v>
      </c>
      <c r="AG42" s="45">
        <v>13195000</v>
      </c>
      <c r="AH42" s="13">
        <f>(0.9809*E42/6567)/((1-0.9809)+(0.9809*E42/6567))</f>
        <v>0.9773190922038519</v>
      </c>
      <c r="AI42" s="46">
        <v>2336714</v>
      </c>
      <c r="AJ42" s="42">
        <v>602940</v>
      </c>
      <c r="AK42" s="13">
        <f>58.5/66.5</f>
        <v>0.8796992481203008</v>
      </c>
      <c r="AL42" s="43">
        <f t="shared" si="25"/>
        <v>3249109.9803135153</v>
      </c>
      <c r="AM42" s="44">
        <v>9.44</v>
      </c>
      <c r="AN42" s="16">
        <f t="shared" si="26"/>
        <v>30671598.21415958</v>
      </c>
      <c r="AO42" s="45">
        <v>17020000</v>
      </c>
      <c r="AP42" s="13">
        <f>(0.5809*E42/6567)/((1-0.5809)+(0.5809*E42/6567))</f>
        <v>0.5376726147657562</v>
      </c>
      <c r="AQ42" s="46">
        <v>237949</v>
      </c>
      <c r="AR42" s="42">
        <v>80135</v>
      </c>
      <c r="AS42" s="13">
        <f>56.9/75.2</f>
        <v>0.7566489361702127</v>
      </c>
      <c r="AT42" s="43">
        <f t="shared" si="27"/>
        <v>2588368.666799706</v>
      </c>
      <c r="AU42" s="44">
        <v>17.74</v>
      </c>
      <c r="AV42" s="16">
        <f aca="true" t="shared" si="35" ref="AV42:AV60">AT42*AU42</f>
        <v>45917660.14902678</v>
      </c>
      <c r="AW42" s="45">
        <v>145139000</v>
      </c>
      <c r="AX42" s="13">
        <f>(0.0966*E42/6567)/((1-0.0966)+(0.0966*E42/6567))</f>
        <v>0.08233174688809275</v>
      </c>
      <c r="AY42" s="46">
        <v>615685</v>
      </c>
      <c r="AZ42" s="42">
        <v>243210</v>
      </c>
      <c r="BA42" s="13">
        <f>14/22.3</f>
        <v>0.6278026905829596</v>
      </c>
      <c r="BB42" s="43">
        <f t="shared" si="28"/>
        <v>3289374.808032335</v>
      </c>
      <c r="BC42" s="44">
        <v>40.95</v>
      </c>
      <c r="BD42" s="16">
        <f aca="true" t="shared" si="36" ref="BD42:BD60">BB42*BC42</f>
        <v>134699898.38892412</v>
      </c>
      <c r="BE42" s="13">
        <f>1.33*(F42/6567)</f>
        <v>1.2386599664991624</v>
      </c>
      <c r="BF42" s="46">
        <v>82613</v>
      </c>
      <c r="BG42" s="45">
        <f t="shared" si="29"/>
        <v>102329.41581239531</v>
      </c>
      <c r="BH42" s="13">
        <f>1.34/1.33</f>
        <v>1.0075187969924813</v>
      </c>
      <c r="BI42" s="43">
        <f aca="true" t="shared" si="37" ref="BI42:BI60">BG42*BH42*20</f>
        <v>2061976.198324958</v>
      </c>
      <c r="BJ42" s="16">
        <f t="shared" si="17"/>
        <v>8928356.938747069</v>
      </c>
      <c r="BK42" s="16">
        <f t="shared" si="30"/>
        <v>1358710839.4776802</v>
      </c>
      <c r="BL42" s="45">
        <v>145139000</v>
      </c>
      <c r="BM42" s="40">
        <v>807</v>
      </c>
      <c r="BN42" s="40">
        <v>621</v>
      </c>
      <c r="BO42" s="13">
        <f>(0.0703*BM42/641)/((1-0.0703)+(0.0703*BM42/641))</f>
        <v>0.08692312713105464</v>
      </c>
      <c r="BP42" s="13">
        <f>1.6/2.5</f>
        <v>0.64</v>
      </c>
      <c r="BQ42" s="42">
        <v>2054625</v>
      </c>
      <c r="BR42" s="46">
        <v>7056860</v>
      </c>
      <c r="BS42" s="43">
        <f t="shared" si="21"/>
        <v>1809000.0318495461</v>
      </c>
      <c r="BT42" s="44">
        <v>40.95</v>
      </c>
      <c r="BU42" s="16">
        <f aca="true" t="shared" si="38" ref="BU42:BU60">BS42*BT42</f>
        <v>74078551.30423892</v>
      </c>
      <c r="BV42" s="17">
        <f aca="true" t="shared" si="39" ref="BV42:BV60">BK42+BU42</f>
        <v>1432789390.781919</v>
      </c>
      <c r="BW42" s="48">
        <f t="shared" si="18"/>
        <v>0.09313343990855902</v>
      </c>
      <c r="BX42" s="18">
        <f aca="true" t="shared" si="40" ref="BX42:BX60">BV42/$BV$62</f>
        <v>0.09313343990855902</v>
      </c>
      <c r="BY42" s="49">
        <v>0.09885212352108137</v>
      </c>
    </row>
    <row r="43" spans="1:77" ht="12.75">
      <c r="A43" s="39" t="s">
        <v>180</v>
      </c>
      <c r="B43" s="28">
        <v>3</v>
      </c>
      <c r="C43" s="28">
        <v>4</v>
      </c>
      <c r="D43" s="28">
        <v>4</v>
      </c>
      <c r="E43" s="40">
        <v>3285</v>
      </c>
      <c r="F43" s="41">
        <v>3523</v>
      </c>
      <c r="G43" s="45">
        <v>1681000</v>
      </c>
      <c r="H43" s="13">
        <f>((1*$E43)/3300)/((1-1)+(1*$E43)/3300)</f>
        <v>1</v>
      </c>
      <c r="I43" s="19">
        <v>464</v>
      </c>
      <c r="J43" s="42">
        <v>180</v>
      </c>
      <c r="K43" s="13">
        <f>73.9/75</f>
        <v>0.9853333333333334</v>
      </c>
      <c r="L43" s="43">
        <f t="shared" si="32"/>
        <v>689100.6860336955</v>
      </c>
      <c r="M43" s="44">
        <v>2.41</v>
      </c>
      <c r="N43" s="16">
        <f t="shared" si="31"/>
        <v>1660732.6533412063</v>
      </c>
      <c r="O43" s="45">
        <v>54713000</v>
      </c>
      <c r="P43" s="13">
        <f>(0.7073*E43/3300)/((1-0.7073)+(0.7073*E43/3300))</f>
        <v>0.7063559343288673</v>
      </c>
      <c r="Q43" s="46">
        <v>757777</v>
      </c>
      <c r="R43" s="42">
        <v>158935</v>
      </c>
      <c r="S43" s="13">
        <f>45.6/48.7</f>
        <v>0.9363449691991786</v>
      </c>
      <c r="T43" s="43">
        <f t="shared" si="23"/>
        <v>8139643.87654076</v>
      </c>
      <c r="U43" s="44">
        <v>9.25</v>
      </c>
      <c r="V43" s="16">
        <f t="shared" si="24"/>
        <v>75291705.85800202</v>
      </c>
      <c r="W43" s="45">
        <v>17383000</v>
      </c>
      <c r="X43" s="47">
        <v>0.1223</v>
      </c>
      <c r="Y43" s="45">
        <f t="shared" si="16"/>
        <v>18350515.70359</v>
      </c>
      <c r="Z43" s="13">
        <f>((1*$E43)/3300)/((1-1)+(1*$E43)/3300)</f>
        <v>1</v>
      </c>
      <c r="AA43" s="46">
        <v>368279</v>
      </c>
      <c r="AB43" s="42">
        <v>136520</v>
      </c>
      <c r="AC43" s="13">
        <f>73.9/75</f>
        <v>0.9853333333333334</v>
      </c>
      <c r="AD43" s="43">
        <f t="shared" si="33"/>
        <v>7188330.596017028</v>
      </c>
      <c r="AE43" s="44">
        <v>10.21</v>
      </c>
      <c r="AF43" s="16">
        <f t="shared" si="34"/>
        <v>73392855.38533387</v>
      </c>
      <c r="AG43" s="45">
        <v>11255000</v>
      </c>
      <c r="AH43" s="13">
        <f>(0.9779*E43/3300)/((1-0.9779)+(0.9779*E43/3300))</f>
        <v>0.9778013268980619</v>
      </c>
      <c r="AI43" s="46">
        <v>368279</v>
      </c>
      <c r="AJ43" s="42">
        <v>136520</v>
      </c>
      <c r="AK43" s="13">
        <f>32.4/31.1</f>
        <v>1.0418006430868165</v>
      </c>
      <c r="AL43" s="43">
        <f t="shared" si="25"/>
        <v>4558031.6495134</v>
      </c>
      <c r="AM43" s="44">
        <v>7.4</v>
      </c>
      <c r="AN43" s="16">
        <f t="shared" si="26"/>
        <v>33729434.206399165</v>
      </c>
      <c r="AO43" s="45">
        <v>23084000</v>
      </c>
      <c r="AP43" s="13">
        <f>(0.8985*E43/3300)/((1-0.8985)+(0.8985*E43/3300))</f>
        <v>0.8980837648304553</v>
      </c>
      <c r="AQ43" s="46">
        <v>394275</v>
      </c>
      <c r="AR43" s="42">
        <v>115240</v>
      </c>
      <c r="AS43" s="13">
        <f>33.8/45.1</f>
        <v>0.7494456762749445</v>
      </c>
      <c r="AT43" s="43">
        <f t="shared" si="27"/>
        <v>4870228.61432215</v>
      </c>
      <c r="AU43" s="44">
        <v>15.8</v>
      </c>
      <c r="AV43" s="16">
        <f t="shared" si="35"/>
        <v>76949612.10628998</v>
      </c>
      <c r="AW43" s="45">
        <v>148928000</v>
      </c>
      <c r="AX43" s="13">
        <f>(0.1343*E43/3300)/((1-0.1343)+(0.1343*E43/3300))</f>
        <v>0.1337712066957238</v>
      </c>
      <c r="AY43" s="46">
        <v>1528885</v>
      </c>
      <c r="AZ43" s="42">
        <v>411325</v>
      </c>
      <c r="BA43" s="13">
        <f>12.1/13.5</f>
        <v>0.8962962962962963</v>
      </c>
      <c r="BB43" s="43">
        <f t="shared" si="28"/>
        <v>5152027.347651006</v>
      </c>
      <c r="BC43" s="44">
        <v>23.36</v>
      </c>
      <c r="BD43" s="16">
        <f t="shared" si="36"/>
        <v>120351358.84112749</v>
      </c>
      <c r="BE43" s="13">
        <f>0.91*(F43/3300)</f>
        <v>0.9714939393939395</v>
      </c>
      <c r="BF43" s="46">
        <v>65657</v>
      </c>
      <c r="BG43" s="45">
        <f t="shared" si="29"/>
        <v>63785.377578787884</v>
      </c>
      <c r="BH43" s="13">
        <f>1.17/0.91</f>
        <v>1.2857142857142856</v>
      </c>
      <c r="BI43" s="43">
        <f t="shared" si="37"/>
        <v>1640195.4234545454</v>
      </c>
      <c r="BJ43" s="16">
        <f t="shared" si="17"/>
        <v>7102046.183558182</v>
      </c>
      <c r="BK43" s="16">
        <f t="shared" si="30"/>
        <v>388477745.2340519</v>
      </c>
      <c r="BL43" s="45">
        <v>148928000</v>
      </c>
      <c r="BM43" s="40">
        <v>1626</v>
      </c>
      <c r="BN43" s="40">
        <v>1386</v>
      </c>
      <c r="BO43" s="13">
        <f>(0.1862*BM43/1675)/((1-0.1862)+(0.1862*BM43/1675))</f>
        <v>0.18174291703068937</v>
      </c>
      <c r="BP43" s="13">
        <f>8.4/11.1</f>
        <v>0.7567567567567568</v>
      </c>
      <c r="BQ43" s="42">
        <v>852555</v>
      </c>
      <c r="BR43" s="46">
        <v>3132013</v>
      </c>
      <c r="BS43" s="43">
        <f t="shared" si="21"/>
        <v>4752604.749107598</v>
      </c>
      <c r="BT43" s="44">
        <v>23.36</v>
      </c>
      <c r="BU43" s="16">
        <f t="shared" si="38"/>
        <v>111020846.93915349</v>
      </c>
      <c r="BV43" s="17">
        <f t="shared" si="39"/>
        <v>499498592.1732054</v>
      </c>
      <c r="BW43" s="48">
        <f t="shared" si="18"/>
        <v>0.03246815087958293</v>
      </c>
      <c r="BX43" s="18">
        <f t="shared" si="40"/>
        <v>0.03246815087958293</v>
      </c>
      <c r="BY43" s="49">
        <v>0.03446179658349202</v>
      </c>
    </row>
    <row r="44" spans="1:77" ht="12.75">
      <c r="A44" s="39" t="s">
        <v>181</v>
      </c>
      <c r="B44" s="28">
        <v>2</v>
      </c>
      <c r="C44" s="28">
        <v>1</v>
      </c>
      <c r="D44" s="28">
        <v>1</v>
      </c>
      <c r="E44" s="40">
        <v>9249</v>
      </c>
      <c r="F44" s="41">
        <v>9447</v>
      </c>
      <c r="G44" s="45">
        <v>731000</v>
      </c>
      <c r="H44" s="13">
        <f>((0.9844*$E44)/7780)/((1-0.9844)+(0.9844*$E44)/7780)</f>
        <v>0.9868451224526081</v>
      </c>
      <c r="I44" s="46">
        <v>1871</v>
      </c>
      <c r="J44" s="42">
        <v>625</v>
      </c>
      <c r="K44" s="13">
        <f>78.8/78.8</f>
        <v>1</v>
      </c>
      <c r="L44" s="43">
        <f t="shared" si="32"/>
        <v>246134.07482843983</v>
      </c>
      <c r="M44" s="44">
        <v>1.17</v>
      </c>
      <c r="N44" s="16">
        <f t="shared" si="31"/>
        <v>287976.8675492746</v>
      </c>
      <c r="O44" s="45">
        <v>11049000</v>
      </c>
      <c r="P44" s="13">
        <f>(0.8086*E44/7780)/((1-0.8086)+(0.8086*E44/7780))</f>
        <v>0.8339518662333757</v>
      </c>
      <c r="Q44" s="46">
        <v>110762</v>
      </c>
      <c r="R44" s="42">
        <v>22430</v>
      </c>
      <c r="S44" s="13">
        <f>82.8/83.8</f>
        <v>0.9880668257756563</v>
      </c>
      <c r="T44" s="43">
        <f t="shared" si="23"/>
        <v>1883162.9322467467</v>
      </c>
      <c r="U44" s="44">
        <v>6.15</v>
      </c>
      <c r="V44" s="16">
        <f t="shared" si="24"/>
        <v>11581452.033317493</v>
      </c>
      <c r="W44" s="45">
        <v>2572000</v>
      </c>
      <c r="X44" s="47">
        <v>0</v>
      </c>
      <c r="Y44" s="45">
        <f t="shared" si="16"/>
        <v>2572000</v>
      </c>
      <c r="Z44" s="13">
        <f>((0.9844*$E44)/7780)/((1-0.9844)+(0.9844*$E44)/7780)</f>
        <v>0.9868451224526081</v>
      </c>
      <c r="AA44" s="46">
        <v>23601</v>
      </c>
      <c r="AB44" s="42">
        <v>6805</v>
      </c>
      <c r="AC44" s="13">
        <f>78.8/78.8</f>
        <v>1</v>
      </c>
      <c r="AD44" s="43">
        <f t="shared" si="33"/>
        <v>747509.6847173675</v>
      </c>
      <c r="AE44" s="44">
        <v>9.02</v>
      </c>
      <c r="AF44" s="16">
        <f t="shared" si="34"/>
        <v>6742537.356150655</v>
      </c>
      <c r="AG44" s="45">
        <v>96000</v>
      </c>
      <c r="AH44" s="13">
        <f>(1*E44/7780)/((1-1)+(1*E44/7780))</f>
        <v>1</v>
      </c>
      <c r="AI44" s="46">
        <v>23601</v>
      </c>
      <c r="AJ44" s="42">
        <v>6805</v>
      </c>
      <c r="AK44" s="13">
        <v>1</v>
      </c>
      <c r="AL44" s="43">
        <f t="shared" si="25"/>
        <v>28272.75264440311</v>
      </c>
      <c r="AM44" s="44">
        <v>9.18</v>
      </c>
      <c r="AN44" s="16">
        <f t="shared" si="26"/>
        <v>259543.86927562056</v>
      </c>
      <c r="AO44" s="45">
        <v>3334000</v>
      </c>
      <c r="AP44" s="13">
        <f>(0.8215*E44/7780)/((1-0.8215)+(0.8215*E44/7780))</f>
        <v>0.8454697389783563</v>
      </c>
      <c r="AQ44" s="46">
        <v>40393</v>
      </c>
      <c r="AR44" s="42">
        <v>11180</v>
      </c>
      <c r="AS44" s="13">
        <f>69.2/70</f>
        <v>0.9885714285714287</v>
      </c>
      <c r="AT44" s="43">
        <f t="shared" si="27"/>
        <v>787782.8968082877</v>
      </c>
      <c r="AU44" s="44">
        <v>10.84</v>
      </c>
      <c r="AV44" s="16">
        <f t="shared" si="35"/>
        <v>8539566.60140184</v>
      </c>
      <c r="AW44" s="45">
        <v>11282000</v>
      </c>
      <c r="AX44" s="13">
        <f>(0.0413*E44/7780)/((1-0.0413)+(0.0413*E44/7780))</f>
        <v>0.04871824915670151</v>
      </c>
      <c r="AY44" s="46">
        <v>74087</v>
      </c>
      <c r="AZ44" s="42">
        <v>22155</v>
      </c>
      <c r="BA44" s="13">
        <f>14.7/25.7</f>
        <v>0.5719844357976653</v>
      </c>
      <c r="BB44" s="43">
        <f t="shared" si="28"/>
        <v>96026.44695668551</v>
      </c>
      <c r="BC44" s="44">
        <v>18.86</v>
      </c>
      <c r="BD44" s="16">
        <f t="shared" si="36"/>
        <v>1811058.7896030887</v>
      </c>
      <c r="BE44" s="13">
        <f>2.45*(F44/7780)</f>
        <v>2.9749550128534707</v>
      </c>
      <c r="BF44" s="46">
        <v>1354</v>
      </c>
      <c r="BG44" s="45">
        <f t="shared" si="29"/>
        <v>4028.0890874035995</v>
      </c>
      <c r="BH44" s="13">
        <f>3.79/2.45</f>
        <v>1.546938775510204</v>
      </c>
      <c r="BI44" s="43">
        <f t="shared" si="37"/>
        <v>124624.14401028278</v>
      </c>
      <c r="BJ44" s="16">
        <f t="shared" si="17"/>
        <v>539622.5435645244</v>
      </c>
      <c r="BK44" s="16">
        <f t="shared" si="30"/>
        <v>29761758.060862496</v>
      </c>
      <c r="BL44" s="45">
        <v>11282000</v>
      </c>
      <c r="BM44" s="40">
        <v>524</v>
      </c>
      <c r="BN44" s="40">
        <v>453</v>
      </c>
      <c r="BO44" s="13">
        <f>(0.0917*BM44/657)/((1-0.0917)+(0.0917*BM44/657))</f>
        <v>0.07452002073808799</v>
      </c>
      <c r="BP44" s="13">
        <f>2.8/4</f>
        <v>0.7</v>
      </c>
      <c r="BQ44" s="42">
        <v>65825</v>
      </c>
      <c r="BR44" s="46">
        <v>257152</v>
      </c>
      <c r="BS44" s="43">
        <f aca="true" t="shared" si="41" ref="BS44:BS60">BL44*(BN44/BM44)*BO44*BP44*(BQ44/BR44)</f>
        <v>130234.17969651245</v>
      </c>
      <c r="BT44" s="44">
        <v>18.86</v>
      </c>
      <c r="BU44" s="16">
        <f t="shared" si="38"/>
        <v>2456216.6290762248</v>
      </c>
      <c r="BV44" s="17">
        <f t="shared" si="39"/>
        <v>32217974.68993872</v>
      </c>
      <c r="BW44" s="48">
        <f t="shared" si="18"/>
        <v>0.0020942162393618614</v>
      </c>
      <c r="BX44" s="18">
        <f t="shared" si="40"/>
        <v>0.0020942162393618614</v>
      </c>
      <c r="BY44" s="49">
        <v>0.0022228076464963498</v>
      </c>
    </row>
    <row r="45" spans="1:77" ht="12.75">
      <c r="A45" s="39" t="s">
        <v>182</v>
      </c>
      <c r="B45" s="28">
        <v>2</v>
      </c>
      <c r="C45" s="28">
        <v>2</v>
      </c>
      <c r="D45" s="28">
        <v>2</v>
      </c>
      <c r="E45" s="40">
        <v>5559</v>
      </c>
      <c r="F45" s="41">
        <v>5971</v>
      </c>
      <c r="G45" s="45">
        <v>2811000</v>
      </c>
      <c r="H45" s="13">
        <f>((1*$E45)/6567)/((1-1)+(1*$E45)/6567)</f>
        <v>1</v>
      </c>
      <c r="I45" s="46">
        <v>3261</v>
      </c>
      <c r="J45" s="42">
        <v>1530</v>
      </c>
      <c r="K45" s="13">
        <f>78.8/78.8</f>
        <v>1</v>
      </c>
      <c r="L45" s="43">
        <f t="shared" si="32"/>
        <v>1416615.126220639</v>
      </c>
      <c r="M45" s="44">
        <v>2.47</v>
      </c>
      <c r="N45" s="16">
        <f t="shared" si="31"/>
        <v>3499039.3617649786</v>
      </c>
      <c r="O45" s="45">
        <v>330026000</v>
      </c>
      <c r="P45" s="13">
        <f>(0.7704*E45/6464)/((1-0.7704)+(0.7704*E45/6464))</f>
        <v>0.7426410681301272</v>
      </c>
      <c r="Q45" s="46">
        <v>3058721</v>
      </c>
      <c r="R45" s="42">
        <v>783180</v>
      </c>
      <c r="S45" s="13">
        <f>82.8/83.8</f>
        <v>0.9880668257756563</v>
      </c>
      <c r="T45" s="43">
        <f t="shared" si="23"/>
        <v>66601737.11691642</v>
      </c>
      <c r="U45" s="44">
        <v>7.39</v>
      </c>
      <c r="V45" s="16">
        <f t="shared" si="24"/>
        <v>492186837.2940123</v>
      </c>
      <c r="W45" s="45">
        <v>18206000</v>
      </c>
      <c r="X45" s="47">
        <v>0</v>
      </c>
      <c r="Y45" s="45">
        <f t="shared" si="16"/>
        <v>18206000</v>
      </c>
      <c r="Z45" s="13">
        <f>((1*$E45)/6567)/((1-1)+(1*$E45)/6567)</f>
        <v>1</v>
      </c>
      <c r="AA45" s="46">
        <v>209093</v>
      </c>
      <c r="AB45" s="42">
        <v>53255</v>
      </c>
      <c r="AC45" s="13">
        <f>78.8/78.8</f>
        <v>1</v>
      </c>
      <c r="AD45" s="43">
        <f t="shared" si="33"/>
        <v>4980647.78308942</v>
      </c>
      <c r="AE45" s="44">
        <v>9.24</v>
      </c>
      <c r="AF45" s="16">
        <f t="shared" si="34"/>
        <v>46021185.51574624</v>
      </c>
      <c r="AG45" s="45">
        <v>7341000</v>
      </c>
      <c r="AH45" s="13">
        <f>(1*E45/6464)/((1-1)+(1*E45/6464))</f>
        <v>1</v>
      </c>
      <c r="AI45" s="46">
        <v>209093</v>
      </c>
      <c r="AJ45" s="42">
        <v>53255</v>
      </c>
      <c r="AK45" s="13">
        <v>1</v>
      </c>
      <c r="AL45" s="43">
        <f t="shared" si="25"/>
        <v>2008290.419403462</v>
      </c>
      <c r="AM45" s="44">
        <v>9.22</v>
      </c>
      <c r="AN45" s="16">
        <f t="shared" si="26"/>
        <v>18516437.66689992</v>
      </c>
      <c r="AO45" s="45">
        <v>21424000</v>
      </c>
      <c r="AP45" s="13">
        <f>(0.853*E45/6464)/((1-0.853)+(0.853*E45/6464))</f>
        <v>0.8330635704102312</v>
      </c>
      <c r="AQ45" s="46">
        <v>272782</v>
      </c>
      <c r="AR45" s="42">
        <v>69105</v>
      </c>
      <c r="AS45" s="13">
        <f>69.2/70</f>
        <v>0.9885714285714287</v>
      </c>
      <c r="AT45" s="43">
        <f t="shared" si="27"/>
        <v>4800991.274321297</v>
      </c>
      <c r="AU45" s="44">
        <v>14.08</v>
      </c>
      <c r="AV45" s="16">
        <f t="shared" si="35"/>
        <v>67597957.14244387</v>
      </c>
      <c r="AW45" s="45">
        <v>159096000</v>
      </c>
      <c r="AX45" s="13">
        <f>(0.0854*E45/6464)/((1-0.0854)+(0.0854*E45/6464))</f>
        <v>0.0743322269217358</v>
      </c>
      <c r="AY45" s="46">
        <v>813279</v>
      </c>
      <c r="AZ45" s="42">
        <v>256095</v>
      </c>
      <c r="BA45" s="13">
        <f>14.7/25.7</f>
        <v>0.5719844357976653</v>
      </c>
      <c r="BB45" s="43">
        <f t="shared" si="28"/>
        <v>2287876.378323136</v>
      </c>
      <c r="BC45" s="44">
        <v>25.23</v>
      </c>
      <c r="BD45" s="16">
        <f t="shared" si="36"/>
        <v>57723121.02509272</v>
      </c>
      <c r="BE45" s="13">
        <f>1.99*(F45/6464)</f>
        <v>1.838225556930693</v>
      </c>
      <c r="BF45" s="46">
        <v>47724</v>
      </c>
      <c r="BG45" s="45">
        <f t="shared" si="29"/>
        <v>87727.4764789604</v>
      </c>
      <c r="BH45" s="13">
        <f>1.63/1.99</f>
        <v>0.8190954773869347</v>
      </c>
      <c r="BI45" s="43">
        <f t="shared" si="37"/>
        <v>1437143.5845297028</v>
      </c>
      <c r="BJ45" s="16">
        <f t="shared" si="17"/>
        <v>6222831.721013613</v>
      </c>
      <c r="BK45" s="16">
        <f t="shared" si="30"/>
        <v>691767409.7269738</v>
      </c>
      <c r="BL45" s="45">
        <v>159096000</v>
      </c>
      <c r="BM45" s="40">
        <v>1005</v>
      </c>
      <c r="BN45" s="40">
        <v>738</v>
      </c>
      <c r="BO45" s="13">
        <f>(0.1085*BM45/768)/((1-0.1085)+(0.1085*BM45/768))</f>
        <v>0.13738252230493458</v>
      </c>
      <c r="BP45" s="13">
        <f>2.8/4</f>
        <v>0.7</v>
      </c>
      <c r="BQ45" s="42">
        <v>1195015</v>
      </c>
      <c r="BR45" s="46">
        <v>4445773</v>
      </c>
      <c r="BS45" s="43">
        <f t="shared" si="41"/>
        <v>3019987.595619073</v>
      </c>
      <c r="BT45" s="44">
        <v>25.23</v>
      </c>
      <c r="BU45" s="16">
        <f t="shared" si="38"/>
        <v>76194287.03746922</v>
      </c>
      <c r="BV45" s="17">
        <f t="shared" si="39"/>
        <v>767961696.764443</v>
      </c>
      <c r="BW45" s="48">
        <f t="shared" si="18"/>
        <v>0.04991865168589358</v>
      </c>
      <c r="BX45" s="18">
        <f t="shared" si="40"/>
        <v>0.04991865168589358</v>
      </c>
      <c r="BY45" s="49">
        <v>0.05298381255223345</v>
      </c>
    </row>
    <row r="46" spans="1:77" ht="12.75">
      <c r="A46" s="39" t="s">
        <v>183</v>
      </c>
      <c r="B46" s="28">
        <v>3</v>
      </c>
      <c r="C46" s="28">
        <v>7</v>
      </c>
      <c r="D46" s="28">
        <v>7</v>
      </c>
      <c r="E46" s="40">
        <v>3753</v>
      </c>
      <c r="F46" s="41">
        <v>3752</v>
      </c>
      <c r="G46" s="45">
        <v>1767000</v>
      </c>
      <c r="H46" s="13">
        <f>((1*$E46)/2540)/((1-1)+(1*$E46)/2540)</f>
        <v>1</v>
      </c>
      <c r="I46" s="19">
        <v>55</v>
      </c>
      <c r="J46" s="42">
        <v>10</v>
      </c>
      <c r="K46" s="13">
        <f>73.9/75</f>
        <v>0.9853333333333334</v>
      </c>
      <c r="L46" s="43">
        <f t="shared" si="32"/>
        <v>316476.37855775986</v>
      </c>
      <c r="M46" s="44" t="s">
        <v>148</v>
      </c>
      <c r="N46" s="16">
        <f t="shared" si="31"/>
        <v>0</v>
      </c>
      <c r="O46" s="45">
        <v>62883000</v>
      </c>
      <c r="P46" s="13">
        <f>(0.6175*E46/2540)/((1-0.6175)+(0.6175*E46/2540))</f>
        <v>0.7046087331285615</v>
      </c>
      <c r="Q46" s="46">
        <v>809732</v>
      </c>
      <c r="R46" s="42">
        <v>207605</v>
      </c>
      <c r="S46" s="13">
        <f>45.6/48.7</f>
        <v>0.9363449691991786</v>
      </c>
      <c r="T46" s="43">
        <f t="shared" si="23"/>
        <v>10634031.132175649</v>
      </c>
      <c r="U46" s="44">
        <v>7.3</v>
      </c>
      <c r="V46" s="16">
        <f t="shared" si="24"/>
        <v>77628427.26488224</v>
      </c>
      <c r="W46" s="45">
        <v>11000</v>
      </c>
      <c r="X46" s="47">
        <v>0.1223</v>
      </c>
      <c r="Y46" s="45">
        <f t="shared" si="16"/>
        <v>11612.24603</v>
      </c>
      <c r="Z46" s="13">
        <f>((1*$E46)/2540)/((1-1)+(1*$E46)/2540)</f>
        <v>1</v>
      </c>
      <c r="AA46" s="46">
        <v>1114</v>
      </c>
      <c r="AB46" s="42">
        <v>445</v>
      </c>
      <c r="AC46" s="13">
        <f>73.9/75</f>
        <v>0.9853333333333334</v>
      </c>
      <c r="AD46" s="43">
        <f t="shared" si="33"/>
        <v>4569.392759024803</v>
      </c>
      <c r="AE46" s="44">
        <v>8.98</v>
      </c>
      <c r="AF46" s="16">
        <f t="shared" si="34"/>
        <v>41033.146976042735</v>
      </c>
      <c r="AG46" s="45">
        <v>51000</v>
      </c>
      <c r="AH46" s="13">
        <f>(1*E46/2540)/((1-1)+(1*E46/2540))</f>
        <v>1</v>
      </c>
      <c r="AI46" s="46">
        <v>1114</v>
      </c>
      <c r="AJ46" s="42">
        <v>445</v>
      </c>
      <c r="AK46" s="13">
        <f>32.4/31.1</f>
        <v>1.0418006430868165</v>
      </c>
      <c r="AL46" s="43">
        <f t="shared" si="25"/>
        <v>21218.46109274091</v>
      </c>
      <c r="AM46" s="44">
        <v>9.13</v>
      </c>
      <c r="AN46" s="16">
        <f t="shared" si="26"/>
        <v>193724.5497767245</v>
      </c>
      <c r="AO46" s="45">
        <v>5226000</v>
      </c>
      <c r="AP46" s="13">
        <f>(0.7276*E46/2540)/((1-0.7276)+(0.7276*E46/2540))</f>
        <v>0.7978436610429539</v>
      </c>
      <c r="AQ46" s="46">
        <v>148325</v>
      </c>
      <c r="AR46" s="42">
        <v>47465</v>
      </c>
      <c r="AS46" s="13">
        <f>33.8/45.1</f>
        <v>0.7494456762749445</v>
      </c>
      <c r="AT46" s="43">
        <f t="shared" si="27"/>
        <v>999702.4493300058</v>
      </c>
      <c r="AU46" s="44">
        <v>11.9</v>
      </c>
      <c r="AV46" s="16">
        <f t="shared" si="35"/>
        <v>11896459.14702707</v>
      </c>
      <c r="AW46" s="45">
        <v>62443000</v>
      </c>
      <c r="AX46" s="13">
        <f>(0.1013*E46/2540)/((1-0.1013)+(0.1013*E46/2540))</f>
        <v>0.14276998685143874</v>
      </c>
      <c r="AY46" s="46">
        <v>352291</v>
      </c>
      <c r="AZ46" s="42">
        <v>103000</v>
      </c>
      <c r="BA46" s="13">
        <f>12.1/13.5</f>
        <v>0.8962962962962963</v>
      </c>
      <c r="BB46" s="43">
        <f t="shared" si="28"/>
        <v>2335566.422909399</v>
      </c>
      <c r="BC46" s="44">
        <v>20.59</v>
      </c>
      <c r="BD46" s="16">
        <f t="shared" si="36"/>
        <v>48089312.64770453</v>
      </c>
      <c r="BE46" s="13">
        <f>0.79*(F46/2540)</f>
        <v>1.1669606299212598</v>
      </c>
      <c r="BF46" s="46">
        <v>24310</v>
      </c>
      <c r="BG46" s="45">
        <f t="shared" si="29"/>
        <v>28368.812913385827</v>
      </c>
      <c r="BH46" s="13">
        <f>0.73/0.79</f>
        <v>0.9240506329113923</v>
      </c>
      <c r="BI46" s="43">
        <f t="shared" si="37"/>
        <v>524284.39055118104</v>
      </c>
      <c r="BJ46" s="16">
        <f t="shared" si="17"/>
        <v>2270151.411086614</v>
      </c>
      <c r="BK46" s="16">
        <f t="shared" si="30"/>
        <v>140119108.16745323</v>
      </c>
      <c r="BL46" s="45">
        <v>62443000</v>
      </c>
      <c r="BM46" s="40">
        <v>1824</v>
      </c>
      <c r="BN46" s="40">
        <v>1876</v>
      </c>
      <c r="BO46" s="13">
        <f>(0.2475*BM46/2347)/((1-0.2475)+(0.2475*BM46/2347))</f>
        <v>0.20357533006472212</v>
      </c>
      <c r="BP46" s="13">
        <f>8.4/11.1</f>
        <v>0.7567567567567568</v>
      </c>
      <c r="BQ46" s="42">
        <v>369600</v>
      </c>
      <c r="BR46" s="46">
        <v>1342293</v>
      </c>
      <c r="BS46" s="43">
        <f t="shared" si="41"/>
        <v>2724318.328137111</v>
      </c>
      <c r="BT46" s="44">
        <v>20.59</v>
      </c>
      <c r="BU46" s="16">
        <f t="shared" si="38"/>
        <v>56093714.376343116</v>
      </c>
      <c r="BV46" s="17">
        <f t="shared" si="39"/>
        <v>196212822.54379636</v>
      </c>
      <c r="BW46" s="48">
        <f t="shared" si="18"/>
        <v>0.012754125090009718</v>
      </c>
      <c r="BX46" s="18">
        <f t="shared" si="40"/>
        <v>0.012754125090009718</v>
      </c>
      <c r="BY46" s="49">
        <v>0.013537268139551433</v>
      </c>
    </row>
    <row r="47" spans="1:77" ht="12.75">
      <c r="A47" s="53" t="s">
        <v>184</v>
      </c>
      <c r="B47" s="28">
        <v>4</v>
      </c>
      <c r="C47" s="28">
        <v>3</v>
      </c>
      <c r="D47" s="28">
        <v>3</v>
      </c>
      <c r="E47" s="40">
        <v>4964</v>
      </c>
      <c r="F47" s="41">
        <v>5150</v>
      </c>
      <c r="G47" s="45">
        <v>8000</v>
      </c>
      <c r="H47" s="13">
        <f>((0.8344*$E47)/3646)/((1-0.8344)+(0.8344*$E47)/3646)</f>
        <v>0.8727748039757431</v>
      </c>
      <c r="I47" s="19">
        <v>102</v>
      </c>
      <c r="J47" s="42">
        <v>45</v>
      </c>
      <c r="K47" s="13">
        <v>1</v>
      </c>
      <c r="L47" s="43">
        <f t="shared" si="32"/>
        <v>3195.802891744141</v>
      </c>
      <c r="M47" s="44">
        <v>3.72</v>
      </c>
      <c r="N47" s="16">
        <f t="shared" si="31"/>
        <v>11888.386757288206</v>
      </c>
      <c r="O47" s="45">
        <v>40720000</v>
      </c>
      <c r="P47" s="13">
        <f>(0.6525*E47/3646)/((1-0.6525)+(0.6525*E47/3646))</f>
        <v>0.7188223688663657</v>
      </c>
      <c r="Q47" s="46">
        <v>459820</v>
      </c>
      <c r="R47" s="42">
        <v>78435</v>
      </c>
      <c r="S47" s="13">
        <f>32.4/34.4</f>
        <v>0.9418604651162791</v>
      </c>
      <c r="T47" s="43">
        <f t="shared" si="23"/>
        <v>4878804.551625828</v>
      </c>
      <c r="U47" s="44">
        <v>7.89</v>
      </c>
      <c r="V47" s="16">
        <f t="shared" si="24"/>
        <v>38493767.91232778</v>
      </c>
      <c r="W47" s="45">
        <v>3754000</v>
      </c>
      <c r="X47" s="47">
        <v>0</v>
      </c>
      <c r="Y47" s="45">
        <f t="shared" si="16"/>
        <v>3754000</v>
      </c>
      <c r="Z47" s="13">
        <f>((0.8344*$E47)/3646)/((1-0.8344)+(0.8344*$E47)/3646)</f>
        <v>0.8727748039757431</v>
      </c>
      <c r="AA47" s="46">
        <v>91842</v>
      </c>
      <c r="AB47" s="42">
        <v>19180</v>
      </c>
      <c r="AC47" s="13">
        <v>1</v>
      </c>
      <c r="AD47" s="43">
        <f t="shared" si="33"/>
        <v>709870.608358446</v>
      </c>
      <c r="AE47" s="44">
        <v>9.86</v>
      </c>
      <c r="AF47" s="16">
        <f t="shared" si="34"/>
        <v>6999324.198414277</v>
      </c>
      <c r="AG47" s="45">
        <v>462000</v>
      </c>
      <c r="AH47" s="13">
        <f>(1*E47/4147)/((1-1)+(1*E47/4147))</f>
        <v>1</v>
      </c>
      <c r="AI47" s="46">
        <v>91842</v>
      </c>
      <c r="AJ47" s="42">
        <v>19180</v>
      </c>
      <c r="AK47" s="13">
        <f>39/40.8</f>
        <v>0.9558823529411765</v>
      </c>
      <c r="AL47" s="43">
        <f t="shared" si="25"/>
        <v>95681.7579495637</v>
      </c>
      <c r="AM47" s="44">
        <v>9.2</v>
      </c>
      <c r="AN47" s="16">
        <f t="shared" si="26"/>
        <v>880272.173135986</v>
      </c>
      <c r="AO47" s="45">
        <v>1674000</v>
      </c>
      <c r="AP47" s="13">
        <f>(0.6234*E47/3646)/((1-0.6234)+(0.6234*E47/3646))</f>
        <v>0.6926602789856984</v>
      </c>
      <c r="AQ47" s="46">
        <v>26243</v>
      </c>
      <c r="AR47" s="42">
        <v>8040</v>
      </c>
      <c r="AS47" s="13">
        <f>49.5/47.5</f>
        <v>1.0421052631578946</v>
      </c>
      <c r="AT47" s="43">
        <f t="shared" si="27"/>
        <v>384065.54779229924</v>
      </c>
      <c r="AU47" s="44">
        <v>14.73</v>
      </c>
      <c r="AV47" s="16">
        <f t="shared" si="35"/>
        <v>5657285.518980568</v>
      </c>
      <c r="AW47" s="45">
        <v>61613000</v>
      </c>
      <c r="AX47" s="13">
        <f>(0.1914*E47/3646)/((1-0.1914)+(0.1914*E47/3646))</f>
        <v>0.2437262605940714</v>
      </c>
      <c r="AY47" s="46">
        <v>648898</v>
      </c>
      <c r="AZ47" s="42">
        <v>213545</v>
      </c>
      <c r="BA47" s="13">
        <f>8.2/10.9</f>
        <v>0.7522935779816513</v>
      </c>
      <c r="BB47" s="43">
        <f t="shared" si="28"/>
        <v>3857007.320226831</v>
      </c>
      <c r="BC47" s="44">
        <v>17.23</v>
      </c>
      <c r="BD47" s="16">
        <f t="shared" si="36"/>
        <v>66456236.1275083</v>
      </c>
      <c r="BE47" s="13">
        <f>0.79*(F47/3646)</f>
        <v>1.1158804168952277</v>
      </c>
      <c r="BF47" s="46">
        <v>94328</v>
      </c>
      <c r="BG47" s="45">
        <f t="shared" si="29"/>
        <v>105258.76796489304</v>
      </c>
      <c r="BH47" s="13">
        <f>0.54/0.79</f>
        <v>0.6835443037974683</v>
      </c>
      <c r="BI47" s="43">
        <f t="shared" si="37"/>
        <v>1438980.6253428413</v>
      </c>
      <c r="BJ47" s="16">
        <f t="shared" si="17"/>
        <v>6230786.107734503</v>
      </c>
      <c r="BK47" s="16">
        <f t="shared" si="30"/>
        <v>124729560.4248587</v>
      </c>
      <c r="BL47" s="45">
        <v>61613000</v>
      </c>
      <c r="BM47" s="40">
        <v>275</v>
      </c>
      <c r="BN47" s="40">
        <v>237</v>
      </c>
      <c r="BO47" s="13">
        <f>(0.0591*BM47/684)/((1-0.0591)+(0.0591*BM47/684))</f>
        <v>0.02463141536409256</v>
      </c>
      <c r="BP47" s="13">
        <f>2.8/3.8</f>
        <v>0.7368421052631579</v>
      </c>
      <c r="BQ47" s="42">
        <v>350335</v>
      </c>
      <c r="BR47" s="46">
        <v>1333723</v>
      </c>
      <c r="BS47" s="43">
        <f t="shared" si="41"/>
        <v>253145.2000932695</v>
      </c>
      <c r="BT47" s="44">
        <v>17.23</v>
      </c>
      <c r="BU47" s="16">
        <f t="shared" si="38"/>
        <v>4361691.7976070335</v>
      </c>
      <c r="BV47" s="17">
        <f t="shared" si="39"/>
        <v>129091252.22246574</v>
      </c>
      <c r="BW47" s="48">
        <f t="shared" si="18"/>
        <v>0.008391123258541487</v>
      </c>
      <c r="BX47" s="18">
        <f t="shared" si="40"/>
        <v>0.008391123258541487</v>
      </c>
      <c r="BY47" s="49">
        <v>0.008906364391225843</v>
      </c>
    </row>
    <row r="48" spans="1:77" ht="12.75">
      <c r="A48" s="39" t="s">
        <v>185</v>
      </c>
      <c r="B48" s="28">
        <v>1</v>
      </c>
      <c r="C48" s="28">
        <v>2</v>
      </c>
      <c r="D48" s="28">
        <v>2</v>
      </c>
      <c r="E48" s="40">
        <v>5464</v>
      </c>
      <c r="F48" s="41">
        <v>5913</v>
      </c>
      <c r="G48" s="45">
        <v>16897000</v>
      </c>
      <c r="H48" s="13">
        <f>((0.8386*$E48)/6567)/((1-0.8386)+(0.8386*$E48)/6567)</f>
        <v>0.8121394445631764</v>
      </c>
      <c r="I48" s="46">
        <v>67986</v>
      </c>
      <c r="J48" s="42">
        <v>18705</v>
      </c>
      <c r="K48" s="13">
        <f>75.3/84.9</f>
        <v>0.8869257950530034</v>
      </c>
      <c r="L48" s="43">
        <f t="shared" si="32"/>
        <v>3623789.0227447655</v>
      </c>
      <c r="M48" s="44">
        <v>2.51</v>
      </c>
      <c r="N48" s="16">
        <f t="shared" si="31"/>
        <v>9095710.447089361</v>
      </c>
      <c r="O48" s="45">
        <v>250173000</v>
      </c>
      <c r="P48" s="13">
        <f>(0.7753*E48/6567)/((1-0.7753)+(0.7753*E48/6567))</f>
        <v>0.7416587578081831</v>
      </c>
      <c r="Q48" s="46">
        <v>2452941</v>
      </c>
      <c r="R48" s="42">
        <v>717210</v>
      </c>
      <c r="S48" s="13">
        <f>66.4/79.3</f>
        <v>0.8373266078184112</v>
      </c>
      <c r="T48" s="43">
        <f t="shared" si="23"/>
        <v>49158189.59226031</v>
      </c>
      <c r="U48" s="44">
        <v>8.2</v>
      </c>
      <c r="V48" s="16">
        <f t="shared" si="24"/>
        <v>403097154.6565345</v>
      </c>
      <c r="W48" s="45">
        <v>112306000</v>
      </c>
      <c r="X48" s="47">
        <v>0.2392</v>
      </c>
      <c r="Y48" s="45">
        <f t="shared" si="16"/>
        <v>124531622.17552</v>
      </c>
      <c r="Z48" s="13">
        <f>((0.8386*$E48)/6567)/((1-0.8386)+(0.8386*$E48)/6567)</f>
        <v>0.8121394445631764</v>
      </c>
      <c r="AA48" s="46">
        <v>1217155</v>
      </c>
      <c r="AB48" s="42">
        <v>321215</v>
      </c>
      <c r="AC48" s="13">
        <f>75.3/84.9</f>
        <v>0.8869257950530034</v>
      </c>
      <c r="AD48" s="43">
        <f t="shared" si="33"/>
        <v>25617966.529803235</v>
      </c>
      <c r="AE48" s="44">
        <v>9.35</v>
      </c>
      <c r="AF48" s="16">
        <f t="shared" si="34"/>
        <v>239527987.05366024</v>
      </c>
      <c r="AG48" s="45">
        <v>14276000</v>
      </c>
      <c r="AH48" s="13">
        <f>(0.9809*E48/6567)/((1-0.9809)+(0.9809*E48/6567))</f>
        <v>0.9771325139438125</v>
      </c>
      <c r="AI48" s="46">
        <v>1217155</v>
      </c>
      <c r="AJ48" s="42">
        <v>321215</v>
      </c>
      <c r="AK48" s="13">
        <f>58.5/66.5</f>
        <v>0.8796992481203008</v>
      </c>
      <c r="AL48" s="43">
        <f t="shared" si="25"/>
        <v>3504623.2933081007</v>
      </c>
      <c r="AM48" s="44">
        <v>9.34</v>
      </c>
      <c r="AN48" s="16">
        <f t="shared" si="26"/>
        <v>32733181.55949766</v>
      </c>
      <c r="AO48" s="45">
        <v>11589000</v>
      </c>
      <c r="AP48" s="13">
        <f>(0.5809*E48/6567)/((1-0.5809)+(0.5809*E48/6567))</f>
        <v>0.5355879914495251</v>
      </c>
      <c r="AQ48" s="46">
        <v>145254</v>
      </c>
      <c r="AR48" s="42">
        <v>42175</v>
      </c>
      <c r="AS48" s="13">
        <f>56.9/75.2</f>
        <v>0.7566489361702127</v>
      </c>
      <c r="AT48" s="43">
        <f t="shared" si="27"/>
        <v>1475690.8976213776</v>
      </c>
      <c r="AU48" s="44">
        <v>17.42</v>
      </c>
      <c r="AV48" s="16">
        <f t="shared" si="35"/>
        <v>25706535.4365644</v>
      </c>
      <c r="AW48" s="45">
        <v>140724000</v>
      </c>
      <c r="AX48" s="13">
        <f>(0.0966*E48/6567)/((1-0.0966)+(0.0966*E48/6567))</f>
        <v>0.08170056012505136</v>
      </c>
      <c r="AY48" s="46">
        <v>786648</v>
      </c>
      <c r="AZ48" s="42">
        <v>214355</v>
      </c>
      <c r="BA48" s="13">
        <f>14/22.3</f>
        <v>0.6278026905829596</v>
      </c>
      <c r="BB48" s="43">
        <f t="shared" si="28"/>
        <v>2128466.119418079</v>
      </c>
      <c r="BC48" s="44">
        <v>27.94</v>
      </c>
      <c r="BD48" s="16">
        <f t="shared" si="36"/>
        <v>59469343.37654113</v>
      </c>
      <c r="BE48" s="13">
        <f>1.33*(F48/6567)</f>
        <v>1.1975468250342622</v>
      </c>
      <c r="BF48" s="46">
        <v>76060</v>
      </c>
      <c r="BG48" s="45">
        <f t="shared" si="29"/>
        <v>91085.41151210599</v>
      </c>
      <c r="BH48" s="13">
        <f>1.34/1.33</f>
        <v>1.0075187969924813</v>
      </c>
      <c r="BI48" s="43">
        <f t="shared" si="37"/>
        <v>1835405.2846048425</v>
      </c>
      <c r="BJ48" s="16">
        <f t="shared" si="17"/>
        <v>7947304.882338968</v>
      </c>
      <c r="BK48" s="16">
        <f t="shared" si="30"/>
        <v>777577217.4122264</v>
      </c>
      <c r="BL48" s="45">
        <v>140724000</v>
      </c>
      <c r="BM48" s="40">
        <v>887</v>
      </c>
      <c r="BN48" s="40">
        <v>661</v>
      </c>
      <c r="BO48" s="13">
        <f>(0.0703*BM48/641)/((1-0.0703)+(0.0703*BM48/641))</f>
        <v>0.09472381480730944</v>
      </c>
      <c r="BP48" s="13">
        <f>1.6/2.5</f>
        <v>0.64</v>
      </c>
      <c r="BQ48" s="42">
        <v>1347235</v>
      </c>
      <c r="BR48" s="46">
        <v>4777003</v>
      </c>
      <c r="BS48" s="43">
        <f t="shared" si="41"/>
        <v>1792969.93707874</v>
      </c>
      <c r="BT48" s="44">
        <v>27.94</v>
      </c>
      <c r="BU48" s="16">
        <f t="shared" si="38"/>
        <v>50095580.04198</v>
      </c>
      <c r="BV48" s="17">
        <f t="shared" si="39"/>
        <v>827672797.4542065</v>
      </c>
      <c r="BW48" s="48">
        <f t="shared" si="18"/>
        <v>0.053799961977372725</v>
      </c>
      <c r="BX48" s="18">
        <f t="shared" si="40"/>
        <v>0.053799961977372725</v>
      </c>
      <c r="BY48" s="49">
        <v>0.05710344739803797</v>
      </c>
    </row>
    <row r="49" spans="1:77" ht="12.75">
      <c r="A49" s="39" t="s">
        <v>186</v>
      </c>
      <c r="B49" s="28">
        <v>1</v>
      </c>
      <c r="C49" s="28">
        <v>3</v>
      </c>
      <c r="D49" s="28">
        <v>3</v>
      </c>
      <c r="E49" s="40">
        <v>5325</v>
      </c>
      <c r="F49" s="41">
        <v>5887</v>
      </c>
      <c r="G49" s="45">
        <v>43000</v>
      </c>
      <c r="H49" s="13">
        <f>((0.7621*$E49)/5456)/((1-0.7621)+(0.7621*$E49)/5456)</f>
        <v>0.7576657133913111</v>
      </c>
      <c r="I49" s="19">
        <v>323</v>
      </c>
      <c r="J49" s="42">
        <v>80</v>
      </c>
      <c r="K49" s="13">
        <f>75.3/84.9</f>
        <v>0.8869257950530034</v>
      </c>
      <c r="L49" s="43">
        <f t="shared" si="32"/>
        <v>7912.163707244458</v>
      </c>
      <c r="M49" s="44">
        <v>4.12</v>
      </c>
      <c r="N49" s="16">
        <f t="shared" si="31"/>
        <v>32598.11447384717</v>
      </c>
      <c r="O49" s="45">
        <v>16983000</v>
      </c>
      <c r="P49" s="13">
        <f>(0.7249*E49/5456)/((1-0.7249)+(0.7249*E49/5456))</f>
        <v>0.7200270596845786</v>
      </c>
      <c r="Q49" s="46">
        <v>189128</v>
      </c>
      <c r="R49" s="42">
        <v>67415</v>
      </c>
      <c r="S49" s="13">
        <f>66.4/79.3</f>
        <v>0.8373266078184112</v>
      </c>
      <c r="T49" s="43">
        <f t="shared" si="23"/>
        <v>4034904.4284788533</v>
      </c>
      <c r="U49" s="44">
        <v>9.47</v>
      </c>
      <c r="V49" s="16">
        <f t="shared" si="24"/>
        <v>38210544.93769474</v>
      </c>
      <c r="W49" s="45">
        <v>18515000</v>
      </c>
      <c r="X49" s="47">
        <v>0.2392</v>
      </c>
      <c r="Y49" s="45">
        <f t="shared" si="16"/>
        <v>20530541.4188</v>
      </c>
      <c r="Z49" s="13">
        <f>((0.7621*$E49)/5456)/((1-0.7621)+(0.7621*$E49)/5456)</f>
        <v>0.7576657133913111</v>
      </c>
      <c r="AA49" s="46">
        <v>171856</v>
      </c>
      <c r="AB49" s="42">
        <v>42210</v>
      </c>
      <c r="AC49" s="13">
        <f>75.3/84.9</f>
        <v>0.8869257950530034</v>
      </c>
      <c r="AD49" s="43">
        <f t="shared" si="33"/>
        <v>3746195.1703655384</v>
      </c>
      <c r="AE49" s="44">
        <v>9.71</v>
      </c>
      <c r="AF49" s="16">
        <f t="shared" si="34"/>
        <v>36375555.10424938</v>
      </c>
      <c r="AG49" s="45">
        <v>279000</v>
      </c>
      <c r="AH49" s="13">
        <f>(0.8907*E49/5456)/((1-0.8907)+(0.8907*E49/5456))</f>
        <v>0.8883114348136916</v>
      </c>
      <c r="AI49" s="46">
        <v>171856</v>
      </c>
      <c r="AJ49" s="42">
        <v>42210</v>
      </c>
      <c r="AK49" s="13">
        <f>58.5/66.5</f>
        <v>0.8796992481203008</v>
      </c>
      <c r="AL49" s="43">
        <f t="shared" si="25"/>
        <v>59200.96054561104</v>
      </c>
      <c r="AM49" s="44">
        <v>10.44</v>
      </c>
      <c r="AN49" s="16">
        <f t="shared" si="26"/>
        <v>618058.0280961792</v>
      </c>
      <c r="AO49" s="45">
        <v>1221000</v>
      </c>
      <c r="AP49" s="13">
        <f>(0.4827*E49/5456)/((1-0.4827)+(0.4827*E49/5456))</f>
        <v>0.47663432031163677</v>
      </c>
      <c r="AQ49" s="46">
        <v>10262</v>
      </c>
      <c r="AR49" s="42">
        <v>4225</v>
      </c>
      <c r="AS49" s="13">
        <f>56.9/75.2</f>
        <v>0.7566489361702127</v>
      </c>
      <c r="AT49" s="43">
        <f t="shared" si="27"/>
        <v>200430.83103195863</v>
      </c>
      <c r="AU49" s="44">
        <v>20.66</v>
      </c>
      <c r="AV49" s="16">
        <f t="shared" si="35"/>
        <v>4140900.9691202655</v>
      </c>
      <c r="AW49" s="45">
        <v>9085000</v>
      </c>
      <c r="AX49" s="13">
        <f>(0.1192*E49/5456)/((1-0.1192)+(0.1192*E49/5456))</f>
        <v>0.11667189423806933</v>
      </c>
      <c r="AY49" s="46">
        <v>31191</v>
      </c>
      <c r="AZ49" s="42">
        <v>14520</v>
      </c>
      <c r="BA49" s="13">
        <f>14/22.3</f>
        <v>0.6278026905829596</v>
      </c>
      <c r="BB49" s="43">
        <f t="shared" si="28"/>
        <v>342472.8079648184</v>
      </c>
      <c r="BC49" s="44">
        <v>33.06</v>
      </c>
      <c r="BD49" s="16">
        <f t="shared" si="36"/>
        <v>11322151.031316897</v>
      </c>
      <c r="BE49" s="13">
        <f>1.27*(F49/5456)</f>
        <v>1.370324413489736</v>
      </c>
      <c r="BF49" s="46">
        <v>3609</v>
      </c>
      <c r="BG49" s="45">
        <f t="shared" si="29"/>
        <v>4945.500808284458</v>
      </c>
      <c r="BH49" s="13">
        <f>0.67/1.27</f>
        <v>0.5275590551181103</v>
      </c>
      <c r="BI49" s="43">
        <f t="shared" si="37"/>
        <v>52180.874670087986</v>
      </c>
      <c r="BJ49" s="16">
        <f t="shared" si="17"/>
        <v>225943.18732148097</v>
      </c>
      <c r="BK49" s="16">
        <f t="shared" si="30"/>
        <v>90925751.37227279</v>
      </c>
      <c r="BL49" s="45">
        <v>9085000</v>
      </c>
      <c r="BM49" s="40">
        <v>649</v>
      </c>
      <c r="BN49" s="40">
        <v>477</v>
      </c>
      <c r="BO49" s="13">
        <f>(0.1103*BM49/1053)/((1-0.1103)+(0.10103*BM49/1053))</f>
        <v>0.07141170015754932</v>
      </c>
      <c r="BP49" s="13">
        <f>1.6/2.5</f>
        <v>0.64</v>
      </c>
      <c r="BQ49" s="42">
        <v>130110</v>
      </c>
      <c r="BR49" s="46">
        <v>408424</v>
      </c>
      <c r="BS49" s="43">
        <f t="shared" si="41"/>
        <v>97218.1568717017</v>
      </c>
      <c r="BT49" s="44">
        <v>33.06</v>
      </c>
      <c r="BU49" s="16">
        <f t="shared" si="38"/>
        <v>3214032.2661784585</v>
      </c>
      <c r="BV49" s="17">
        <f t="shared" si="39"/>
        <v>94139783.63845125</v>
      </c>
      <c r="BW49" s="48">
        <f t="shared" si="18"/>
        <v>0.006119225853362655</v>
      </c>
      <c r="BX49" s="18">
        <f t="shared" si="40"/>
        <v>0.006119225853362655</v>
      </c>
      <c r="BY49" s="49">
        <v>0.006494965401298457</v>
      </c>
    </row>
    <row r="50" spans="1:77" ht="12.75">
      <c r="A50" s="39" t="s">
        <v>187</v>
      </c>
      <c r="B50" s="28">
        <v>3</v>
      </c>
      <c r="C50" s="28">
        <v>7</v>
      </c>
      <c r="D50" s="28">
        <v>7</v>
      </c>
      <c r="E50" s="40">
        <v>2641</v>
      </c>
      <c r="F50" s="41">
        <v>2795</v>
      </c>
      <c r="G50" s="45">
        <v>8000</v>
      </c>
      <c r="H50" s="13">
        <f>((1*$E50)/2540)/((1-1)+(1*$E50)/2540)</f>
        <v>1</v>
      </c>
      <c r="I50" s="19">
        <v>183</v>
      </c>
      <c r="J50" s="42">
        <v>75</v>
      </c>
      <c r="K50" s="13">
        <f>73.9/75</f>
        <v>0.9853333333333334</v>
      </c>
      <c r="L50" s="43">
        <f t="shared" si="32"/>
        <v>3418.981467112764</v>
      </c>
      <c r="M50" s="44" t="s">
        <v>148</v>
      </c>
      <c r="N50" s="16">
        <f t="shared" si="31"/>
        <v>0</v>
      </c>
      <c r="O50" s="45">
        <v>26467000</v>
      </c>
      <c r="P50" s="13">
        <f>(0.6175*E50/2540)/((1-0.6175)+(0.6175*E50/2540))</f>
        <v>0.6266668716082566</v>
      </c>
      <c r="Q50" s="46">
        <v>402555</v>
      </c>
      <c r="R50" s="42">
        <v>104515</v>
      </c>
      <c r="S50" s="13">
        <f>45.6/48.7</f>
        <v>0.9363449691991786</v>
      </c>
      <c r="T50" s="43">
        <f t="shared" si="23"/>
        <v>4267211.277106968</v>
      </c>
      <c r="U50" s="44">
        <v>8.89</v>
      </c>
      <c r="V50" s="16">
        <f t="shared" si="24"/>
        <v>37935508.25348095</v>
      </c>
      <c r="W50" s="45">
        <v>2945000</v>
      </c>
      <c r="X50" s="47">
        <v>0.1223</v>
      </c>
      <c r="Y50" s="45">
        <f t="shared" si="16"/>
        <v>3108914.95985</v>
      </c>
      <c r="Z50" s="13">
        <f>((1*$E50)/2540)/((1-1)+(1*$E50)/2540)</f>
        <v>1</v>
      </c>
      <c r="AA50" s="46">
        <v>78331</v>
      </c>
      <c r="AB50" s="42">
        <v>35875</v>
      </c>
      <c r="AC50" s="13">
        <f>73.9/75</f>
        <v>0.9853333333333334</v>
      </c>
      <c r="AD50" s="43">
        <f t="shared" si="33"/>
        <v>1484785.328391357</v>
      </c>
      <c r="AE50" s="44">
        <v>10.66</v>
      </c>
      <c r="AF50" s="16">
        <f t="shared" si="34"/>
        <v>15827811.600651868</v>
      </c>
      <c r="AG50" s="45">
        <v>3133000</v>
      </c>
      <c r="AH50" s="13">
        <f>(1*E50/2540)/((1-1)+(1*E50/2540))</f>
        <v>1</v>
      </c>
      <c r="AI50" s="46">
        <v>78331</v>
      </c>
      <c r="AJ50" s="42">
        <v>35875</v>
      </c>
      <c r="AK50" s="13">
        <f>32.4/31.1</f>
        <v>1.0418006430868165</v>
      </c>
      <c r="AL50" s="43">
        <f t="shared" si="25"/>
        <v>1582037.1075284816</v>
      </c>
      <c r="AM50" s="44">
        <v>9.71</v>
      </c>
      <c r="AN50" s="16">
        <f t="shared" si="26"/>
        <v>15361580.314101558</v>
      </c>
      <c r="AO50" s="45">
        <v>6727000</v>
      </c>
      <c r="AP50" s="13">
        <f>(0.7276*E50/2540)/((1-0.7276)+(0.7276*E50/2540))</f>
        <v>0.7352595053445059</v>
      </c>
      <c r="AQ50" s="46">
        <v>131334</v>
      </c>
      <c r="AR50" s="42">
        <v>49100</v>
      </c>
      <c r="AS50" s="13">
        <f>33.8/45.1</f>
        <v>0.7494456762749445</v>
      </c>
      <c r="AT50" s="43">
        <f t="shared" si="27"/>
        <v>1466627.9772638564</v>
      </c>
      <c r="AU50" s="44">
        <v>16.4</v>
      </c>
      <c r="AV50" s="16">
        <f t="shared" si="35"/>
        <v>24052698.827127244</v>
      </c>
      <c r="AW50" s="45">
        <v>80860000</v>
      </c>
      <c r="AX50" s="13">
        <f>(0.1013*E50/2540)/((1-0.1013)+(0.1013*E50/2540))</f>
        <v>0.10490550406153355</v>
      </c>
      <c r="AY50" s="46">
        <v>895132</v>
      </c>
      <c r="AZ50" s="42">
        <v>237860</v>
      </c>
      <c r="BA50" s="13">
        <f>12.1/13.5</f>
        <v>0.8962962962962963</v>
      </c>
      <c r="BB50" s="43">
        <f t="shared" si="28"/>
        <v>2138116.4569832515</v>
      </c>
      <c r="BC50" s="44">
        <v>22.22</v>
      </c>
      <c r="BD50" s="16">
        <f t="shared" si="36"/>
        <v>47508947.67416785</v>
      </c>
      <c r="BE50" s="13">
        <f>0.79*(F50/2540)</f>
        <v>0.8693110236220473</v>
      </c>
      <c r="BF50" s="46">
        <v>19290</v>
      </c>
      <c r="BG50" s="45">
        <f t="shared" si="29"/>
        <v>16769.00964566929</v>
      </c>
      <c r="BH50" s="13">
        <f>0.73/0.79</f>
        <v>0.9240506329113923</v>
      </c>
      <c r="BI50" s="43">
        <f t="shared" si="37"/>
        <v>309908.279527559</v>
      </c>
      <c r="BJ50" s="16">
        <f t="shared" si="17"/>
        <v>1341902.8503543306</v>
      </c>
      <c r="BK50" s="16">
        <f t="shared" si="30"/>
        <v>142028449.5198838</v>
      </c>
      <c r="BL50" s="45">
        <v>80860000</v>
      </c>
      <c r="BM50" s="40">
        <v>2054</v>
      </c>
      <c r="BN50" s="40">
        <v>1800</v>
      </c>
      <c r="BO50" s="13">
        <f>(0.2475*BM50/2347)/((1-0.2475)+(0.2475*BM50/2347))</f>
        <v>0.22350798478335185</v>
      </c>
      <c r="BP50" s="13">
        <f>8.4/11.1</f>
        <v>0.7567567567567568</v>
      </c>
      <c r="BQ50" s="42">
        <v>438445</v>
      </c>
      <c r="BR50" s="46">
        <v>1533854</v>
      </c>
      <c r="BS50" s="43">
        <f t="shared" si="41"/>
        <v>3425991.2662291825</v>
      </c>
      <c r="BT50" s="44">
        <v>22.22</v>
      </c>
      <c r="BU50" s="16">
        <f t="shared" si="38"/>
        <v>76125525.93561243</v>
      </c>
      <c r="BV50" s="17">
        <f t="shared" si="39"/>
        <v>218153975.45549625</v>
      </c>
      <c r="BW50" s="48">
        <f t="shared" si="18"/>
        <v>0.014180332639683943</v>
      </c>
      <c r="BX50" s="18">
        <f t="shared" si="40"/>
        <v>0.014180332639683943</v>
      </c>
      <c r="BY50" s="49">
        <v>0.015051049279875647</v>
      </c>
    </row>
    <row r="51" spans="1:77" ht="12.75">
      <c r="A51" s="39" t="s">
        <v>188</v>
      </c>
      <c r="B51" s="28">
        <v>2</v>
      </c>
      <c r="C51" s="28">
        <v>1</v>
      </c>
      <c r="D51" s="28">
        <v>1</v>
      </c>
      <c r="E51" s="40">
        <v>7521</v>
      </c>
      <c r="F51" s="41">
        <v>7848</v>
      </c>
      <c r="G51" s="45">
        <v>6000</v>
      </c>
      <c r="H51" s="13">
        <f>((0.9844*$E51)/7780)/((1-0.9844)+(0.9844*$E51)/7780)</f>
        <v>0.9838714487167405</v>
      </c>
      <c r="I51" s="19">
        <v>363</v>
      </c>
      <c r="J51" s="42">
        <v>125</v>
      </c>
      <c r="K51" s="13">
        <f>78.8/78.8</f>
        <v>1</v>
      </c>
      <c r="L51" s="43">
        <f t="shared" si="32"/>
        <v>2121.174521128438</v>
      </c>
      <c r="M51" s="44">
        <v>2.69</v>
      </c>
      <c r="N51" s="16">
        <f t="shared" si="31"/>
        <v>5705.959461835498</v>
      </c>
      <c r="O51" s="45">
        <v>11837000</v>
      </c>
      <c r="P51" s="13">
        <f>(0.8086*E51/7780)/((1-0.8086)+(0.8086*E51/7780))</f>
        <v>0.8033052347982238</v>
      </c>
      <c r="Q51" s="46">
        <v>140310</v>
      </c>
      <c r="R51" s="42">
        <v>26350</v>
      </c>
      <c r="S51" s="13">
        <f>82.8/83.8</f>
        <v>0.9880668257756563</v>
      </c>
      <c r="T51" s="43">
        <f t="shared" si="23"/>
        <v>1841127.917892253</v>
      </c>
      <c r="U51" s="44">
        <v>7.3</v>
      </c>
      <c r="V51" s="16">
        <f t="shared" si="24"/>
        <v>13440233.800613446</v>
      </c>
      <c r="W51" s="45">
        <v>1783000</v>
      </c>
      <c r="X51" s="47">
        <v>0</v>
      </c>
      <c r="Y51" s="45">
        <f t="shared" si="16"/>
        <v>1783000</v>
      </c>
      <c r="Z51" s="13">
        <f>((0.9844*$E51)/7780)/((1-0.9844)+(0.9844*$E51)/7780)</f>
        <v>0.9838714487167405</v>
      </c>
      <c r="AA51" s="46">
        <v>20423</v>
      </c>
      <c r="AB51" s="42">
        <v>5840</v>
      </c>
      <c r="AC51" s="13">
        <f>78.8/78.8</f>
        <v>1</v>
      </c>
      <c r="AD51" s="43">
        <f t="shared" si="33"/>
        <v>523439.4084154112</v>
      </c>
      <c r="AE51" s="44">
        <v>8.94</v>
      </c>
      <c r="AF51" s="16">
        <f t="shared" si="34"/>
        <v>4679548.311233776</v>
      </c>
      <c r="AG51" s="45">
        <v>24000</v>
      </c>
      <c r="AH51" s="13">
        <f>(1*E51/7780)/((1-1)+(1*E51/7780))</f>
        <v>1</v>
      </c>
      <c r="AI51" s="46">
        <v>20423</v>
      </c>
      <c r="AJ51" s="42">
        <v>5840</v>
      </c>
      <c r="AK51" s="13">
        <v>1</v>
      </c>
      <c r="AL51" s="43">
        <f t="shared" si="25"/>
        <v>7161.2355209067355</v>
      </c>
      <c r="AM51" s="44">
        <v>9.09</v>
      </c>
      <c r="AN51" s="16">
        <f t="shared" si="26"/>
        <v>65095.63088504222</v>
      </c>
      <c r="AO51" s="45">
        <v>5954000</v>
      </c>
      <c r="AP51" s="13">
        <f>(0.8215*E51/7780)/((1-0.8215)+(0.8215*E51/7780))</f>
        <v>0.8164811001222838</v>
      </c>
      <c r="AQ51" s="46">
        <v>62962</v>
      </c>
      <c r="AR51" s="42">
        <v>19215</v>
      </c>
      <c r="AS51" s="13">
        <f>69.2/70</f>
        <v>0.9885714285714287</v>
      </c>
      <c r="AT51" s="43">
        <f t="shared" si="27"/>
        <v>1530411.7816511143</v>
      </c>
      <c r="AU51" s="44">
        <v>10.37</v>
      </c>
      <c r="AV51" s="16">
        <f t="shared" si="35"/>
        <v>15870370.175722055</v>
      </c>
      <c r="AW51" s="45">
        <v>11267000</v>
      </c>
      <c r="AX51" s="13">
        <f>(0.0413*E51/7780)/((1-0.0413)+(0.0413*E51/7780))</f>
        <v>0.03998007131475997</v>
      </c>
      <c r="AY51" s="46">
        <v>57285</v>
      </c>
      <c r="AZ51" s="42">
        <v>19460</v>
      </c>
      <c r="BA51" s="13">
        <f>14.1/21.1</f>
        <v>0.6682464454976302</v>
      </c>
      <c r="BB51" s="43">
        <f t="shared" si="28"/>
        <v>106702.31460834929</v>
      </c>
      <c r="BC51" s="44">
        <v>21.74</v>
      </c>
      <c r="BD51" s="16">
        <f t="shared" si="36"/>
        <v>2319708.3195855133</v>
      </c>
      <c r="BE51" s="13">
        <f>2.45*(F51/7780)</f>
        <v>2.4714138817480724</v>
      </c>
      <c r="BF51" s="46">
        <v>4886</v>
      </c>
      <c r="BG51" s="45">
        <f t="shared" si="29"/>
        <v>12075.328226221081</v>
      </c>
      <c r="BH51" s="13">
        <f>3.79/2.45</f>
        <v>1.546938775510204</v>
      </c>
      <c r="BI51" s="43">
        <f t="shared" si="37"/>
        <v>373595.86920308485</v>
      </c>
      <c r="BJ51" s="16">
        <f t="shared" si="17"/>
        <v>1617670.1136493573</v>
      </c>
      <c r="BK51" s="16">
        <f t="shared" si="30"/>
        <v>37998332.311151035</v>
      </c>
      <c r="BL51" s="45">
        <v>11267000</v>
      </c>
      <c r="BM51" s="40">
        <v>925</v>
      </c>
      <c r="BN51" s="40">
        <v>730</v>
      </c>
      <c r="BO51" s="13">
        <f>(0.0917*BM51/657)/((1-0.0917)+(0.0917*BM51/657))</f>
        <v>0.12445061120145734</v>
      </c>
      <c r="BP51" s="13">
        <f>2.8/4</f>
        <v>0.7</v>
      </c>
      <c r="BQ51" s="42">
        <v>74065</v>
      </c>
      <c r="BR51" s="46">
        <v>290245</v>
      </c>
      <c r="BS51" s="43">
        <f t="shared" si="41"/>
        <v>197666.36496816715</v>
      </c>
      <c r="BT51" s="44">
        <v>21.74</v>
      </c>
      <c r="BU51" s="16">
        <f t="shared" si="38"/>
        <v>4297266.774407954</v>
      </c>
      <c r="BV51" s="17">
        <f t="shared" si="39"/>
        <v>42295599.08555899</v>
      </c>
      <c r="BW51" s="48">
        <f t="shared" si="18"/>
        <v>0.002749276803118775</v>
      </c>
      <c r="BX51" s="18">
        <f t="shared" si="40"/>
        <v>0.002749276803118775</v>
      </c>
      <c r="BY51" s="49">
        <v>0.002918090971431679</v>
      </c>
    </row>
    <row r="52" spans="1:77" ht="12.75">
      <c r="A52" s="39" t="s">
        <v>189</v>
      </c>
      <c r="B52" s="28">
        <v>3</v>
      </c>
      <c r="C52" s="28">
        <v>4</v>
      </c>
      <c r="D52" s="28">
        <v>4</v>
      </c>
      <c r="E52" s="40">
        <v>3803</v>
      </c>
      <c r="F52" s="41">
        <v>4000</v>
      </c>
      <c r="G52" s="45">
        <v>1150000</v>
      </c>
      <c r="H52" s="13">
        <f>((1*$E52)/3300)/((1-1)+(1*$E52)/3300)</f>
        <v>1</v>
      </c>
      <c r="I52" s="46">
        <v>2661</v>
      </c>
      <c r="J52" s="42">
        <v>1635</v>
      </c>
      <c r="K52" s="13">
        <f>73.9/75</f>
        <v>0.9853333333333334</v>
      </c>
      <c r="L52" s="43">
        <f t="shared" si="32"/>
        <v>732297.5206088906</v>
      </c>
      <c r="M52" s="44">
        <v>1.65</v>
      </c>
      <c r="N52" s="16">
        <f t="shared" si="31"/>
        <v>1208290.9090046694</v>
      </c>
      <c r="O52" s="45">
        <v>60576000</v>
      </c>
      <c r="P52" s="13">
        <f>(0.7073*E52/3300)/((1-0.7073)+(0.7073*E52/3300))</f>
        <v>0.7357849377856425</v>
      </c>
      <c r="Q52" s="46">
        <v>804572</v>
      </c>
      <c r="R52" s="42">
        <v>180725</v>
      </c>
      <c r="S52" s="13">
        <f>45.6/48.7</f>
        <v>0.9363449691991786</v>
      </c>
      <c r="T52" s="43">
        <f t="shared" si="23"/>
        <v>9859941.804932486</v>
      </c>
      <c r="U52" s="44">
        <v>7.21</v>
      </c>
      <c r="V52" s="16">
        <f t="shared" si="24"/>
        <v>71090180.41356322</v>
      </c>
      <c r="W52" s="45">
        <v>1223000</v>
      </c>
      <c r="X52" s="47">
        <v>0.1223</v>
      </c>
      <c r="Y52" s="45">
        <f t="shared" si="16"/>
        <v>1291070.6267900001</v>
      </c>
      <c r="Z52" s="13">
        <f>((1*$E52)/3300)/((1-1)+(1*$E52)/3300)</f>
        <v>1</v>
      </c>
      <c r="AA52" s="46">
        <v>40580</v>
      </c>
      <c r="AB52" s="42">
        <v>19610</v>
      </c>
      <c r="AC52" s="13">
        <f>73.9/75</f>
        <v>0.9853333333333334</v>
      </c>
      <c r="AD52" s="43">
        <f t="shared" si="33"/>
        <v>646595.0751912695</v>
      </c>
      <c r="AE52" s="44">
        <v>10.9</v>
      </c>
      <c r="AF52" s="16">
        <f t="shared" si="34"/>
        <v>7047886.319584838</v>
      </c>
      <c r="AG52" s="45">
        <v>2399000</v>
      </c>
      <c r="AH52" s="13">
        <f>(0.9779*E52/3300)/((1-0.9779)+(0.9779*E52/3300))</f>
        <v>0.9807668151847589</v>
      </c>
      <c r="AI52" s="46">
        <v>40580</v>
      </c>
      <c r="AJ52" s="42">
        <v>19610</v>
      </c>
      <c r="AK52" s="13">
        <f>32.4/31.1</f>
        <v>1.0418006430868165</v>
      </c>
      <c r="AL52" s="43">
        <f t="shared" si="25"/>
        <v>1245890.4269440009</v>
      </c>
      <c r="AM52" s="44">
        <v>8.58</v>
      </c>
      <c r="AN52" s="16">
        <f t="shared" si="26"/>
        <v>10689739.863179527</v>
      </c>
      <c r="AO52" s="45">
        <v>9159000</v>
      </c>
      <c r="AP52" s="13">
        <f>(0.8985*E52/3300)/((1-0.8985)+(0.8985*E52/3300))</f>
        <v>0.9107263151876805</v>
      </c>
      <c r="AQ52" s="46">
        <v>161554</v>
      </c>
      <c r="AR52" s="42">
        <v>47570</v>
      </c>
      <c r="AS52" s="13">
        <f>33.8/45.1</f>
        <v>0.7494456762749445</v>
      </c>
      <c r="AT52" s="43">
        <f t="shared" si="27"/>
        <v>1936088.4981315902</v>
      </c>
      <c r="AU52" s="44">
        <v>15.24</v>
      </c>
      <c r="AV52" s="16">
        <f t="shared" si="35"/>
        <v>29505988.711525436</v>
      </c>
      <c r="AW52" s="45">
        <v>120870000</v>
      </c>
      <c r="AX52" s="13">
        <f>(0.1343*E52/3300)/((1-0.1343)+(0.1343*E52/3300))</f>
        <v>0.15166588771330067</v>
      </c>
      <c r="AY52" s="46">
        <v>1164333</v>
      </c>
      <c r="AZ52" s="42">
        <v>342720</v>
      </c>
      <c r="BA52" s="13">
        <f>12.1/13.5</f>
        <v>0.8962962962962963</v>
      </c>
      <c r="BB52" s="43">
        <f t="shared" si="28"/>
        <v>5086908.710034158</v>
      </c>
      <c r="BC52" s="44">
        <v>18.54</v>
      </c>
      <c r="BD52" s="16">
        <f t="shared" si="36"/>
        <v>94311287.48403329</v>
      </c>
      <c r="BE52" s="13">
        <f>0.91*(F52/3300)</f>
        <v>1.103030303030303</v>
      </c>
      <c r="BF52" s="46">
        <v>50891</v>
      </c>
      <c r="BG52" s="45">
        <f t="shared" si="29"/>
        <v>56134.315151515155</v>
      </c>
      <c r="BH52" s="13">
        <f>1.17/0.91</f>
        <v>1.2857142857142856</v>
      </c>
      <c r="BI52" s="43">
        <f t="shared" si="37"/>
        <v>1443453.8181818181</v>
      </c>
      <c r="BJ52" s="16">
        <f t="shared" si="17"/>
        <v>6250155.032727272</v>
      </c>
      <c r="BK52" s="16">
        <f t="shared" si="30"/>
        <v>220103528.73361826</v>
      </c>
      <c r="BL52" s="45">
        <v>120870000</v>
      </c>
      <c r="BM52" s="40">
        <v>1583</v>
      </c>
      <c r="BN52" s="40">
        <v>1349</v>
      </c>
      <c r="BO52" s="13">
        <f>(0.1862*BM52/1675)/((1-0.1862)+(0.1862*BM52/1675))</f>
        <v>0.1777911845418964</v>
      </c>
      <c r="BP52" s="13">
        <f>8.4/11.1</f>
        <v>0.7567567567567568</v>
      </c>
      <c r="BQ52" s="42">
        <v>618095</v>
      </c>
      <c r="BR52" s="46">
        <v>2232905</v>
      </c>
      <c r="BS52" s="43">
        <f t="shared" si="41"/>
        <v>3836198.5061554504</v>
      </c>
      <c r="BT52" s="44">
        <v>18.54</v>
      </c>
      <c r="BU52" s="16">
        <f t="shared" si="38"/>
        <v>71123120.30412205</v>
      </c>
      <c r="BV52" s="17">
        <f t="shared" si="39"/>
        <v>291226649.0377403</v>
      </c>
      <c r="BW52" s="48">
        <f t="shared" si="18"/>
        <v>0.018930165028040537</v>
      </c>
      <c r="BX52" s="18">
        <f t="shared" si="40"/>
        <v>0.018930165028040537</v>
      </c>
      <c r="BY52" s="49">
        <v>0.02009253618747036</v>
      </c>
    </row>
    <row r="53" spans="1:77" ht="12.75">
      <c r="A53" s="39" t="s">
        <v>190</v>
      </c>
      <c r="B53" s="28">
        <v>3</v>
      </c>
      <c r="C53" s="28">
        <v>6</v>
      </c>
      <c r="D53" s="28">
        <v>6</v>
      </c>
      <c r="E53" s="40">
        <v>2028</v>
      </c>
      <c r="F53" s="41">
        <v>1995</v>
      </c>
      <c r="G53" s="45">
        <v>625</v>
      </c>
      <c r="H53" s="13">
        <f>((1*$E53)/1346)/((1-1)+(1*$E53)/1346)</f>
        <v>1</v>
      </c>
      <c r="I53" s="19">
        <v>341</v>
      </c>
      <c r="J53" s="42">
        <v>180</v>
      </c>
      <c r="K53" s="13">
        <f>73.9/75</f>
        <v>0.9853333333333334</v>
      </c>
      <c r="L53" s="43">
        <f t="shared" si="32"/>
        <v>319.7836592687709</v>
      </c>
      <c r="M53" s="44">
        <v>2.13</v>
      </c>
      <c r="N53" s="16">
        <f t="shared" si="31"/>
        <v>681.1391942424821</v>
      </c>
      <c r="O53" s="45">
        <v>182417000</v>
      </c>
      <c r="P53" s="13">
        <f>(0.5102*E53/1346)/((1-0.5102)+(0.5102*E53/1346))</f>
        <v>0.6108100539069365</v>
      </c>
      <c r="Q53" s="46">
        <v>3192579</v>
      </c>
      <c r="R53" s="42">
        <v>821925</v>
      </c>
      <c r="S53" s="13">
        <f>45.6/48.7</f>
        <v>0.9363449691991786</v>
      </c>
      <c r="T53" s="43">
        <f t="shared" si="23"/>
        <v>26422435.993395478</v>
      </c>
      <c r="U53" s="44">
        <v>7.17</v>
      </c>
      <c r="V53" s="16">
        <f t="shared" si="24"/>
        <v>189448866.07264557</v>
      </c>
      <c r="W53" s="45">
        <v>12000</v>
      </c>
      <c r="X53" s="47">
        <v>0.1223</v>
      </c>
      <c r="Y53" s="45">
        <f t="shared" si="16"/>
        <v>12667.90476</v>
      </c>
      <c r="Z53" s="13">
        <f>((1*$E53)/1346)/((1-1)+(1*$E53)/1346)</f>
        <v>1</v>
      </c>
      <c r="AA53" s="46">
        <v>5452</v>
      </c>
      <c r="AB53" s="42">
        <v>2185</v>
      </c>
      <c r="AC53" s="13">
        <f>73.9/75</f>
        <v>0.9853333333333334</v>
      </c>
      <c r="AD53" s="43">
        <f t="shared" si="33"/>
        <v>4921.058276560783</v>
      </c>
      <c r="AE53" s="44">
        <v>8.53</v>
      </c>
      <c r="AF53" s="16">
        <f t="shared" si="34"/>
        <v>41976.62709906348</v>
      </c>
      <c r="AG53" s="45">
        <v>178000</v>
      </c>
      <c r="AH53" s="13">
        <f>(0.9894*E53/1346)/((1-0.9894)+(0.9894*E53/1346))</f>
        <v>0.9929395258482555</v>
      </c>
      <c r="AI53" s="46">
        <v>5452</v>
      </c>
      <c r="AJ53" s="42">
        <v>2185</v>
      </c>
      <c r="AK53" s="13">
        <f>32.4/31.1</f>
        <v>1.0418006430868165</v>
      </c>
      <c r="AL53" s="43">
        <f t="shared" si="25"/>
        <v>72593.53846315542</v>
      </c>
      <c r="AM53" s="44">
        <v>7.64</v>
      </c>
      <c r="AN53" s="16">
        <f t="shared" si="26"/>
        <v>554614.6338585074</v>
      </c>
      <c r="AO53" s="45">
        <v>8360000</v>
      </c>
      <c r="AP53" s="13">
        <f>(0.7201*E53/1346)/((1-0.7201)+(0.7201*E53/1346))</f>
        <v>0.7949247627330823</v>
      </c>
      <c r="AQ53" s="46">
        <v>469684</v>
      </c>
      <c r="AR53" s="42">
        <v>169885</v>
      </c>
      <c r="AS53" s="13">
        <f>33.8/45.1</f>
        <v>0.7494456762749445</v>
      </c>
      <c r="AT53" s="43">
        <f t="shared" si="27"/>
        <v>1772134.4964046963</v>
      </c>
      <c r="AU53" s="44">
        <v>15.45</v>
      </c>
      <c r="AV53" s="16">
        <f t="shared" si="35"/>
        <v>27379477.969452556</v>
      </c>
      <c r="AW53" s="45">
        <v>370514000</v>
      </c>
      <c r="AX53" s="13">
        <f>(0.0754*E53/1346)/((1-0.0754)+(0.0754*E53/1346))</f>
        <v>0.10942371914927966</v>
      </c>
      <c r="AY53" s="46">
        <v>3651110</v>
      </c>
      <c r="AZ53" s="42">
        <v>956640</v>
      </c>
      <c r="BA53" s="13">
        <f>12.1/13.5</f>
        <v>0.8962962962962963</v>
      </c>
      <c r="BB53" s="43">
        <f t="shared" si="28"/>
        <v>9366261.181555767</v>
      </c>
      <c r="BC53" s="44">
        <v>23.33</v>
      </c>
      <c r="BD53" s="16">
        <f t="shared" si="36"/>
        <v>218514873.365696</v>
      </c>
      <c r="BE53" s="13">
        <f>0.62*(F53/1346)</f>
        <v>0.9189450222882616</v>
      </c>
      <c r="BF53" s="46">
        <v>32046</v>
      </c>
      <c r="BG53" s="45">
        <f t="shared" si="29"/>
        <v>29448.51218424963</v>
      </c>
      <c r="BH53" s="13">
        <f>0.89/0.62</f>
        <v>1.435483870967742</v>
      </c>
      <c r="BI53" s="43">
        <f t="shared" si="37"/>
        <v>845457.2852897475</v>
      </c>
      <c r="BJ53" s="16">
        <f t="shared" si="17"/>
        <v>3660830.0453046067</v>
      </c>
      <c r="BK53" s="16">
        <f t="shared" si="30"/>
        <v>439601319.85325056</v>
      </c>
      <c r="BL53" s="45">
        <v>370514000</v>
      </c>
      <c r="BM53" s="40">
        <v>2717</v>
      </c>
      <c r="BN53" s="40">
        <v>2648</v>
      </c>
      <c r="BO53" s="13">
        <f>(0.2883*BM53/3126)/((1-0.2883)+(0.2883*BM53/3126))</f>
        <v>0.2604018908639326</v>
      </c>
      <c r="BP53" s="13">
        <f>8.4/11.1</f>
        <v>0.7567567567567568</v>
      </c>
      <c r="BQ53" s="42">
        <v>1983080</v>
      </c>
      <c r="BR53" s="46">
        <v>7393354</v>
      </c>
      <c r="BS53" s="43">
        <f t="shared" si="41"/>
        <v>19086756.770109616</v>
      </c>
      <c r="BT53" s="44">
        <v>23.33</v>
      </c>
      <c r="BU53" s="16">
        <f t="shared" si="38"/>
        <v>445294035.4466573</v>
      </c>
      <c r="BV53" s="17">
        <f t="shared" si="39"/>
        <v>884895355.2999079</v>
      </c>
      <c r="BW53" s="48">
        <f t="shared" si="18"/>
        <v>0.05751951328534848</v>
      </c>
      <c r="BX53" s="18">
        <f t="shared" si="40"/>
        <v>0.05751951328534848</v>
      </c>
      <c r="BY53" s="49">
        <v>0.033375602902207</v>
      </c>
    </row>
    <row r="54" spans="1:77" ht="12.75">
      <c r="A54" s="53" t="s">
        <v>191</v>
      </c>
      <c r="B54" s="28">
        <v>4</v>
      </c>
      <c r="C54" s="28">
        <v>1</v>
      </c>
      <c r="D54" s="28">
        <v>1</v>
      </c>
      <c r="E54" s="40">
        <v>6504</v>
      </c>
      <c r="F54" s="41">
        <v>6613</v>
      </c>
      <c r="G54" s="45">
        <v>994000</v>
      </c>
      <c r="H54" s="13">
        <f>((1*$E54)/7065)/((1-1)+(1*$E54)/7065)</f>
        <v>1</v>
      </c>
      <c r="I54" s="46">
        <v>2691</v>
      </c>
      <c r="J54" s="42">
        <v>900</v>
      </c>
      <c r="K54" s="13">
        <v>1</v>
      </c>
      <c r="L54" s="43">
        <f t="shared" si="32"/>
        <v>338012.8307972043</v>
      </c>
      <c r="M54" s="44">
        <v>2.62</v>
      </c>
      <c r="N54" s="16">
        <f t="shared" si="31"/>
        <v>885593.6166886752</v>
      </c>
      <c r="O54" s="45">
        <v>58553000</v>
      </c>
      <c r="P54" s="13">
        <f>(0.8238*E54/7065)/((1-0.8238)+(0.8238*E54/7065))</f>
        <v>0.8114672695337748</v>
      </c>
      <c r="Q54" s="46">
        <v>594702</v>
      </c>
      <c r="R54" s="42">
        <v>114910</v>
      </c>
      <c r="S54" s="13">
        <f>32.4/34.4</f>
        <v>0.9418604651162791</v>
      </c>
      <c r="T54" s="43">
        <f t="shared" si="23"/>
        <v>8791908.142925203</v>
      </c>
      <c r="U54" s="44">
        <v>5.9</v>
      </c>
      <c r="V54" s="16">
        <f t="shared" si="24"/>
        <v>51872258.0432587</v>
      </c>
      <c r="W54" s="45">
        <v>522000</v>
      </c>
      <c r="X54" s="47">
        <v>0</v>
      </c>
      <c r="Y54" s="45">
        <f t="shared" si="16"/>
        <v>522000</v>
      </c>
      <c r="Z54" s="13">
        <f>((1*$E54)/7065)/((1-1)+(1*$E54)/7065)</f>
        <v>1</v>
      </c>
      <c r="AA54" s="46">
        <v>3851</v>
      </c>
      <c r="AB54" s="42">
        <v>1310</v>
      </c>
      <c r="AC54" s="13">
        <v>1</v>
      </c>
      <c r="AD54" s="43">
        <f t="shared" si="33"/>
        <v>180545.33446528958</v>
      </c>
      <c r="AE54" s="44">
        <v>8.7</v>
      </c>
      <c r="AF54" s="16">
        <f t="shared" si="34"/>
        <v>1570744.4098480192</v>
      </c>
      <c r="AG54" s="45">
        <v>25000</v>
      </c>
      <c r="AH54" s="13">
        <f>(0.9738*E54/7065)/((1-0.9738)+(0.9738*E54/7065))</f>
        <v>0.9716042997664779</v>
      </c>
      <c r="AI54" s="46">
        <v>3851</v>
      </c>
      <c r="AJ54" s="42">
        <v>1310</v>
      </c>
      <c r="AK54" s="13">
        <f>39/40.8</f>
        <v>0.9558823529411765</v>
      </c>
      <c r="AL54" s="43">
        <f t="shared" si="25"/>
        <v>8030.630572812004</v>
      </c>
      <c r="AM54" s="44">
        <v>7.84</v>
      </c>
      <c r="AN54" s="16">
        <f t="shared" si="26"/>
        <v>62960.14369084611</v>
      </c>
      <c r="AO54" s="45">
        <v>906000</v>
      </c>
      <c r="AP54" s="13">
        <f>(0.8611*E54/7065)/((1-0.8611)+(0.8611*E54/7065))</f>
        <v>0.8509055005794735</v>
      </c>
      <c r="AQ54" s="46">
        <v>20911</v>
      </c>
      <c r="AR54" s="42">
        <v>6490</v>
      </c>
      <c r="AS54" s="13">
        <f>49.5/47.5</f>
        <v>1.0421052631578946</v>
      </c>
      <c r="AT54" s="43">
        <f t="shared" si="27"/>
        <v>253518.11846532492</v>
      </c>
      <c r="AU54" s="44">
        <v>14</v>
      </c>
      <c r="AV54" s="16">
        <f t="shared" si="35"/>
        <v>3549253.658514549</v>
      </c>
      <c r="AW54" s="45">
        <v>21279000</v>
      </c>
      <c r="AX54" s="13">
        <f>(0.2308*E54/7065)/((1-0.2308)+(0.2308*E54/7065))</f>
        <v>0.21643985458511752</v>
      </c>
      <c r="AY54" s="46">
        <v>68433</v>
      </c>
      <c r="AZ54" s="42">
        <v>22895</v>
      </c>
      <c r="BA54" s="13">
        <f>8.2/10.9</f>
        <v>0.7522935779816513</v>
      </c>
      <c r="BB54" s="43">
        <f t="shared" si="28"/>
        <v>1178606.5796435701</v>
      </c>
      <c r="BC54" s="44">
        <v>18.43</v>
      </c>
      <c r="BD54" s="16">
        <f t="shared" si="36"/>
        <v>21721719.262831</v>
      </c>
      <c r="BE54" s="13">
        <f>2.78*(F54/7065)</f>
        <v>2.602142958244869</v>
      </c>
      <c r="BF54" s="46">
        <v>7756</v>
      </c>
      <c r="BG54" s="45">
        <f t="shared" si="29"/>
        <v>20182.220784147205</v>
      </c>
      <c r="BH54" s="13">
        <f>4.42/2.78</f>
        <v>1.589928057553957</v>
      </c>
      <c r="BI54" s="43">
        <f t="shared" si="37"/>
        <v>641765.5817692853</v>
      </c>
      <c r="BJ54" s="16">
        <f t="shared" si="17"/>
        <v>2778844.9690610054</v>
      </c>
      <c r="BK54" s="16">
        <f t="shared" si="30"/>
        <v>82441374.10389279</v>
      </c>
      <c r="BL54" s="45">
        <v>21279000</v>
      </c>
      <c r="BM54" s="40">
        <v>878</v>
      </c>
      <c r="BN54" s="40">
        <v>669</v>
      </c>
      <c r="BO54" s="49">
        <f>(0.0379*BM54/522)/((1-0.0379)+(0.0379*BM54/522))</f>
        <v>0.062141311435979306</v>
      </c>
      <c r="BP54" s="13">
        <f>2.8/3.8</f>
        <v>0.7368421052631579</v>
      </c>
      <c r="BQ54" s="42">
        <v>150515</v>
      </c>
      <c r="BR54" s="46">
        <v>701281</v>
      </c>
      <c r="BS54" s="43">
        <f t="shared" si="41"/>
        <v>159340.20658776772</v>
      </c>
      <c r="BT54" s="44">
        <v>18.43</v>
      </c>
      <c r="BU54" s="16">
        <f t="shared" si="38"/>
        <v>2936640.007412559</v>
      </c>
      <c r="BV54" s="17">
        <f t="shared" si="39"/>
        <v>85378014.11130534</v>
      </c>
      <c r="BW54" s="48">
        <f t="shared" si="18"/>
        <v>0.005549697811768376</v>
      </c>
      <c r="BX54" s="18">
        <f t="shared" si="40"/>
        <v>0.005549697811768376</v>
      </c>
      <c r="BY54" s="49">
        <v>0.005890466562088038</v>
      </c>
    </row>
    <row r="55" spans="1:77" ht="12.75">
      <c r="A55" s="39" t="s">
        <v>192</v>
      </c>
      <c r="B55" s="28">
        <v>1</v>
      </c>
      <c r="C55" s="28">
        <v>1</v>
      </c>
      <c r="D55" s="28">
        <v>1</v>
      </c>
      <c r="E55" s="40">
        <v>7707</v>
      </c>
      <c r="F55" s="41">
        <v>8109</v>
      </c>
      <c r="G55" s="45">
        <v>35000</v>
      </c>
      <c r="H55" s="13">
        <f>((0.8318*$E55)/7342)/((1-0.8318)+(0.8318*$E55)/7342)</f>
        <v>0.8384792208126838</v>
      </c>
      <c r="I55" s="19">
        <v>427</v>
      </c>
      <c r="J55" s="42">
        <v>95</v>
      </c>
      <c r="K55" s="13">
        <f>75.3/84.9</f>
        <v>0.8869257950530034</v>
      </c>
      <c r="L55" s="43">
        <f t="shared" si="32"/>
        <v>6092.917622245908</v>
      </c>
      <c r="M55" s="44">
        <v>4.63</v>
      </c>
      <c r="N55" s="16">
        <f t="shared" si="31"/>
        <v>28210.208590998554</v>
      </c>
      <c r="O55" s="45">
        <v>2596000</v>
      </c>
      <c r="P55" s="13">
        <f>(0.7695*E55/7342)/((1-0.7695)+(0.7695*E55/7342))</f>
        <v>0.7779928616101486</v>
      </c>
      <c r="Q55" s="46">
        <v>29234</v>
      </c>
      <c r="R55" s="42">
        <v>6095</v>
      </c>
      <c r="S55" s="13">
        <f>66.4/79.3</f>
        <v>0.8373266078184112</v>
      </c>
      <c r="T55" s="43">
        <f t="shared" si="23"/>
        <v>370973.25540214183</v>
      </c>
      <c r="U55" s="44">
        <v>8.03</v>
      </c>
      <c r="V55" s="16">
        <f t="shared" si="24"/>
        <v>2978915.2408791985</v>
      </c>
      <c r="W55" s="45">
        <v>11808000</v>
      </c>
      <c r="X55" s="47">
        <v>0.2392</v>
      </c>
      <c r="Y55" s="45">
        <f t="shared" si="16"/>
        <v>13093417.93536</v>
      </c>
      <c r="Z55" s="13">
        <f>((0.8318*$E55)/7342)/((1-0.8318)+(0.8318*$E55)/7342)</f>
        <v>0.8384792208126838</v>
      </c>
      <c r="AA55" s="46">
        <v>141041</v>
      </c>
      <c r="AB55" s="42">
        <v>32620</v>
      </c>
      <c r="AC55" s="13">
        <f>75.3/84.9</f>
        <v>0.8869257950530034</v>
      </c>
      <c r="AD55" s="43">
        <f t="shared" si="33"/>
        <v>2369480.5086209876</v>
      </c>
      <c r="AE55" s="44">
        <v>9.5</v>
      </c>
      <c r="AF55" s="16">
        <f t="shared" si="34"/>
        <v>22510064.831899382</v>
      </c>
      <c r="AG55" s="45">
        <v>1485000</v>
      </c>
      <c r="AH55" s="13">
        <f>(0.977*E55/7342)/((1-0.977)+(0.977*E55/7342))</f>
        <v>0.9780653767792997</v>
      </c>
      <c r="AI55" s="46">
        <v>141041</v>
      </c>
      <c r="AJ55" s="42">
        <v>32620</v>
      </c>
      <c r="AK55" s="13">
        <f>58.5/66.5</f>
        <v>0.8796992481203008</v>
      </c>
      <c r="AL55" s="43">
        <f t="shared" si="25"/>
        <v>310920.30090841046</v>
      </c>
      <c r="AM55" s="44">
        <v>10.24</v>
      </c>
      <c r="AN55" s="16">
        <f t="shared" si="26"/>
        <v>3183823.881302123</v>
      </c>
      <c r="AO55" s="45">
        <v>4752000</v>
      </c>
      <c r="AP55" s="13">
        <f>(0.5105*E55/7342)/((1-0.5105)+(0.5105*E55/7342))</f>
        <v>0.5226155327225517</v>
      </c>
      <c r="AQ55" s="46">
        <v>34715</v>
      </c>
      <c r="AR55" s="42">
        <v>8065</v>
      </c>
      <c r="AS55" s="13">
        <f>56.9/75.2</f>
        <v>0.7566489361702127</v>
      </c>
      <c r="AT55" s="43">
        <f t="shared" si="27"/>
        <v>459327.3595239514</v>
      </c>
      <c r="AU55" s="44">
        <v>15.96</v>
      </c>
      <c r="AV55" s="16">
        <f t="shared" si="35"/>
        <v>7330864.658002265</v>
      </c>
      <c r="AW55" s="45">
        <v>6819000</v>
      </c>
      <c r="AX55" s="13">
        <f>(0.0235*E55/7342)/((1-0.0235)+(0.0235*E55/7342))</f>
        <v>0.024639492611294823</v>
      </c>
      <c r="AY55" s="46">
        <v>11363</v>
      </c>
      <c r="AZ55" s="42">
        <v>5050</v>
      </c>
      <c r="BA55" s="13">
        <f>14/22.3</f>
        <v>0.6278026905829596</v>
      </c>
      <c r="BB55" s="43">
        <f t="shared" si="28"/>
        <v>49323.732791732175</v>
      </c>
      <c r="BC55" s="44">
        <v>36.04</v>
      </c>
      <c r="BD55" s="16">
        <f t="shared" si="36"/>
        <v>1777627.3298140275</v>
      </c>
      <c r="BE55" s="13">
        <f>5.16*(F55/7342)</f>
        <v>5.699052029419777</v>
      </c>
      <c r="BF55" s="46">
        <v>22616</v>
      </c>
      <c r="BG55" s="45">
        <f t="shared" si="29"/>
        <v>128889.76069735768</v>
      </c>
      <c r="BH55" s="13">
        <f>7.99/5.16</f>
        <v>1.5484496124031009</v>
      </c>
      <c r="BI55" s="43">
        <f t="shared" si="37"/>
        <v>3991585.9998910385</v>
      </c>
      <c r="BJ55" s="16">
        <f t="shared" si="17"/>
        <v>17283567.3795282</v>
      </c>
      <c r="BK55" s="16">
        <f t="shared" si="30"/>
        <v>55093073.530016184</v>
      </c>
      <c r="BL55" s="45">
        <v>6819000</v>
      </c>
      <c r="BM55" s="40">
        <v>293</v>
      </c>
      <c r="BN55" s="40">
        <v>275</v>
      </c>
      <c r="BO55" s="13">
        <f>(0.0197*BM55/604)/((1-0.0197)+(0.0197*BM55/604))</f>
        <v>0.009654386640112545</v>
      </c>
      <c r="BP55" s="13">
        <f>1.6/2.5</f>
        <v>0.64</v>
      </c>
      <c r="BQ55" s="42">
        <v>57175</v>
      </c>
      <c r="BR55" s="46">
        <v>240634</v>
      </c>
      <c r="BS55" s="43">
        <f t="shared" si="41"/>
        <v>9395.926447461232</v>
      </c>
      <c r="BT55" s="44">
        <v>36.04</v>
      </c>
      <c r="BU55" s="16">
        <f t="shared" si="38"/>
        <v>338629.1891665028</v>
      </c>
      <c r="BV55" s="17">
        <f t="shared" si="39"/>
        <v>55431702.719182685</v>
      </c>
      <c r="BW55" s="48">
        <f t="shared" si="18"/>
        <v>0.0036031430630629824</v>
      </c>
      <c r="BX55" s="18">
        <f t="shared" si="40"/>
        <v>0.0036031430630629824</v>
      </c>
      <c r="BY55" s="49">
        <v>0.0038243872822021304</v>
      </c>
    </row>
    <row r="56" spans="1:77" ht="12.75">
      <c r="A56" s="39" t="s">
        <v>193</v>
      </c>
      <c r="B56" s="28">
        <v>3</v>
      </c>
      <c r="C56" s="28">
        <v>3</v>
      </c>
      <c r="D56" s="28">
        <v>3</v>
      </c>
      <c r="E56" s="40">
        <v>4158</v>
      </c>
      <c r="F56" s="41">
        <v>4478</v>
      </c>
      <c r="G56" s="45">
        <v>1595000</v>
      </c>
      <c r="H56" s="13">
        <f>((0.9042*$E56)/4612)/((1-0.9042)+(0.9042*$E56)/4612)</f>
        <v>0.8948398631229487</v>
      </c>
      <c r="I56" s="46">
        <v>5592</v>
      </c>
      <c r="J56" s="42">
        <v>3420</v>
      </c>
      <c r="K56" s="13">
        <f>73.9/75</f>
        <v>0.9853333333333334</v>
      </c>
      <c r="L56" s="43">
        <f t="shared" si="32"/>
        <v>926291.614854959</v>
      </c>
      <c r="M56" s="44">
        <v>3.12</v>
      </c>
      <c r="N56" s="16">
        <f t="shared" si="31"/>
        <v>2890029.8383474723</v>
      </c>
      <c r="O56" s="45">
        <v>71704000</v>
      </c>
      <c r="P56" s="13">
        <f>(7119*E56/4612)/((1-0.7119)+(7119*E56/4612))</f>
        <v>0.9999551141364555</v>
      </c>
      <c r="Q56" s="46">
        <v>918956</v>
      </c>
      <c r="R56" s="42">
        <v>167365</v>
      </c>
      <c r="S56" s="13">
        <f>45.6/48.7</f>
        <v>0.9363449691991786</v>
      </c>
      <c r="T56" s="43">
        <f t="shared" si="23"/>
        <v>13168287.480174039</v>
      </c>
      <c r="U56" s="44">
        <v>9.64</v>
      </c>
      <c r="V56" s="16">
        <f t="shared" si="24"/>
        <v>126942291.30887774</v>
      </c>
      <c r="W56" s="45">
        <v>28999000</v>
      </c>
      <c r="X56" s="47">
        <v>0.1223</v>
      </c>
      <c r="Y56" s="45">
        <f t="shared" si="16"/>
        <v>30613047.51127</v>
      </c>
      <c r="Z56" s="13">
        <f>((0.9042*$E56)/4612)/((1-0.9042)+(0.9042*$E56)/4612)</f>
        <v>0.8948398631229487</v>
      </c>
      <c r="AA56" s="46">
        <v>362618</v>
      </c>
      <c r="AB56" s="42">
        <v>118735</v>
      </c>
      <c r="AC56" s="13">
        <f>73.9/75</f>
        <v>0.9853333333333334</v>
      </c>
      <c r="AD56" s="43">
        <f t="shared" si="33"/>
        <v>9518402.503562234</v>
      </c>
      <c r="AE56" s="44">
        <v>9.47</v>
      </c>
      <c r="AF56" s="16">
        <f t="shared" si="34"/>
        <v>90139271.70873436</v>
      </c>
      <c r="AG56" s="45">
        <v>8779000</v>
      </c>
      <c r="AH56" s="13">
        <f>(0.8334*E56/4612)/((1-0.8334)+(0.8334*E56/4612))</f>
        <v>0.8185108196821059</v>
      </c>
      <c r="AI56" s="46">
        <v>362618</v>
      </c>
      <c r="AJ56" s="42">
        <v>118735</v>
      </c>
      <c r="AK56" s="13">
        <f>32.4/31.1</f>
        <v>1.0418006430868165</v>
      </c>
      <c r="AL56" s="43">
        <f t="shared" si="25"/>
        <v>2639873.3843502905</v>
      </c>
      <c r="AM56" s="44">
        <v>8.36</v>
      </c>
      <c r="AN56" s="16">
        <f t="shared" si="26"/>
        <v>22069341.49316843</v>
      </c>
      <c r="AO56" s="45">
        <v>10990000</v>
      </c>
      <c r="AP56" s="13">
        <f>(0.8383*E56/4612)/((1-0.8383)+(0.8383*E56/4612))</f>
        <v>0.8237561279192916</v>
      </c>
      <c r="AQ56" s="46">
        <v>138595</v>
      </c>
      <c r="AR56" s="42">
        <v>37375</v>
      </c>
      <c r="AS56" s="13">
        <f>33.8/45.1</f>
        <v>0.7494456762749445</v>
      </c>
      <c r="AT56" s="43">
        <f t="shared" si="27"/>
        <v>1970469.6584444412</v>
      </c>
      <c r="AU56" s="44">
        <v>17.34</v>
      </c>
      <c r="AV56" s="16">
        <f t="shared" si="35"/>
        <v>34167943.87742661</v>
      </c>
      <c r="AW56" s="45">
        <v>122077000</v>
      </c>
      <c r="AX56" s="13">
        <f>(0.1732*E56/4612)/((1-0.1732)+(0.1732*E56/4612))</f>
        <v>0.15885887205430876</v>
      </c>
      <c r="AY56" s="46">
        <v>1178739</v>
      </c>
      <c r="AZ56" s="42">
        <v>295515</v>
      </c>
      <c r="BA56" s="13">
        <f>12.1/13.5</f>
        <v>0.8962962962962963</v>
      </c>
      <c r="BB56" s="43">
        <f t="shared" si="28"/>
        <v>4693084.846515454</v>
      </c>
      <c r="BC56" s="44">
        <v>22.04</v>
      </c>
      <c r="BD56" s="16">
        <f t="shared" si="36"/>
        <v>103435590.0172006</v>
      </c>
      <c r="BE56" s="13">
        <f>1.35*(F56/4612)</f>
        <v>1.3107762359063315</v>
      </c>
      <c r="BF56" s="46">
        <v>78994</v>
      </c>
      <c r="BG56" s="45">
        <f t="shared" si="29"/>
        <v>103543.45797918475</v>
      </c>
      <c r="BH56" s="13">
        <f>2.11/1.35</f>
        <v>1.5629629629629627</v>
      </c>
      <c r="BI56" s="43">
        <f t="shared" si="37"/>
        <v>3236691.7975715525</v>
      </c>
      <c r="BJ56" s="16">
        <f t="shared" si="17"/>
        <v>14014875.483484823</v>
      </c>
      <c r="BK56" s="16">
        <f t="shared" si="30"/>
        <v>393659343.72724</v>
      </c>
      <c r="BL56" s="45">
        <v>122077000</v>
      </c>
      <c r="BM56" s="40">
        <v>1261</v>
      </c>
      <c r="BN56" s="40">
        <v>1049</v>
      </c>
      <c r="BO56" s="13">
        <f>(0.1407*BM56/1186)/((1-0.1407)+(0.1407*BM56/1186))</f>
        <v>0.14827824102995898</v>
      </c>
      <c r="BP56" s="13">
        <f>8.4/11.1</f>
        <v>0.7567567567567568</v>
      </c>
      <c r="BQ56" s="42">
        <v>656520</v>
      </c>
      <c r="BR56" s="46">
        <v>2699173</v>
      </c>
      <c r="BS56" s="43">
        <f t="shared" si="41"/>
        <v>2771693.6212442825</v>
      </c>
      <c r="BT56" s="44">
        <v>22.04</v>
      </c>
      <c r="BU56" s="16">
        <f t="shared" si="38"/>
        <v>61088127.41222398</v>
      </c>
      <c r="BV56" s="17">
        <f t="shared" si="39"/>
        <v>454747471.139464</v>
      </c>
      <c r="BW56" s="48">
        <f t="shared" si="18"/>
        <v>0.02955926150027081</v>
      </c>
      <c r="BX56" s="18">
        <f t="shared" si="40"/>
        <v>0.02955926150027081</v>
      </c>
      <c r="BY56" s="49">
        <v>0.03137429232599603</v>
      </c>
    </row>
    <row r="57" spans="1:77" ht="12.75">
      <c r="A57" s="53" t="s">
        <v>194</v>
      </c>
      <c r="B57" s="28">
        <v>4</v>
      </c>
      <c r="C57" s="28">
        <v>3</v>
      </c>
      <c r="D57" s="28">
        <v>3</v>
      </c>
      <c r="E57" s="40">
        <v>5404</v>
      </c>
      <c r="F57" s="41">
        <v>5512</v>
      </c>
      <c r="G57" s="45">
        <v>176000</v>
      </c>
      <c r="H57" s="13">
        <f>((0.8344*$E57)/3646)/((1-0.8344)+(0.8344*$E57)/3646)</f>
        <v>0.8819103583830875</v>
      </c>
      <c r="I57" s="19">
        <v>478</v>
      </c>
      <c r="J57" s="42">
        <v>185</v>
      </c>
      <c r="K57" s="13">
        <v>1</v>
      </c>
      <c r="L57" s="43">
        <f t="shared" si="32"/>
        <v>61273.7995853338</v>
      </c>
      <c r="M57" s="44">
        <v>3.72</v>
      </c>
      <c r="N57" s="16">
        <f t="shared" si="31"/>
        <v>227938.53445744174</v>
      </c>
      <c r="O57" s="45">
        <v>75427000</v>
      </c>
      <c r="P57" s="13">
        <f>(0.6525*E57/3646)/((1-0.6525)+(0.6525*E57/3646))</f>
        <v>0.7356645340849702</v>
      </c>
      <c r="Q57" s="46">
        <v>746887</v>
      </c>
      <c r="R57" s="42">
        <v>110035</v>
      </c>
      <c r="S57" s="13">
        <f>32.4/34.4</f>
        <v>0.9418604651162791</v>
      </c>
      <c r="T57" s="43">
        <f t="shared" si="23"/>
        <v>7853496.19621317</v>
      </c>
      <c r="U57" s="44">
        <v>6.92</v>
      </c>
      <c r="V57" s="16">
        <f t="shared" si="24"/>
        <v>54346193.677795134</v>
      </c>
      <c r="W57" s="45">
        <v>6519000</v>
      </c>
      <c r="X57" s="47">
        <v>0</v>
      </c>
      <c r="Y57" s="45">
        <f t="shared" si="16"/>
        <v>6519000</v>
      </c>
      <c r="Z57" s="13">
        <f>((0.8344*$E57)/3646)/((1-0.8344)+(0.8344*$E57)/3646)</f>
        <v>0.8819103583830875</v>
      </c>
      <c r="AA57" s="46">
        <v>126740</v>
      </c>
      <c r="AB57" s="42">
        <v>24980</v>
      </c>
      <c r="AC57" s="13">
        <v>1</v>
      </c>
      <c r="AD57" s="43">
        <f t="shared" si="33"/>
        <v>1155787.5831102948</v>
      </c>
      <c r="AE57" s="44">
        <v>11.1</v>
      </c>
      <c r="AF57" s="16">
        <f t="shared" si="34"/>
        <v>12829242.172524272</v>
      </c>
      <c r="AG57" s="45">
        <v>490000</v>
      </c>
      <c r="AH57" s="13">
        <f>(1*E57/4147)/((1-1)+(1*E57/4147))</f>
        <v>1</v>
      </c>
      <c r="AI57" s="46">
        <v>126740</v>
      </c>
      <c r="AJ57" s="42">
        <v>24980</v>
      </c>
      <c r="AK57" s="13">
        <f>39/40.8</f>
        <v>0.9558823529411765</v>
      </c>
      <c r="AL57" s="43">
        <f t="shared" si="25"/>
        <v>94161.44699492304</v>
      </c>
      <c r="AM57" s="44">
        <v>9.8</v>
      </c>
      <c r="AN57" s="16">
        <f t="shared" si="26"/>
        <v>922782.1805502459</v>
      </c>
      <c r="AO57" s="45">
        <v>4548000</v>
      </c>
      <c r="AP57" s="13">
        <f>(0.6234*E57/3646)/((1-0.6234)+(0.6234*E57/3646))</f>
        <v>0.7104382571747259</v>
      </c>
      <c r="AQ57" s="46">
        <v>69591</v>
      </c>
      <c r="AR57" s="42">
        <v>14505</v>
      </c>
      <c r="AS57" s="13">
        <f>49.5/47.5</f>
        <v>1.0421052631578946</v>
      </c>
      <c r="AT57" s="43">
        <f t="shared" si="27"/>
        <v>715841.5618972993</v>
      </c>
      <c r="AU57" s="44">
        <v>15.2</v>
      </c>
      <c r="AV57" s="16">
        <f t="shared" si="35"/>
        <v>10880791.740838949</v>
      </c>
      <c r="AW57" s="45">
        <v>111972000</v>
      </c>
      <c r="AX57" s="13">
        <f>(0.1914*E57/3646)/((1-0.1914)+(0.1914*E57/3646))</f>
        <v>0.2597188908261513</v>
      </c>
      <c r="AY57" s="46">
        <v>1202177</v>
      </c>
      <c r="AZ57" s="42">
        <v>366220</v>
      </c>
      <c r="BA57" s="13">
        <f>8.2/10.9</f>
        <v>0.7522935779816513</v>
      </c>
      <c r="BB57" s="43">
        <f t="shared" si="28"/>
        <v>6797791.524135957</v>
      </c>
      <c r="BC57" s="44">
        <v>15.04</v>
      </c>
      <c r="BD57" s="16">
        <f t="shared" si="36"/>
        <v>102238784.52300479</v>
      </c>
      <c r="BE57" s="13">
        <f>0.79*(F57/3646)</f>
        <v>1.1943170597915524</v>
      </c>
      <c r="BF57" s="46">
        <v>106968</v>
      </c>
      <c r="BG57" s="45">
        <f t="shared" si="29"/>
        <v>127753.70725178278</v>
      </c>
      <c r="BH57" s="13">
        <f>0.54/0.79</f>
        <v>0.6835443037974683</v>
      </c>
      <c r="BI57" s="43">
        <f t="shared" si="37"/>
        <v>1746506.377619309</v>
      </c>
      <c r="BJ57" s="16">
        <f t="shared" si="17"/>
        <v>7562372.615091608</v>
      </c>
      <c r="BK57" s="16">
        <f t="shared" si="30"/>
        <v>189008105.44426244</v>
      </c>
      <c r="BL57" s="45">
        <v>111972000</v>
      </c>
      <c r="BM57" s="40">
        <v>208</v>
      </c>
      <c r="BN57" s="40">
        <v>198</v>
      </c>
      <c r="BO57" s="13">
        <f>(0.0591*BM57/684)/((1-0.0591)+(0.0591*BM57/684))</f>
        <v>0.01874278437564609</v>
      </c>
      <c r="BP57" s="13">
        <f>2.8/3.8</f>
        <v>0.7368421052631579</v>
      </c>
      <c r="BQ57" s="42">
        <v>551230</v>
      </c>
      <c r="BR57" s="46">
        <v>2271398</v>
      </c>
      <c r="BS57" s="43">
        <f t="shared" si="41"/>
        <v>357239.4736777114</v>
      </c>
      <c r="BT57" s="44">
        <v>15.04</v>
      </c>
      <c r="BU57" s="16">
        <f t="shared" si="38"/>
        <v>5372881.684112779</v>
      </c>
      <c r="BV57" s="17">
        <f t="shared" si="39"/>
        <v>194380987.12837523</v>
      </c>
      <c r="BW57" s="48">
        <f t="shared" si="18"/>
        <v>0.012635053065410632</v>
      </c>
      <c r="BX57" s="18">
        <f t="shared" si="40"/>
        <v>0.012635053065410632</v>
      </c>
      <c r="BY57" s="49">
        <v>0.013410884721359956</v>
      </c>
    </row>
    <row r="58" spans="1:77" ht="12.75">
      <c r="A58" s="39" t="s">
        <v>195</v>
      </c>
      <c r="B58" s="28">
        <v>3</v>
      </c>
      <c r="C58" s="28">
        <v>3</v>
      </c>
      <c r="D58" s="28">
        <v>3</v>
      </c>
      <c r="E58" s="40">
        <v>4987</v>
      </c>
      <c r="F58" s="41">
        <v>5296</v>
      </c>
      <c r="G58" s="45">
        <v>910000</v>
      </c>
      <c r="H58" s="13">
        <f>((0.9042*$E58)/4612)/((1-0.9042)+(0.9042*$E58)/4612)</f>
        <v>0.9107608751634746</v>
      </c>
      <c r="I58" s="46">
        <v>8312</v>
      </c>
      <c r="J58" s="42">
        <v>4480</v>
      </c>
      <c r="K58" s="13">
        <f>73.9/75</f>
        <v>0.9853333333333334</v>
      </c>
      <c r="L58" s="43">
        <f t="shared" si="32"/>
        <v>467422.9378661619</v>
      </c>
      <c r="M58" s="44">
        <v>1.3</v>
      </c>
      <c r="N58" s="16">
        <f t="shared" si="31"/>
        <v>607649.8192260105</v>
      </c>
      <c r="O58" s="45">
        <v>33135000</v>
      </c>
      <c r="P58" s="13">
        <f>(7119*E58/4612)/((1-0.7119)+(7119*E58/4612))</f>
        <v>0.9999625753332255</v>
      </c>
      <c r="Q58" s="46">
        <v>351912</v>
      </c>
      <c r="R58" s="42">
        <v>102000</v>
      </c>
      <c r="S58" s="13">
        <f>45.6/48.7</f>
        <v>0.9363449691991786</v>
      </c>
      <c r="T58" s="43">
        <f t="shared" si="23"/>
        <v>9549514.806663299</v>
      </c>
      <c r="U58" s="44">
        <v>6.98</v>
      </c>
      <c r="V58" s="16">
        <f t="shared" si="24"/>
        <v>66655613.35050983</v>
      </c>
      <c r="W58" s="45">
        <v>2818000</v>
      </c>
      <c r="X58" s="47">
        <v>0.1223</v>
      </c>
      <c r="Y58" s="45">
        <f t="shared" si="16"/>
        <v>2974846.30114</v>
      </c>
      <c r="Z58" s="13">
        <f>((0.9042*$E58)/4612)/((1-0.9042)+(0.9042*$E58)/4612)</f>
        <v>0.9107608751634746</v>
      </c>
      <c r="AA58" s="46">
        <v>49689</v>
      </c>
      <c r="AB58" s="42">
        <v>17565</v>
      </c>
      <c r="AC58" s="13">
        <f>73.9/75</f>
        <v>0.9853333333333334</v>
      </c>
      <c r="AD58" s="43">
        <f t="shared" si="33"/>
        <v>1002186.5705381469</v>
      </c>
      <c r="AE58" s="44">
        <v>9.56</v>
      </c>
      <c r="AF58" s="16">
        <f t="shared" si="34"/>
        <v>9580903.614344684</v>
      </c>
      <c r="AG58" s="45">
        <v>3122000</v>
      </c>
      <c r="AH58" s="13">
        <f>(0.8334*E58/4612)/((1-0.8334)+(0.8334*E58/4612))</f>
        <v>0.843972931399475</v>
      </c>
      <c r="AI58" s="46">
        <v>49689</v>
      </c>
      <c r="AJ58" s="42">
        <v>17565</v>
      </c>
      <c r="AK58" s="13">
        <f>32.4/31.1</f>
        <v>1.0418006430868165</v>
      </c>
      <c r="AL58" s="43">
        <f t="shared" si="25"/>
        <v>1030487.0619540943</v>
      </c>
      <c r="AM58" s="44">
        <v>9.71</v>
      </c>
      <c r="AN58" s="16">
        <f t="shared" si="26"/>
        <v>10006029.371574257</v>
      </c>
      <c r="AO58" s="45">
        <v>1652000</v>
      </c>
      <c r="AP58" s="13">
        <f>(0.8383*E58/4612)/((1-0.8383)+(0.8383*E58/4612))</f>
        <v>0.8486184481958038</v>
      </c>
      <c r="AQ58" s="46">
        <v>41507</v>
      </c>
      <c r="AR58" s="42">
        <v>13870</v>
      </c>
      <c r="AS58" s="13">
        <f>33.8/45.1</f>
        <v>0.7494456762749445</v>
      </c>
      <c r="AT58" s="43">
        <f t="shared" si="27"/>
        <v>372843.343893992</v>
      </c>
      <c r="AU58" s="44">
        <v>17.37</v>
      </c>
      <c r="AV58" s="16">
        <f t="shared" si="35"/>
        <v>6476288.883438642</v>
      </c>
      <c r="AW58" s="45">
        <v>32251000</v>
      </c>
      <c r="AX58" s="13">
        <f>(0.1732*E58/4612)/((1-0.1732)+(0.1732*E58/4612))</f>
        <v>0.18468198291621674</v>
      </c>
      <c r="AY58" s="46">
        <v>236818</v>
      </c>
      <c r="AZ58" s="42">
        <v>76960</v>
      </c>
      <c r="BA58" s="13">
        <f>12.1/13.5</f>
        <v>0.8962962962962963</v>
      </c>
      <c r="BB58" s="43">
        <f t="shared" si="28"/>
        <v>1842376.0279118265</v>
      </c>
      <c r="BC58" s="44">
        <v>18.36</v>
      </c>
      <c r="BD58" s="16">
        <f t="shared" si="36"/>
        <v>33826023.87246113</v>
      </c>
      <c r="BE58" s="13">
        <f>1.35*(F58/4612)</f>
        <v>1.5502168256721598</v>
      </c>
      <c r="BF58" s="46">
        <v>43634</v>
      </c>
      <c r="BG58" s="45">
        <f t="shared" si="29"/>
        <v>67642.16097137902</v>
      </c>
      <c r="BH58" s="13">
        <f>2.11/1.35</f>
        <v>1.5629629629629627</v>
      </c>
      <c r="BI58" s="43">
        <f t="shared" si="37"/>
        <v>2114443.8466608846</v>
      </c>
      <c r="BJ58" s="16">
        <f t="shared" si="17"/>
        <v>9155541.85604163</v>
      </c>
      <c r="BK58" s="16">
        <f t="shared" si="30"/>
        <v>136308050.7675962</v>
      </c>
      <c r="BL58" s="45">
        <v>32251000</v>
      </c>
      <c r="BM58" s="40">
        <v>971</v>
      </c>
      <c r="BN58" s="40">
        <v>772</v>
      </c>
      <c r="BO58" s="13">
        <f>(0.1407*BM58/1186)/((1-0.1407)+(0.1407*BM58/1186))</f>
        <v>0.11820874679158418</v>
      </c>
      <c r="BP58" s="13">
        <f>8.4/11.1</f>
        <v>0.7567567567567568</v>
      </c>
      <c r="BQ58" s="42">
        <v>232685</v>
      </c>
      <c r="BR58" s="46">
        <v>736481</v>
      </c>
      <c r="BS58" s="43">
        <f t="shared" si="41"/>
        <v>724692.9164534331</v>
      </c>
      <c r="BT58" s="44">
        <v>18.36</v>
      </c>
      <c r="BU58" s="16">
        <f t="shared" si="38"/>
        <v>13305361.946085032</v>
      </c>
      <c r="BV58" s="17">
        <f t="shared" si="39"/>
        <v>149613412.71368122</v>
      </c>
      <c r="BW58" s="48">
        <f t="shared" si="18"/>
        <v>0.009725094191882474</v>
      </c>
      <c r="BX58" s="18">
        <f t="shared" si="40"/>
        <v>0.009725094191882474</v>
      </c>
      <c r="BY58" s="49">
        <v>0.010322245299368238</v>
      </c>
    </row>
    <row r="59" spans="1:77" ht="12.75">
      <c r="A59" s="39" t="s">
        <v>196</v>
      </c>
      <c r="B59" s="28">
        <v>2</v>
      </c>
      <c r="C59" s="28">
        <v>1</v>
      </c>
      <c r="D59" s="28">
        <v>1</v>
      </c>
      <c r="E59" s="40">
        <v>7321</v>
      </c>
      <c r="F59" s="41">
        <v>7791</v>
      </c>
      <c r="G59" s="45">
        <v>1415000</v>
      </c>
      <c r="H59" s="13">
        <f>((0.9844*$E59)/7780)/((1-0.9844)+(0.9844*$E59)/7780)</f>
        <v>0.9834381354425594</v>
      </c>
      <c r="I59" s="19">
        <v>330</v>
      </c>
      <c r="J59" s="42">
        <v>155</v>
      </c>
      <c r="K59" s="13">
        <f>78.8/78.8</f>
        <v>1</v>
      </c>
      <c r="L59" s="43">
        <f t="shared" si="32"/>
        <v>695575.1224227622</v>
      </c>
      <c r="M59" s="44">
        <v>3.19</v>
      </c>
      <c r="N59" s="16">
        <f t="shared" si="31"/>
        <v>2218884.6405286114</v>
      </c>
      <c r="O59" s="45">
        <v>129148000</v>
      </c>
      <c r="P59" s="13">
        <f>(0.8086*E59/7780)/((1-0.8086)+(0.8086*E59/7780))</f>
        <v>0.7990117930001739</v>
      </c>
      <c r="Q59" s="46">
        <v>1384230</v>
      </c>
      <c r="R59" s="42">
        <v>294600</v>
      </c>
      <c r="S59" s="13">
        <f>82.8/83.8</f>
        <v>0.9880668257756563</v>
      </c>
      <c r="T59" s="43">
        <f t="shared" si="23"/>
        <v>23092687.320599064</v>
      </c>
      <c r="U59" s="44">
        <v>7.47</v>
      </c>
      <c r="V59" s="16">
        <f t="shared" si="24"/>
        <v>172502374.284875</v>
      </c>
      <c r="W59" s="45">
        <v>17187000</v>
      </c>
      <c r="X59" s="47">
        <v>0</v>
      </c>
      <c r="Y59" s="45">
        <f t="shared" si="16"/>
        <v>17187000</v>
      </c>
      <c r="Z59" s="13">
        <f>((0.9844*$E59)/7780)/((1-0.9844)+(0.9844*$E59)/7780)</f>
        <v>0.9834381354425594</v>
      </c>
      <c r="AA59" s="46">
        <v>158499</v>
      </c>
      <c r="AB59" s="42">
        <v>39580</v>
      </c>
      <c r="AC59" s="13">
        <f>78.8/78.8</f>
        <v>1</v>
      </c>
      <c r="AD59" s="43">
        <f t="shared" si="33"/>
        <v>4491787.301417435</v>
      </c>
      <c r="AE59" s="44">
        <v>8.87</v>
      </c>
      <c r="AF59" s="16">
        <f t="shared" si="34"/>
        <v>39842153.36357264</v>
      </c>
      <c r="AG59" s="45">
        <v>345000</v>
      </c>
      <c r="AH59" s="13">
        <f>(1*E59/7780)/((1-1)+(1*E59/7780))</f>
        <v>1</v>
      </c>
      <c r="AI59" s="46">
        <v>158499</v>
      </c>
      <c r="AJ59" s="42">
        <v>39580</v>
      </c>
      <c r="AK59" s="13">
        <v>1</v>
      </c>
      <c r="AL59" s="43">
        <f t="shared" si="25"/>
        <v>91683.4940623771</v>
      </c>
      <c r="AM59" s="44">
        <v>9.18</v>
      </c>
      <c r="AN59" s="16">
        <f t="shared" si="26"/>
        <v>841654.4754926218</v>
      </c>
      <c r="AO59" s="45">
        <v>23924000</v>
      </c>
      <c r="AP59" s="13">
        <f>(0.8215*E59/7780)/((1-0.8215)+(0.8215*E59/7780))</f>
        <v>0.8124080980622339</v>
      </c>
      <c r="AQ59" s="46">
        <v>228408</v>
      </c>
      <c r="AR59" s="42">
        <v>53690</v>
      </c>
      <c r="AS59" s="13">
        <f>69.2/70</f>
        <v>0.9885714285714287</v>
      </c>
      <c r="AT59" s="43">
        <f t="shared" si="27"/>
        <v>4806411.857579201</v>
      </c>
      <c r="AU59" s="44">
        <v>11.59</v>
      </c>
      <c r="AV59" s="16">
        <f t="shared" si="35"/>
        <v>55706313.42934295</v>
      </c>
      <c r="AW59" s="45">
        <v>66540000</v>
      </c>
      <c r="AX59" s="13">
        <f>(0.0413*E59/7780)/((1-0.0413)+(0.0413*E59/7780))</f>
        <v>0.0389583318005712</v>
      </c>
      <c r="AY59" s="46">
        <v>236755</v>
      </c>
      <c r="AZ59" s="42">
        <v>89100</v>
      </c>
      <c r="BA59" s="13">
        <f>14.7/25.7</f>
        <v>0.5719844357976653</v>
      </c>
      <c r="BB59" s="43">
        <f t="shared" si="28"/>
        <v>593838.9805291959</v>
      </c>
      <c r="BC59" s="44">
        <v>22.08</v>
      </c>
      <c r="BD59" s="16">
        <f t="shared" si="36"/>
        <v>13111964.690084644</v>
      </c>
      <c r="BE59" s="13">
        <f>2.45*(F59/7780)</f>
        <v>2.4534640102827767</v>
      </c>
      <c r="BF59" s="46">
        <v>56862</v>
      </c>
      <c r="BG59" s="45">
        <f t="shared" si="29"/>
        <v>139508.87055269926</v>
      </c>
      <c r="BH59" s="13">
        <f>3.79/2.45</f>
        <v>1.546938775510204</v>
      </c>
      <c r="BI59" s="43">
        <f t="shared" si="37"/>
        <v>4316233.627712083</v>
      </c>
      <c r="BJ59" s="16">
        <f t="shared" si="17"/>
        <v>18689291.60799332</v>
      </c>
      <c r="BK59" s="16">
        <f t="shared" si="30"/>
        <v>302912636.4918898</v>
      </c>
      <c r="BL59" s="45">
        <v>66540000</v>
      </c>
      <c r="BM59" s="40">
        <v>652</v>
      </c>
      <c r="BN59" s="40">
        <v>500</v>
      </c>
      <c r="BO59" s="13">
        <f>(0.0917*BM59/657)/((1-0.0917)+(0.0917*BM59/657))</f>
        <v>0.09106568282431499</v>
      </c>
      <c r="BP59" s="13">
        <f>2.8/4</f>
        <v>0.7</v>
      </c>
      <c r="BQ59" s="42">
        <v>499735</v>
      </c>
      <c r="BR59" s="46">
        <v>2084544</v>
      </c>
      <c r="BS59" s="43">
        <f t="shared" si="41"/>
        <v>779806.2186756774</v>
      </c>
      <c r="BT59" s="44">
        <v>22.08</v>
      </c>
      <c r="BU59" s="16">
        <f t="shared" si="38"/>
        <v>17218121.308358956</v>
      </c>
      <c r="BV59" s="17">
        <f t="shared" si="39"/>
        <v>320130757.80024874</v>
      </c>
      <c r="BW59" s="48">
        <f t="shared" si="18"/>
        <v>0.020808975056829528</v>
      </c>
      <c r="BX59" s="18">
        <f t="shared" si="40"/>
        <v>0.020808975056829528</v>
      </c>
      <c r="BY59" s="49">
        <v>0.02208671101040018</v>
      </c>
    </row>
    <row r="60" spans="1:77" ht="12.75">
      <c r="A60" s="53" t="s">
        <v>197</v>
      </c>
      <c r="B60" s="28">
        <v>4</v>
      </c>
      <c r="C60" s="28">
        <v>1</v>
      </c>
      <c r="D60" s="28">
        <v>1</v>
      </c>
      <c r="E60" s="40">
        <v>8335</v>
      </c>
      <c r="F60" s="41">
        <v>8302</v>
      </c>
      <c r="G60" s="45">
        <v>886000</v>
      </c>
      <c r="H60" s="13">
        <f>((1*$E60)/7065)/((1-1)+(1*$E60)/7065)</f>
        <v>1</v>
      </c>
      <c r="I60" s="46">
        <v>1795</v>
      </c>
      <c r="J60" s="42">
        <v>340</v>
      </c>
      <c r="K60" s="13">
        <v>1</v>
      </c>
      <c r="L60" s="43">
        <f t="shared" si="32"/>
        <v>167157.28586873156</v>
      </c>
      <c r="M60" s="44">
        <v>0.98</v>
      </c>
      <c r="N60" s="16">
        <f t="shared" si="31"/>
        <v>163814.14015135693</v>
      </c>
      <c r="O60" s="45">
        <v>12724000</v>
      </c>
      <c r="P60" s="13">
        <f>(0.8238*E60/7065)/((1-0.8238)+(0.8238*E60/7065))</f>
        <v>0.8465271464511037</v>
      </c>
      <c r="Q60" s="46">
        <v>122975</v>
      </c>
      <c r="R60" s="42">
        <v>29430</v>
      </c>
      <c r="S60" s="13">
        <f>32.4/34.4</f>
        <v>0.9418604651162791</v>
      </c>
      <c r="T60" s="43">
        <f t="shared" si="23"/>
        <v>2418252.6560731865</v>
      </c>
      <c r="U60" s="44">
        <v>5.84</v>
      </c>
      <c r="V60" s="16">
        <f t="shared" si="24"/>
        <v>14122595.511467408</v>
      </c>
      <c r="W60" s="45">
        <v>187000</v>
      </c>
      <c r="X60" s="47">
        <v>0</v>
      </c>
      <c r="Y60" s="45">
        <f t="shared" si="16"/>
        <v>187000</v>
      </c>
      <c r="Z60" s="13">
        <f>((1*$E60)/7065)/((1-1)+(1*$E60)/7065)</f>
        <v>1</v>
      </c>
      <c r="AA60" s="19">
        <v>793</v>
      </c>
      <c r="AB60" s="42">
        <v>130</v>
      </c>
      <c r="AC60" s="13">
        <v>1</v>
      </c>
      <c r="AD60" s="43">
        <f t="shared" si="33"/>
        <v>30534.365258095917</v>
      </c>
      <c r="AE60" s="44">
        <v>8.73</v>
      </c>
      <c r="AF60" s="16">
        <f t="shared" si="34"/>
        <v>266565.0087031774</v>
      </c>
      <c r="AG60" s="45">
        <v>7000</v>
      </c>
      <c r="AH60" s="13">
        <f>(0.9738*E60/7065)/((1-0.9738)+(0.9738*E60/7065))</f>
        <v>0.9777030704217412</v>
      </c>
      <c r="AI60" s="19">
        <v>793</v>
      </c>
      <c r="AJ60" s="42">
        <v>130</v>
      </c>
      <c r="AK60" s="13">
        <f>39/40.8</f>
        <v>0.9558823529411765</v>
      </c>
      <c r="AL60" s="43">
        <f t="shared" si="25"/>
        <v>1068.2102794219718</v>
      </c>
      <c r="AM60" s="44">
        <v>7.78</v>
      </c>
      <c r="AN60" s="16">
        <f t="shared" si="26"/>
        <v>8310.67597390294</v>
      </c>
      <c r="AO60" s="45">
        <v>1658000</v>
      </c>
      <c r="AP60" s="13">
        <f>(0.8611*E60/7065)/((1-0.8611)+(0.8611*E60/7065))</f>
        <v>0.8797184736542325</v>
      </c>
      <c r="AQ60" s="46">
        <v>21658</v>
      </c>
      <c r="AR60" s="42">
        <v>5345</v>
      </c>
      <c r="AS60" s="13">
        <f>49.5/47.5</f>
        <v>1.0421052631578946</v>
      </c>
      <c r="AT60" s="43">
        <f t="shared" si="27"/>
        <v>373633.9339767605</v>
      </c>
      <c r="AU60" s="44">
        <v>11.66</v>
      </c>
      <c r="AV60" s="16">
        <f t="shared" si="35"/>
        <v>4356571.6701690275</v>
      </c>
      <c r="AW60" s="45">
        <v>6910000</v>
      </c>
      <c r="AX60" s="13">
        <f>(0.2308*E60/7065)/((1-0.2308)+(0.2308*E60/7065))</f>
        <v>0.2614416516401753</v>
      </c>
      <c r="AY60" s="46">
        <v>36026</v>
      </c>
      <c r="AZ60" s="42">
        <v>10580</v>
      </c>
      <c r="BA60" s="13">
        <f>8.2/10.9</f>
        <v>0.7522935779816513</v>
      </c>
      <c r="BB60" s="43">
        <f t="shared" si="28"/>
        <v>397545.5790494861</v>
      </c>
      <c r="BC60" s="44">
        <v>19.04</v>
      </c>
      <c r="BD60" s="16">
        <f t="shared" si="36"/>
        <v>7569267.825102215</v>
      </c>
      <c r="BE60" s="13">
        <f>2.78*(F60/7065)</f>
        <v>3.26674593064402</v>
      </c>
      <c r="BF60" s="46">
        <v>8574</v>
      </c>
      <c r="BG60" s="45">
        <f t="shared" si="29"/>
        <v>28009.079609341825</v>
      </c>
      <c r="BH60" s="13">
        <f>4.42/2.78</f>
        <v>1.589928057553957</v>
      </c>
      <c r="BI60" s="43">
        <f t="shared" si="37"/>
        <v>890648.4307430998</v>
      </c>
      <c r="BJ60" s="16">
        <f t="shared" si="17"/>
        <v>3856507.705117622</v>
      </c>
      <c r="BK60" s="16">
        <f t="shared" si="30"/>
        <v>30343632.53668471</v>
      </c>
      <c r="BL60" s="45">
        <v>6910000</v>
      </c>
      <c r="BM60" s="40">
        <v>388</v>
      </c>
      <c r="BN60" s="40">
        <v>296</v>
      </c>
      <c r="BO60" s="49">
        <f>(0.0379*BM60/522)/((1-0.0379)+(0.0379*BM60/522))</f>
        <v>0.02844765180934665</v>
      </c>
      <c r="BP60" s="13">
        <f>2.8/3.8</f>
        <v>0.7368421052631579</v>
      </c>
      <c r="BQ60" s="42">
        <v>48345</v>
      </c>
      <c r="BR60" s="46">
        <v>193608</v>
      </c>
      <c r="BS60" s="43">
        <f t="shared" si="41"/>
        <v>27592.252595879578</v>
      </c>
      <c r="BT60" s="44">
        <v>19.04</v>
      </c>
      <c r="BU60" s="16">
        <f t="shared" si="38"/>
        <v>525356.4894255472</v>
      </c>
      <c r="BV60" s="17">
        <f t="shared" si="39"/>
        <v>30868989.026110258</v>
      </c>
      <c r="BW60" s="48">
        <f t="shared" si="18"/>
        <v>0.0020065301662599996</v>
      </c>
      <c r="BX60" s="18">
        <f t="shared" si="40"/>
        <v>0.0020065301662599996</v>
      </c>
      <c r="BY60" s="49">
        <v>0.002129737375089492</v>
      </c>
    </row>
    <row r="61" spans="5:66" ht="12.75">
      <c r="E61" s="36"/>
      <c r="F61" s="35"/>
      <c r="I61" s="55"/>
      <c r="J61" s="55"/>
      <c r="Q61" s="55"/>
      <c r="R61" s="55"/>
      <c r="AY61" s="55"/>
      <c r="AZ61" s="55"/>
      <c r="BF61" s="55"/>
      <c r="BM61" s="36"/>
      <c r="BN61" s="36"/>
    </row>
    <row r="62" spans="5:77" ht="12.75">
      <c r="E62" s="40">
        <f>SUM(E10:E60)</f>
        <v>260599</v>
      </c>
      <c r="F62" s="41">
        <f aca="true" t="shared" si="42" ref="F62:T62">SUM(F10:F60)</f>
        <v>274823</v>
      </c>
      <c r="G62" s="45">
        <f t="shared" si="42"/>
        <v>57830225</v>
      </c>
      <c r="H62" s="13"/>
      <c r="I62" s="56">
        <f t="shared" si="42"/>
        <v>142876</v>
      </c>
      <c r="J62" s="56">
        <f t="shared" si="42"/>
        <v>52040</v>
      </c>
      <c r="K62" s="13"/>
      <c r="L62" s="45">
        <f t="shared" si="42"/>
        <v>20488794.460239522</v>
      </c>
      <c r="M62" s="57"/>
      <c r="N62" s="16">
        <f t="shared" si="42"/>
        <v>47900338.26246471</v>
      </c>
      <c r="O62" s="45">
        <f t="shared" si="42"/>
        <v>4855789000</v>
      </c>
      <c r="P62" s="13"/>
      <c r="Q62" s="56">
        <f t="shared" si="42"/>
        <v>54027880</v>
      </c>
      <c r="R62" s="56">
        <f t="shared" si="42"/>
        <v>13246015</v>
      </c>
      <c r="S62" s="13"/>
      <c r="T62" s="45">
        <f t="shared" si="42"/>
        <v>847704971.7608252</v>
      </c>
      <c r="V62" s="16">
        <f aca="true" t="shared" si="43" ref="V62:AD62">SUM(V10:V60)</f>
        <v>6557775937.335934</v>
      </c>
      <c r="W62" s="45">
        <f t="shared" si="43"/>
        <v>816204950</v>
      </c>
      <c r="X62" s="13"/>
      <c r="Y62" s="45">
        <f t="shared" si="43"/>
        <v>888330172.8241999</v>
      </c>
      <c r="Z62" s="13"/>
      <c r="AA62" s="58">
        <f t="shared" si="43"/>
        <v>9457850</v>
      </c>
      <c r="AB62" s="58">
        <f t="shared" si="43"/>
        <v>2477080</v>
      </c>
      <c r="AC62" s="13"/>
      <c r="AD62" s="45">
        <f t="shared" si="43"/>
        <v>191166767.18167776</v>
      </c>
      <c r="AF62" s="16">
        <f aca="true" t="shared" si="44" ref="AF62:AL62">SUM(AF10:AF60)</f>
        <v>1893201232.6573346</v>
      </c>
      <c r="AG62" s="45">
        <f t="shared" si="44"/>
        <v>111169030</v>
      </c>
      <c r="AH62" s="13"/>
      <c r="AI62" s="58">
        <f t="shared" si="44"/>
        <v>9457850</v>
      </c>
      <c r="AJ62" s="58">
        <f t="shared" si="44"/>
        <v>2477080</v>
      </c>
      <c r="AK62" s="13"/>
      <c r="AL62" s="45">
        <f t="shared" si="44"/>
        <v>33166955.916895233</v>
      </c>
      <c r="AN62" s="16">
        <f aca="true" t="shared" si="45" ref="AN62:AT62">SUM(AN10:AN60)</f>
        <v>298673587.8708405</v>
      </c>
      <c r="AO62" s="45">
        <f t="shared" si="45"/>
        <v>464915000</v>
      </c>
      <c r="AP62" s="13">
        <f t="shared" si="45"/>
        <v>36.94441024447467</v>
      </c>
      <c r="AQ62" s="58">
        <f t="shared" si="45"/>
        <v>6880185</v>
      </c>
      <c r="AR62" s="58">
        <f t="shared" si="45"/>
        <v>2099665</v>
      </c>
      <c r="AS62" s="13"/>
      <c r="AT62" s="45">
        <f t="shared" si="45"/>
        <v>94150258.60882975</v>
      </c>
      <c r="AV62" s="16">
        <f aca="true" t="shared" si="46" ref="AV62:BB62">SUM(AV10:AV60)</f>
        <v>1332235625.4758518</v>
      </c>
      <c r="AW62" s="45">
        <f t="shared" si="46"/>
        <v>3892273000</v>
      </c>
      <c r="AX62" s="13"/>
      <c r="AY62" s="56">
        <f t="shared" si="46"/>
        <v>32010401</v>
      </c>
      <c r="AZ62" s="56">
        <f t="shared" si="46"/>
        <v>9135815</v>
      </c>
      <c r="BA62" s="13"/>
      <c r="BB62" s="45">
        <f t="shared" si="46"/>
        <v>100050731.95512678</v>
      </c>
      <c r="BD62" s="16">
        <f aca="true" t="shared" si="47" ref="BD62:BS62">SUM(BD10:BD60)</f>
        <v>2291719814.5905066</v>
      </c>
      <c r="BE62" s="13"/>
      <c r="BF62" s="56">
        <f t="shared" si="47"/>
        <v>1769781</v>
      </c>
      <c r="BG62" s="45">
        <f t="shared" si="47"/>
        <v>2815598.1631154106</v>
      </c>
      <c r="BH62" s="13"/>
      <c r="BI62" s="45">
        <f t="shared" si="47"/>
        <v>77897566.80578953</v>
      </c>
      <c r="BJ62" s="16">
        <f t="shared" si="47"/>
        <v>337296464.2690687</v>
      </c>
      <c r="BK62" s="16">
        <f t="shared" si="47"/>
        <v>12758803000.462002</v>
      </c>
      <c r="BL62" s="45">
        <f t="shared" si="47"/>
        <v>3892273000</v>
      </c>
      <c r="BM62" s="40">
        <f>SUM(BM10:BM60)</f>
        <v>64427</v>
      </c>
      <c r="BN62" s="59">
        <f t="shared" si="47"/>
        <v>54654</v>
      </c>
      <c r="BO62" s="13"/>
      <c r="BP62" s="13"/>
      <c r="BQ62" s="45">
        <f t="shared" si="47"/>
        <v>28048670</v>
      </c>
      <c r="BR62" s="45">
        <f t="shared" si="47"/>
        <v>105480101</v>
      </c>
      <c r="BS62" s="45">
        <f t="shared" si="47"/>
        <v>112840347.7677863</v>
      </c>
      <c r="BU62" s="16">
        <f>SUM(BU10:BU60)</f>
        <v>2625460613.0013375</v>
      </c>
      <c r="BV62" s="17">
        <f>SUM(BV10:BV60)</f>
        <v>15384263613.46334</v>
      </c>
      <c r="BW62" s="45">
        <f>SUM(BW10:BW60)</f>
        <v>1.0000000000000002</v>
      </c>
      <c r="BX62" s="60">
        <f>SUM(BX10:BX60)</f>
        <v>1.0000000000000002</v>
      </c>
      <c r="BY62" s="60">
        <f>SUM(BY10:BY60)</f>
        <v>1.0000000000000002</v>
      </c>
    </row>
    <row r="63" spans="9:75" ht="12.75">
      <c r="I63" s="55"/>
      <c r="BN63" s="36"/>
      <c r="BV63" s="17">
        <f>BK62+BU62</f>
        <v>15384263613.463339</v>
      </c>
      <c r="BW63" s="17"/>
    </row>
    <row r="64" spans="4:45" ht="12.75">
      <c r="D64" s="13"/>
      <c r="K64" s="13"/>
      <c r="S64" s="13"/>
      <c r="AK64" s="13"/>
      <c r="AS64" s="13"/>
    </row>
    <row r="65" spans="1:45" ht="12.75">
      <c r="A65" s="13"/>
      <c r="D65" s="13"/>
      <c r="K65" s="13"/>
      <c r="S65" s="13"/>
      <c r="X65" s="28"/>
      <c r="AK65" s="13"/>
      <c r="AS65" s="13"/>
    </row>
    <row r="66" spans="1:75" ht="12.75">
      <c r="A66" s="13"/>
      <c r="D66" s="13"/>
      <c r="K66" s="13"/>
      <c r="X66" s="28"/>
      <c r="AK66" s="13"/>
      <c r="AS66" s="13"/>
      <c r="BJ66" s="61"/>
      <c r="BK66" s="61"/>
      <c r="BV66" s="17"/>
      <c r="BW66" s="17"/>
    </row>
    <row r="67" spans="4:63" ht="12.75">
      <c r="D67" s="13"/>
      <c r="X67" s="28"/>
      <c r="AS67" s="13"/>
      <c r="BK67" s="62"/>
    </row>
    <row r="68" spans="4:63" ht="12.75">
      <c r="D68" s="13"/>
      <c r="X68" s="13"/>
      <c r="BK68" s="16"/>
    </row>
    <row r="69" ht="12.75">
      <c r="D69" s="13"/>
    </row>
    <row r="70" ht="12.75">
      <c r="G70" s="13"/>
    </row>
    <row r="74" ht="12.75">
      <c r="AH74" s="13"/>
    </row>
  </sheetData>
  <printOptions/>
  <pageMargins left="0.57" right="0.74" top="0.68" bottom="0.17" header="0.17" footer="7.99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USER</cp:lastModifiedBy>
  <cp:lastPrinted>2005-12-08T18:03:03Z</cp:lastPrinted>
  <dcterms:created xsi:type="dcterms:W3CDTF">2001-01-12T16:41:23Z</dcterms:created>
  <dcterms:modified xsi:type="dcterms:W3CDTF">2005-12-08T18:07:00Z</dcterms:modified>
  <cp:category/>
  <cp:version/>
  <cp:contentType/>
  <cp:contentStatus/>
</cp:coreProperties>
</file>