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1940" windowHeight="4995" activeTab="0"/>
  </bookViews>
  <sheets>
    <sheet name="Savings Estimate_New" sheetId="1" r:id="rId1"/>
    <sheet name="Lamps_New" sheetId="2" r:id="rId2"/>
  </sheets>
  <definedNames>
    <definedName name="_xlnm.Print_Area" localSheetId="1">'Lamps_New'!$A$1:$Q$55</definedName>
    <definedName name="_xlnm.Print_Area" localSheetId="0">'Savings Estimate_New'!$A$1:$L$21</definedName>
  </definedNames>
  <calcPr fullCalcOnLoad="1"/>
</workbook>
</file>

<file path=xl/comments1.xml><?xml version="1.0" encoding="utf-8"?>
<comments xmlns="http://schemas.openxmlformats.org/spreadsheetml/2006/main">
  <authors>
    <author>Michael Scholand</author>
  </authors>
  <commentList>
    <comment ref="D7" authorId="0">
      <text>
        <r>
          <rPr>
            <b/>
            <sz val="8"/>
            <rFont val="Tahoma"/>
            <family val="0"/>
          </rPr>
          <t>ADL:</t>
        </r>
        <r>
          <rPr>
            <sz val="8"/>
            <rFont val="Tahoma"/>
            <family val="0"/>
          </rPr>
          <t xml:space="preserve">
Lowest first cost lamp efficacy.  Costing from www.bulbs.com  Efficacy from manufacturer catalogues, 2001.</t>
        </r>
      </text>
    </comment>
    <comment ref="E7" authorId="0">
      <text>
        <r>
          <rPr>
            <b/>
            <sz val="8"/>
            <rFont val="Tahoma"/>
            <family val="0"/>
          </rPr>
          <t>Lumen Output:</t>
        </r>
        <r>
          <rPr>
            <sz val="8"/>
            <rFont val="Tahoma"/>
            <family val="0"/>
          </rPr>
          <t xml:space="preserve">
Lumen output of the lowest first-cost fluorescent tubes is held constant to determine energy savings potential.  Source: Manufacturer Catalogues, 2001.  Www.bulbs.com, 2001.
</t>
        </r>
      </text>
    </comment>
    <comment ref="J17" authorId="0">
      <text>
        <r>
          <rPr>
            <sz val="8"/>
            <rFont val="Tahoma"/>
            <family val="2"/>
          </rPr>
          <t>Note: This assumes no changed in installed base, a 20 year fixture lifespan and no change in site to source PEC ratio.</t>
        </r>
      </text>
    </comment>
    <comment ref="A11" authorId="0">
      <text>
        <r>
          <rPr>
            <b/>
            <sz val="8"/>
            <rFont val="Tahoma"/>
            <family val="0"/>
          </rPr>
          <t>ADL:</t>
        </r>
        <r>
          <rPr>
            <sz val="8"/>
            <rFont val="Tahoma"/>
            <family val="0"/>
          </rPr>
          <t xml:space="preserve">
Because the ADL inventory only accounts for T8 and T12 greater than 4 feet, an assumption is made that 50% of lamps greater than 4 feet are 8 foot lamps and are thus are subject to EPACT regulation.</t>
        </r>
      </text>
    </comment>
    <comment ref="A12" authorId="0">
      <text>
        <r>
          <rPr>
            <b/>
            <sz val="8"/>
            <rFont val="Tahoma"/>
            <family val="0"/>
          </rPr>
          <t xml:space="preserve">ADL:
</t>
        </r>
        <r>
          <rPr>
            <sz val="8"/>
            <rFont val="Tahoma"/>
            <family val="2"/>
          </rPr>
          <t>Because the ADL inventory only accounts for T8 and T12 greater than 4 feet, an assumption is made that 50% of lamps greater than 4 feet are 8 foot lamps and are thus are subject to EPACT regulation.</t>
        </r>
      </text>
    </comment>
  </commentList>
</comments>
</file>

<file path=xl/comments2.xml><?xml version="1.0" encoding="utf-8"?>
<comments xmlns="http://schemas.openxmlformats.org/spreadsheetml/2006/main">
  <authors>
    <author>y</author>
  </authors>
  <commentList>
    <comment ref="H21" authorId="0">
      <text>
        <r>
          <rPr>
            <b/>
            <sz val="8"/>
            <rFont val="Tahoma"/>
            <family val="0"/>
          </rPr>
          <t>BA:  LBNL Ballast Analysis, weightee avergae watts/lamp, 4 foot fixtures, F40T2/ES with magnetic ballast.</t>
        </r>
      </text>
    </comment>
    <comment ref="I22" authorId="0">
      <text>
        <r>
          <rPr>
            <sz val="8"/>
            <rFont val="Tahoma"/>
            <family val="0"/>
          </rPr>
          <t xml:space="preserve">BA:  Philips F40SPEC35/RS/EW, 
3 color temperatures
</t>
        </r>
      </text>
    </comment>
    <comment ref="H48" authorId="0">
      <text>
        <r>
          <rPr>
            <b/>
            <sz val="8"/>
            <rFont val="Tahoma"/>
            <family val="0"/>
          </rPr>
          <t>BA:  LBNL Ballast Analysis, weightee avergae watts/lamp, 4 foot fixtures, F32T8/RE70 with electronic rapid start ballast.</t>
        </r>
      </text>
    </comment>
    <comment ref="I49" authorId="0">
      <text>
        <r>
          <rPr>
            <sz val="8"/>
            <rFont val="Tahoma"/>
            <family val="0"/>
          </rPr>
          <t xml:space="preserve">BA:  Calculated  by multiplying baseline mean lumens by ratio of initial lumens of FEMP lamp / 
initial lumens of baseline lamp.
</t>
        </r>
      </text>
    </comment>
    <comment ref="I50" authorId="0">
      <text>
        <r>
          <rPr>
            <b/>
            <sz val="8"/>
            <rFont val="Tahoma"/>
            <family val="0"/>
          </rPr>
          <t>BA:  From Best Available table lamps with 3000 initial lumens.</t>
        </r>
      </text>
    </comment>
    <comment ref="H76" authorId="0">
      <text>
        <r>
          <rPr>
            <b/>
            <sz val="8"/>
            <rFont val="Tahoma"/>
            <family val="0"/>
          </rPr>
          <t xml:space="preserve">BA:  Average of T12 and T8 values (assumes 50% each, with no basis…)
</t>
        </r>
      </text>
    </comment>
    <comment ref="G76" authorId="0">
      <text>
        <r>
          <rPr>
            <b/>
            <sz val="8"/>
            <rFont val="Tahoma"/>
            <family val="0"/>
          </rPr>
          <t xml:space="preserve">BA:  Average of T12 and T8 values (assumes 50% each, with no basis…)
</t>
        </r>
      </text>
    </comment>
    <comment ref="I77" authorId="0">
      <text>
        <r>
          <rPr>
            <b/>
            <sz val="8"/>
            <rFont val="Tahoma"/>
            <family val="0"/>
          </rPr>
          <t>From lamp with 2650 initial lumens in Baseline table</t>
        </r>
      </text>
    </comment>
    <comment ref="I78" authorId="0">
      <text>
        <r>
          <rPr>
            <sz val="8"/>
            <rFont val="Tahoma"/>
            <family val="0"/>
          </rPr>
          <t xml:space="preserve">BA:  Average of 2 lamps with 2800 initial lumens in Best Available table. 
</t>
        </r>
      </text>
    </comment>
    <comment ref="I105" authorId="0">
      <text>
        <r>
          <rPr>
            <b/>
            <sz val="8"/>
            <rFont val="Tahoma"/>
            <family val="0"/>
          </rPr>
          <t>BA:  From baseline table lamp with 5700 lumens</t>
        </r>
      </text>
    </comment>
    <comment ref="I106" authorId="0">
      <text>
        <r>
          <rPr>
            <b/>
            <sz val="8"/>
            <rFont val="Tahoma"/>
            <family val="0"/>
          </rPr>
          <t>BA:  Average of lamps in Best Available table with 5950 or 5900 lumens, adjusting mean lumens of lamp with 5900 initial lumens by ratio of 5950/5900.</t>
        </r>
      </text>
    </comment>
    <comment ref="I110" authorId="0">
      <text>
        <r>
          <rPr>
            <b/>
            <sz val="8"/>
            <rFont val="Tahoma"/>
            <family val="0"/>
          </rPr>
          <t>BA:  Lamp in Best Available table with 6000 initial lumens</t>
        </r>
      </text>
    </comment>
    <comment ref="I109" authorId="0">
      <text>
        <r>
          <rPr>
            <b/>
            <sz val="8"/>
            <rFont val="Tahoma"/>
            <family val="0"/>
          </rPr>
          <t>BA:  Mean lumens of lamp with 5500 initial lumens, adjusted by 5600/5500</t>
        </r>
      </text>
    </comment>
    <comment ref="H111" authorId="0">
      <text>
        <r>
          <rPr>
            <b/>
            <sz val="8"/>
            <rFont val="Tahoma"/>
            <family val="0"/>
          </rPr>
          <t xml:space="preserve">BA:  Watts per lamp (from 2-lamp system), LBNL Ballast Standards Analysis
</t>
        </r>
      </text>
    </comment>
    <comment ref="H104" authorId="0">
      <text>
        <r>
          <rPr>
            <b/>
            <sz val="8"/>
            <rFont val="Tahoma"/>
            <family val="0"/>
          </rPr>
          <t>BA:  Advanca Ballast Selection Guide, April 2000, 2-lamp ballast = 110 W/2 = 55 W, normalized by ratio of ballast factor to baseline ballast (this is a different normalization of wattage than that for fixture spacing; it assumes that a ballast could be built at this wattage with the same BF as the baseline ballast.  We did this normalization in the LBNL ballast analysis with stakeholder  input).</t>
        </r>
      </text>
    </comment>
  </commentList>
</comments>
</file>

<file path=xl/sharedStrings.xml><?xml version="1.0" encoding="utf-8"?>
<sst xmlns="http://schemas.openxmlformats.org/spreadsheetml/2006/main" count="424" uniqueCount="172">
  <si>
    <t>Baseline:</t>
  </si>
  <si>
    <t>Business as usual, standards in place do not change</t>
  </si>
  <si>
    <t>Scenario 1:</t>
  </si>
  <si>
    <t>Scenario 2:</t>
  </si>
  <si>
    <t>Baseline</t>
  </si>
  <si>
    <t>Scenario 1</t>
  </si>
  <si>
    <t>Scenario 2</t>
  </si>
  <si>
    <t>Sector</t>
  </si>
  <si>
    <t>Annual Quads PEC</t>
  </si>
  <si>
    <t>Com / Ind</t>
  </si>
  <si>
    <t>Total</t>
  </si>
  <si>
    <t>Savings over Baseline in one year (Quads PEC)</t>
  </si>
  <si>
    <t>Savings over Baseline in one year (percent)</t>
  </si>
  <si>
    <t>Days per year</t>
  </si>
  <si>
    <t>Assumed lifespan of a fixture, regardless of light technology (years)</t>
  </si>
  <si>
    <t>Units conversion, Terawatt-hrs per Quad</t>
  </si>
  <si>
    <t>T-12 Baseline (Note: these lamps were selected by choosing the lowest first cost 34W T-12 on www.bulbs.com, and identifying the equivalent models from the manufacturer catalogues.)</t>
  </si>
  <si>
    <t>Brand</t>
  </si>
  <si>
    <t>Watts</t>
  </si>
  <si>
    <t>Size</t>
  </si>
  <si>
    <t>Len. (in)</t>
  </si>
  <si>
    <t>Description</t>
  </si>
  <si>
    <t>Catalogue #</t>
  </si>
  <si>
    <t>Model</t>
  </si>
  <si>
    <t>Life (hrs)</t>
  </si>
  <si>
    <t>CRI</t>
  </si>
  <si>
    <t>Color Temp (K)</t>
  </si>
  <si>
    <t>Initial Lumens</t>
  </si>
  <si>
    <t>Initial Efficacy</t>
  </si>
  <si>
    <t>Price</t>
  </si>
  <si>
    <t>General Electric</t>
  </si>
  <si>
    <t>T-12</t>
  </si>
  <si>
    <t>Warm White, rapid start</t>
  </si>
  <si>
    <t>F40WW/RS/WM 30PK</t>
  </si>
  <si>
    <t>Philips</t>
  </si>
  <si>
    <t>F40WW/RS/EW ALTO</t>
  </si>
  <si>
    <t>$1.92 ea. for 30</t>
  </si>
  <si>
    <t>Osram Sylvania</t>
  </si>
  <si>
    <t>F40/WW/SS</t>
  </si>
  <si>
    <t>20000+</t>
  </si>
  <si>
    <t>Cool White, rapid start</t>
  </si>
  <si>
    <t>F40CW/RS/WM</t>
  </si>
  <si>
    <t>F40/CW/RS/EW ALTO</t>
  </si>
  <si>
    <t>$1.56 ea. for 30</t>
  </si>
  <si>
    <t>F40CW/SS/ECO</t>
  </si>
  <si>
    <t>Best Available Technology</t>
  </si>
  <si>
    <t>Rapid Start Lamp</t>
  </si>
  <si>
    <t>F40SPX30/RS/WM</t>
  </si>
  <si>
    <t>Ultralume, RS Fluorescent</t>
  </si>
  <si>
    <t>F40/30U/RS/EW/ALTO</t>
  </si>
  <si>
    <t>Supersaver RS Lamps</t>
  </si>
  <si>
    <t>F40/D830/SS</t>
  </si>
  <si>
    <t>ECOLUX lamps - TCLP compliant</t>
  </si>
  <si>
    <t>F40SPX30/RS/WM/ECO</t>
  </si>
  <si>
    <t>F40/41U/RS/EW/ALTO</t>
  </si>
  <si>
    <t>F40/D841/SS</t>
  </si>
  <si>
    <t>Wattages if lumens held constant</t>
  </si>
  <si>
    <t>Average:</t>
  </si>
  <si>
    <t>T-8 Baseline</t>
  </si>
  <si>
    <t>T-8</t>
  </si>
  <si>
    <t>Med. bi-pin, rapid start</t>
  </si>
  <si>
    <t>F32T8/SP41</t>
  </si>
  <si>
    <t>F32T8/TL741/ALTO</t>
  </si>
  <si>
    <t>$2.34 ea. for 25</t>
  </si>
  <si>
    <t>FO32/741</t>
  </si>
  <si>
    <t>F32T8/SP35</t>
  </si>
  <si>
    <t>F32T8/TL735/ALTO</t>
  </si>
  <si>
    <t>FO32/735</t>
  </si>
  <si>
    <t>StarCoat T8 Lamps</t>
  </si>
  <si>
    <t>F32T8/SPX30</t>
  </si>
  <si>
    <t>Advantage RS Ultimate Performance</t>
  </si>
  <si>
    <t>F32T8/ADV835/ALTO</t>
  </si>
  <si>
    <t>Extended Performance - 800 series</t>
  </si>
  <si>
    <t>FO32/830/XP</t>
  </si>
  <si>
    <t>EcoLux Lamps - TCLP Compliant</t>
  </si>
  <si>
    <t>F32T8/SPX30/ECO</t>
  </si>
  <si>
    <t>F32T8/ADV841/ALTO</t>
  </si>
  <si>
    <t>FO32/841/XP</t>
  </si>
  <si>
    <t>Phase 1 Energy Use (TWh/yr)</t>
  </si>
  <si>
    <t>Cumulative savings over Baseline 2008-2030 for Fluorescent (Quads PEC)</t>
  </si>
  <si>
    <t>1998 Site to Source conversion to Quads PEC (BTS Core Databook, 2000)</t>
  </si>
  <si>
    <t>Catalogue Best Available (Manufacturer Catalogues, 2001)</t>
  </si>
  <si>
    <t>lumens</t>
  </si>
  <si>
    <t>lm/W</t>
  </si>
  <si>
    <t>Baseline - lowest first cost (Manufacturer Catalogues, 2001)</t>
  </si>
  <si>
    <t>Baseline lumen service (lowest first-cost lamp)</t>
  </si>
  <si>
    <t>Fluorescent lamp standard raised to FEMP recommended level (hold lumen output constant and use higher efficacious lamp)</t>
  </si>
  <si>
    <t>Fluorescent lamp standard raised to FEMP Best Available (hold lumen output constant and use higher efficacious lamp)</t>
  </si>
  <si>
    <t>4-Foot Linear (T8)</t>
  </si>
  <si>
    <t>4-Foot Linear (T12)</t>
  </si>
  <si>
    <t>U-tube lamps (T8 and T12)</t>
  </si>
  <si>
    <t>8-Foot Linear (T8)</t>
  </si>
  <si>
    <t>8-Foot Linear (T12)</t>
  </si>
  <si>
    <t>U-type Baseline</t>
  </si>
  <si>
    <t>Warm White, Medium bi-pin</t>
  </si>
  <si>
    <t>F40/WW/U/6/WM</t>
  </si>
  <si>
    <t>FB40WW/6/EW ALTO</t>
  </si>
  <si>
    <t>FB40/WW/6/SS</t>
  </si>
  <si>
    <t>Med bi-pin, rapid start, 3000K</t>
  </si>
  <si>
    <t>F32T8/SP30/U/6</t>
  </si>
  <si>
    <t>FB32T8/TL730/6</t>
  </si>
  <si>
    <t>Warm White, Watt-Miser, 6" spacing between legs</t>
  </si>
  <si>
    <t>RE 830 Phosphor, 6" spacing between legs</t>
  </si>
  <si>
    <t>F40SPX30/U/6</t>
  </si>
  <si>
    <t>RE730 Phosphor, 6" spacing between legs</t>
  </si>
  <si>
    <t>F32T8/SPX30/U/6</t>
  </si>
  <si>
    <t>U-bent, rapid start lamps</t>
  </si>
  <si>
    <t>F32T8/TL830/6</t>
  </si>
  <si>
    <t>SPEC, 3000K</t>
  </si>
  <si>
    <t>33092-8</t>
  </si>
  <si>
    <t>F40/SPEC30/6/EW</t>
  </si>
  <si>
    <t>FBO32/730/6</t>
  </si>
  <si>
    <t>Octron Curvalume 700 series</t>
  </si>
  <si>
    <t>Octron Curvalume 800 series</t>
  </si>
  <si>
    <t>FBO32/830/6</t>
  </si>
  <si>
    <t>Curvalume Rapid Start Lamps</t>
  </si>
  <si>
    <t>FB40/D30/6/SS</t>
  </si>
  <si>
    <t>Curvalume Rapid Start</t>
  </si>
  <si>
    <t>$8.00 ea for 20</t>
  </si>
  <si>
    <t>$6.50 ea for 20</t>
  </si>
  <si>
    <t>Eight foot fluorescent lamp baselines (T8 and T12)</t>
  </si>
  <si>
    <t xml:space="preserve">T-12 Cool White </t>
  </si>
  <si>
    <t>F96T12/CW/EW ALTO</t>
  </si>
  <si>
    <t>F96T12/CW/WM/ECO</t>
  </si>
  <si>
    <t>F96T12/CW/SS/ECO</t>
  </si>
  <si>
    <t>T-8 Cool White</t>
  </si>
  <si>
    <t>$3.64 ea for 45</t>
  </si>
  <si>
    <t>F96T8/TL730</t>
  </si>
  <si>
    <t>F96T8/SP30</t>
  </si>
  <si>
    <t>FO96/730</t>
  </si>
  <si>
    <t>$8.16 ea for 48</t>
  </si>
  <si>
    <t>T-8 Average:</t>
  </si>
  <si>
    <t>T-12 Average:</t>
  </si>
  <si>
    <t>F96T12/SPX41/WM 15 PK</t>
  </si>
  <si>
    <t>RE 841 Phosphor</t>
  </si>
  <si>
    <t>T-8 Baseline - lowest first cost (Manufacturer Catalogues, 2001)</t>
  </si>
  <si>
    <t>T-8 Best Available (Manufacturer Catalogues, 2001)</t>
  </si>
  <si>
    <t>T-12 Baseline - lowest first cost (Manufacturer Catalogues, 2001)</t>
  </si>
  <si>
    <t>T-12 Best Available (Manufacturer Catalogues, 2001)</t>
  </si>
  <si>
    <t>RE 730 Phosphor</t>
  </si>
  <si>
    <t>RE 830 Phosphor</t>
  </si>
  <si>
    <t>F96T8/SPX30</t>
  </si>
  <si>
    <t>F96T8/TL830</t>
  </si>
  <si>
    <t>Instant Start Fluorescent Lamps</t>
  </si>
  <si>
    <t>Ultralume</t>
  </si>
  <si>
    <t>F96T12/41U/EW</t>
  </si>
  <si>
    <t>Single Pin base</t>
  </si>
  <si>
    <t>Designer 800 Supersaver</t>
  </si>
  <si>
    <t>F96T12/D841/SS</t>
  </si>
  <si>
    <t>Octron 700 series</t>
  </si>
  <si>
    <t>Octron 800 Series</t>
  </si>
  <si>
    <t>FO96/830</t>
  </si>
  <si>
    <t>Baseline Efficacy (average, lowest first-cost lamp)</t>
  </si>
  <si>
    <t>Scenario 3:  T12 Electronic to T8 Electronic</t>
  </si>
  <si>
    <t>System Watts</t>
  </si>
  <si>
    <t>Mean Lumens</t>
  </si>
  <si>
    <t>BF</t>
  </si>
  <si>
    <t>Ratio I/M</t>
  </si>
  <si>
    <t>FEMP recommended (Dec 2000), 2800 Initial Lumens</t>
  </si>
  <si>
    <t>FEMP Best Available (Dec 2000), 2900 Initial Lumens</t>
  </si>
  <si>
    <t>Scenario 1: FEMP Recommended, Normalized Watts</t>
  </si>
  <si>
    <t>Scenario 2: FEMP Best Available, Normalized Watts</t>
  </si>
  <si>
    <t>Baseline System Wattage per Lamp</t>
  </si>
  <si>
    <t>FEMP Best Available (Dec 2000), 3000 Initial Lumens</t>
  </si>
  <si>
    <t>Mean Efficacy</t>
  </si>
  <si>
    <t>FEMP recommended (Dec 2000), 2650 initial lumens</t>
  </si>
  <si>
    <t>FEMP Best Available (Dec 2000), 2800  initial lumens</t>
  </si>
  <si>
    <t>FEMP recommended T-8 (Dec 2000), 5700 initial lumens</t>
  </si>
  <si>
    <t>FEMP Best Available T-8 (Dec 2000), 5950 initial lumens</t>
  </si>
  <si>
    <t>FEMP recommended T-12 (Dec 2000), 5600 initial lumens</t>
  </si>
  <si>
    <t>FEMP Best Available T-12 (Dec 2000), 6000 initial lumens</t>
  </si>
  <si>
    <t>DOE Priority Rulemaking: EPACT Update to Fluorescent Lamps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</si>
</sst>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00"/>
    <numFmt numFmtId="167" formatCode="0.0"/>
    <numFmt numFmtId="168" formatCode="0.0000"/>
    <numFmt numFmtId="169" formatCode="_(* #,##0.0_);_(* \(#,##0.0\);_(* &quot;-&quot;?_);_(@_)"/>
    <numFmt numFmtId="170" formatCode="_(* #,##0_);_(* \(#,##0\);_(* &quot;-&quot;?_);_(@_)"/>
    <numFmt numFmtId="171" formatCode="0.0000000"/>
    <numFmt numFmtId="172" formatCode="0.000000"/>
    <numFmt numFmtId="173" formatCode="0.00000"/>
    <numFmt numFmtId="174" formatCode="_(* #,##0.0_);_(* \(#,##0.0\);_(* &quot;-&quot;_);_(@_)"/>
    <numFmt numFmtId="175" formatCode="_(* #,##0.00_);_(* \(#,##0.00\);_(* &quot;-&quot;_);_(@_)"/>
    <numFmt numFmtId="176" formatCode="_(* #,##0.000_);_(* \(#,##0.000\);_(* &quot;-&quot;???_);_(@_)"/>
    <numFmt numFmtId="177" formatCode="_(* #,##0.0_);_(* \(#,##0.0\);_(* &quot;-&quot;??_);_(@_)"/>
    <numFmt numFmtId="178" formatCode="0.00000000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/>
    </xf>
    <xf numFmtId="164" fontId="2" fillId="0" borderId="1" xfId="15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right"/>
    </xf>
    <xf numFmtId="166" fontId="2" fillId="4" borderId="1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164" fontId="2" fillId="0" borderId="2" xfId="15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6" fontId="2" fillId="3" borderId="2" xfId="0" applyNumberFormat="1" applyFont="1" applyFill="1" applyBorder="1" applyAlignment="1">
      <alignment horizontal="right"/>
    </xf>
    <xf numFmtId="166" fontId="2" fillId="4" borderId="2" xfId="0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right"/>
    </xf>
    <xf numFmtId="164" fontId="2" fillId="0" borderId="3" xfId="15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43" fontId="2" fillId="0" borderId="3" xfId="0" applyNumberFormat="1" applyFont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65" fontId="2" fillId="3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9" fontId="2" fillId="3" borderId="1" xfId="19" applyFont="1" applyFill="1" applyBorder="1" applyAlignment="1">
      <alignment horizontal="right"/>
    </xf>
    <xf numFmtId="9" fontId="2" fillId="4" borderId="1" xfId="19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right"/>
    </xf>
    <xf numFmtId="167" fontId="0" fillId="0" borderId="0" xfId="0" applyNumberFormat="1" applyAlignment="1">
      <alignment/>
    </xf>
    <xf numFmtId="0" fontId="0" fillId="5" borderId="13" xfId="0" applyFill="1" applyBorder="1" applyAlignment="1">
      <alignment/>
    </xf>
    <xf numFmtId="167" fontId="0" fillId="5" borderId="14" xfId="0" applyNumberFormat="1" applyFill="1" applyBorder="1" applyAlignment="1">
      <alignment horizontal="center"/>
    </xf>
    <xf numFmtId="0" fontId="0" fillId="5" borderId="15" xfId="0" applyFill="1" applyBorder="1" applyAlignment="1">
      <alignment/>
    </xf>
    <xf numFmtId="175" fontId="2" fillId="0" borderId="1" xfId="0" applyNumberFormat="1" applyFont="1" applyBorder="1" applyAlignment="1">
      <alignment horizontal="right"/>
    </xf>
    <xf numFmtId="175" fontId="2" fillId="0" borderId="2" xfId="15" applyNumberFormat="1" applyFont="1" applyBorder="1" applyAlignment="1">
      <alignment horizontal="right"/>
    </xf>
    <xf numFmtId="167" fontId="2" fillId="0" borderId="1" xfId="0" applyNumberFormat="1" applyFont="1" applyBorder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9" fontId="2" fillId="0" borderId="0" xfId="19" applyFont="1" applyAlignment="1">
      <alignment horizontal="center"/>
    </xf>
    <xf numFmtId="43" fontId="2" fillId="5" borderId="1" xfId="0" applyNumberFormat="1" applyFont="1" applyFill="1" applyBorder="1" applyAlignment="1">
      <alignment horizontal="center"/>
    </xf>
    <xf numFmtId="175" fontId="2" fillId="0" borderId="3" xfId="0" applyNumberFormat="1" applyFont="1" applyBorder="1" applyAlignment="1">
      <alignment horizontal="left"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167" fontId="0" fillId="3" borderId="16" xfId="0" applyNumberFormat="1" applyFill="1" applyBorder="1" applyAlignment="1">
      <alignment horizontal="center"/>
    </xf>
    <xf numFmtId="167" fontId="0" fillId="3" borderId="0" xfId="0" applyNumberFormat="1" applyFill="1" applyBorder="1" applyAlignment="1">
      <alignment horizontal="center"/>
    </xf>
    <xf numFmtId="167" fontId="0" fillId="3" borderId="10" xfId="0" applyNumberFormat="1" applyFill="1" applyBorder="1" applyAlignment="1">
      <alignment horizontal="center"/>
    </xf>
    <xf numFmtId="1" fontId="0" fillId="3" borderId="18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" fontId="0" fillId="3" borderId="9" xfId="0" applyNumberFormat="1" applyFill="1" applyBorder="1" applyAlignment="1">
      <alignment horizontal="center"/>
    </xf>
    <xf numFmtId="167" fontId="0" fillId="3" borderId="17" xfId="0" applyNumberForma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75" fontId="2" fillId="0" borderId="1" xfId="15" applyNumberFormat="1" applyFont="1" applyBorder="1" applyAlignment="1">
      <alignment horizontal="right"/>
    </xf>
    <xf numFmtId="1" fontId="0" fillId="3" borderId="7" xfId="0" applyNumberForma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Alignment="1">
      <alignment/>
    </xf>
    <xf numFmtId="166" fontId="0" fillId="0" borderId="10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7" fontId="0" fillId="3" borderId="7" xfId="0" applyNumberFormat="1" applyFill="1" applyBorder="1" applyAlignment="1">
      <alignment horizontal="center"/>
    </xf>
    <xf numFmtId="167" fontId="0" fillId="3" borderId="1" xfId="0" applyNumberFormat="1" applyFill="1" applyBorder="1" applyAlignment="1">
      <alignment horizontal="center"/>
    </xf>
    <xf numFmtId="167" fontId="0" fillId="3" borderId="3" xfId="0" applyNumberFormat="1" applyFill="1" applyBorder="1" applyAlignment="1">
      <alignment horizontal="center"/>
    </xf>
    <xf numFmtId="167" fontId="0" fillId="3" borderId="19" xfId="0" applyNumberFormat="1" applyFill="1" applyBorder="1" applyAlignment="1">
      <alignment horizontal="center"/>
    </xf>
    <xf numFmtId="167" fontId="0" fillId="3" borderId="20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1.8515625" style="3" customWidth="1"/>
    <col min="2" max="2" width="15.28125" style="2" customWidth="1"/>
    <col min="3" max="3" width="12.28125" style="2" customWidth="1"/>
    <col min="4" max="5" width="15.7109375" style="2" customWidth="1"/>
    <col min="6" max="6" width="14.140625" style="2" customWidth="1"/>
    <col min="7" max="7" width="14.00390625" style="2" customWidth="1"/>
    <col min="8" max="9" width="13.7109375" style="2" customWidth="1"/>
    <col min="10" max="10" width="10.7109375" style="2" customWidth="1"/>
    <col min="11" max="11" width="12.28125" style="2" customWidth="1"/>
    <col min="12" max="12" width="12.00390625" style="2" customWidth="1"/>
    <col min="13" max="13" width="5.28125" style="3" customWidth="1"/>
    <col min="14" max="14" width="9.140625" style="3" customWidth="1"/>
    <col min="15" max="16384" width="9.140625" style="2" customWidth="1"/>
  </cols>
  <sheetData>
    <row r="1" ht="15.75">
      <c r="A1" s="1" t="s">
        <v>171</v>
      </c>
    </row>
    <row r="2" ht="11.25"/>
    <row r="3" spans="2:3" ht="11.25">
      <c r="B3" s="3" t="s">
        <v>0</v>
      </c>
      <c r="C3" s="3" t="s">
        <v>1</v>
      </c>
    </row>
    <row r="4" spans="2:4" ht="12.75">
      <c r="B4" s="3" t="s">
        <v>2</v>
      </c>
      <c r="C4" s="3" t="s">
        <v>86</v>
      </c>
      <c r="D4"/>
    </row>
    <row r="5" spans="2:4" ht="12.75">
      <c r="B5" s="3" t="s">
        <v>3</v>
      </c>
      <c r="C5" s="3" t="s">
        <v>87</v>
      </c>
      <c r="D5"/>
    </row>
    <row r="6" spans="1:12" ht="14.25" customHeight="1">
      <c r="A6"/>
      <c r="B6"/>
      <c r="C6"/>
      <c r="D6"/>
      <c r="J6" s="4" t="s">
        <v>4</v>
      </c>
      <c r="K6" s="5" t="s">
        <v>5</v>
      </c>
      <c r="L6" s="6" t="s">
        <v>6</v>
      </c>
    </row>
    <row r="7" spans="1:14" s="13" customFormat="1" ht="35.25" customHeight="1">
      <c r="A7" s="7"/>
      <c r="B7" s="8" t="s">
        <v>7</v>
      </c>
      <c r="C7" s="8" t="s">
        <v>78</v>
      </c>
      <c r="D7" s="8" t="s">
        <v>152</v>
      </c>
      <c r="E7" s="8" t="s">
        <v>85</v>
      </c>
      <c r="F7" s="8" t="s">
        <v>162</v>
      </c>
      <c r="G7" s="8" t="s">
        <v>160</v>
      </c>
      <c r="H7" s="8" t="s">
        <v>161</v>
      </c>
      <c r="I7" s="8" t="s">
        <v>153</v>
      </c>
      <c r="J7" s="9" t="s">
        <v>8</v>
      </c>
      <c r="K7" s="10" t="s">
        <v>8</v>
      </c>
      <c r="L7" s="11" t="s">
        <v>8</v>
      </c>
      <c r="M7" s="12"/>
      <c r="N7" s="12"/>
    </row>
    <row r="8" spans="1:12" ht="14.25" customHeight="1">
      <c r="A8" s="14" t="s">
        <v>88</v>
      </c>
      <c r="B8" s="15" t="s">
        <v>9</v>
      </c>
      <c r="C8" s="62">
        <v>43.71813706569</v>
      </c>
      <c r="D8" s="16">
        <f>ROUND(Lamps_New!J48,1)</f>
        <v>80.9</v>
      </c>
      <c r="E8" s="83">
        <f>Lamps_New!I48</f>
        <v>2710</v>
      </c>
      <c r="F8" s="16">
        <f>Lamps_New!H48</f>
        <v>29.8</v>
      </c>
      <c r="G8" s="64">
        <f>ROUND(E8*Lamps_New!$G$48/Lamps_New!J49,1)</f>
        <v>30.3</v>
      </c>
      <c r="H8" s="16">
        <f>ROUND(E8*Lamps_New!G48/Lamps_New!J50,1)</f>
        <v>28.6</v>
      </c>
      <c r="I8" s="16"/>
      <c r="J8" s="17">
        <f>C8/A$20*A$19</f>
        <v>0.48045680109872047</v>
      </c>
      <c r="K8" s="18">
        <f>IF(G8&gt;F8,J8,J8*G8/F8)</f>
        <v>0.48045680109872047</v>
      </c>
      <c r="L8" s="19">
        <f>J8*H8/F8</f>
        <v>0.46110954736320153</v>
      </c>
    </row>
    <row r="9" spans="1:12" ht="14.25" customHeight="1">
      <c r="A9" s="14" t="s">
        <v>89</v>
      </c>
      <c r="B9" s="15" t="s">
        <v>9</v>
      </c>
      <c r="C9" s="84">
        <v>97.549708446918</v>
      </c>
      <c r="D9" s="16">
        <f>ROUND(Lamps_New!J21,1)</f>
        <v>57</v>
      </c>
      <c r="E9" s="83">
        <f>Lamps_New!I21</f>
        <v>2312.5</v>
      </c>
      <c r="F9" s="16">
        <f>Lamps_New!H21</f>
        <v>35.7</v>
      </c>
      <c r="G9" s="64">
        <f>ROUND(E9*Lamps_New!G21/Lamps_New!J22,1)</f>
        <v>32.8</v>
      </c>
      <c r="H9" s="16">
        <f>ROUND(E9*Lamps_New!G21/Lamps_New!J23,1)</f>
        <v>31.7</v>
      </c>
      <c r="I9" s="16"/>
      <c r="J9" s="17">
        <f>C9/A$20*A$19</f>
        <v>1.0720589671535066</v>
      </c>
      <c r="K9" s="18">
        <f>IF(G9&gt;F9,J9,J9*G9/F9)</f>
        <v>0.984972944611625</v>
      </c>
      <c r="L9" s="19">
        <f>J9*H9/F9</f>
        <v>0.9519403153716008</v>
      </c>
    </row>
    <row r="10" spans="1:12" ht="14.25" customHeight="1">
      <c r="A10" s="14" t="s">
        <v>90</v>
      </c>
      <c r="B10" s="15" t="s">
        <v>9</v>
      </c>
      <c r="C10" s="84">
        <v>6.530203516089</v>
      </c>
      <c r="D10" s="16">
        <f>ROUND(Lamps_New!J76,1)</f>
        <v>61.7</v>
      </c>
      <c r="E10" s="83">
        <f>Lamps_New!I76</f>
        <v>2283.75</v>
      </c>
      <c r="F10" s="16">
        <f>F9</f>
        <v>35.7</v>
      </c>
      <c r="G10" s="64">
        <f>ROUND(E10*Lamps_New!G76/Lamps_New!J77,1)</f>
        <v>31.6</v>
      </c>
      <c r="H10" s="64">
        <f>ROUND(E10*Lamps_New!G76/Lamps_New!J78,1)</f>
        <v>29</v>
      </c>
      <c r="I10" s="16"/>
      <c r="J10" s="17">
        <f>C10/A$20*A$19</f>
        <v>0.0717661113315378</v>
      </c>
      <c r="K10" s="18">
        <f>IF(G10&gt;F10,J10,J10*G10/F10)</f>
        <v>0.0635240649321175</v>
      </c>
      <c r="L10" s="19">
        <f>J10*H10/F10</f>
        <v>0.05829740136175339</v>
      </c>
    </row>
    <row r="11" spans="1:12" ht="14.25" customHeight="1">
      <c r="A11" s="14" t="s">
        <v>91</v>
      </c>
      <c r="B11" s="15" t="s">
        <v>9</v>
      </c>
      <c r="C11" s="84">
        <v>0.16953959157</v>
      </c>
      <c r="D11" s="16">
        <f>ROUND(Lamps_New!J104,1)</f>
        <v>89</v>
      </c>
      <c r="E11" s="83">
        <f>Lamps_New!I104</f>
        <v>5250</v>
      </c>
      <c r="F11" s="16">
        <f>Lamps_New!H104</f>
        <v>56.94117647058823</v>
      </c>
      <c r="G11" s="64">
        <f>ROUND(E11*Lamps_New!G104/Lamps_New!J105,1)</f>
        <v>50.7</v>
      </c>
      <c r="H11" s="64">
        <f>ROUND(E11*Lamps_New!G104/Lamps_New!J106,1)</f>
        <v>48</v>
      </c>
      <c r="I11" s="16"/>
      <c r="J11" s="17">
        <f>C11/A$20*A$19</f>
        <v>0.0018632186843394304</v>
      </c>
      <c r="K11" s="18">
        <f>IF(G11&gt;F11,J11,J11*G11/F11)</f>
        <v>0.001658996057884458</v>
      </c>
      <c r="L11" s="19">
        <f>J11*H11/F11</f>
        <v>0.0015706471553935696</v>
      </c>
    </row>
    <row r="12" spans="1:12" ht="14.25" customHeight="1" thickBot="1">
      <c r="A12" s="20" t="s">
        <v>92</v>
      </c>
      <c r="B12" s="21" t="s">
        <v>9</v>
      </c>
      <c r="C12" s="63">
        <v>17.316472265292</v>
      </c>
      <c r="D12" s="22">
        <f>ROUND(Lamps_New!J108,1)</f>
        <v>68.5</v>
      </c>
      <c r="E12" s="66">
        <f>Lamps_New!I108</f>
        <v>4905</v>
      </c>
      <c r="F12" s="22">
        <f>Lamps_New!H111</f>
        <v>63.05</v>
      </c>
      <c r="G12" s="65">
        <f>ROUND(E12*Lamps_New!G111/Lamps_New!J109,1)</f>
        <v>60</v>
      </c>
      <c r="H12" s="65">
        <f>ROUND(E12*Lamps_New!G111/Lamps_New!J110,1)</f>
        <v>54.8</v>
      </c>
      <c r="I12" s="22"/>
      <c r="J12" s="23">
        <f>C12/A$20*A$19</f>
        <v>0.19030584167837977</v>
      </c>
      <c r="K12" s="24">
        <f>IF(G12&gt;F12,J12,J12*G12/F12)</f>
        <v>0.18109992863921945</v>
      </c>
      <c r="L12" s="25">
        <f>J12*H12/F12</f>
        <v>0.1654046014904871</v>
      </c>
    </row>
    <row r="13" spans="1:12" ht="14.25" customHeight="1">
      <c r="A13" s="26" t="s">
        <v>10</v>
      </c>
      <c r="B13" s="27"/>
      <c r="C13" s="69">
        <f>SUM(C8:C9)</f>
        <v>141.267845512608</v>
      </c>
      <c r="D13" s="28"/>
      <c r="E13" s="28"/>
      <c r="F13" s="28"/>
      <c r="G13" s="28"/>
      <c r="H13" s="29"/>
      <c r="I13" s="29"/>
      <c r="J13" s="30">
        <f>SUM(J8:J12)</f>
        <v>1.816450939946484</v>
      </c>
      <c r="K13" s="31">
        <f>SUM(K8:K12)</f>
        <v>1.711712735339567</v>
      </c>
      <c r="L13" s="32">
        <f>SUM(L8:L12)</f>
        <v>1.6383225127424363</v>
      </c>
    </row>
    <row r="14" spans="3:12" ht="12.75" customHeight="1">
      <c r="C14" s="3"/>
      <c r="J14" s="33" t="s">
        <v>11</v>
      </c>
      <c r="K14" s="34">
        <f>J13-K13</f>
        <v>0.10473820460691718</v>
      </c>
      <c r="L14" s="35">
        <f>J13-L13</f>
        <v>0.17812842720404776</v>
      </c>
    </row>
    <row r="15" spans="3:12" ht="12.75" customHeight="1">
      <c r="C15" s="3"/>
      <c r="D15" s="67"/>
      <c r="J15" s="33" t="s">
        <v>12</v>
      </c>
      <c r="K15" s="36">
        <f>K14/J13</f>
        <v>0.057660904736575466</v>
      </c>
      <c r="L15" s="37">
        <f>L14/J13</f>
        <v>0.09806399021671114</v>
      </c>
    </row>
    <row r="16" ht="12.75" customHeight="1">
      <c r="C16" s="3"/>
    </row>
    <row r="17" spans="1:12" ht="12.75" customHeight="1">
      <c r="A17" s="38">
        <v>365.25</v>
      </c>
      <c r="B17" s="38" t="s">
        <v>13</v>
      </c>
      <c r="C17" s="3"/>
      <c r="J17" s="33" t="s">
        <v>79</v>
      </c>
      <c r="K17" s="68">
        <f>(22*(J8-K8+J9-K9+J10-K10+J11-K11+J12-K12))-((A18/2)*(J8-K8+J9-K9+J10-K10+J11-K11+J12-K12))</f>
        <v>1.2568584552830064</v>
      </c>
      <c r="L17" s="68">
        <f>(22*(J8-L8+J9-L9+J10-L10+J11-L11+J12-L12))-((A18/2)*(J8-L8+J9-L9+J10-L10+J11-L11+J12-L12))</f>
        <v>2.1375411264485704</v>
      </c>
    </row>
    <row r="18" spans="1:12" ht="12.75" customHeight="1">
      <c r="A18" s="33">
        <v>20</v>
      </c>
      <c r="B18" s="3" t="s">
        <v>14</v>
      </c>
      <c r="C18" s="3"/>
      <c r="F18"/>
      <c r="G18"/>
      <c r="H18"/>
      <c r="I18"/>
      <c r="J18"/>
      <c r="K18"/>
      <c r="L18"/>
    </row>
    <row r="19" spans="1:2" ht="12.75" customHeight="1">
      <c r="A19" s="39">
        <v>3.22</v>
      </c>
      <c r="B19" s="39" t="s">
        <v>80</v>
      </c>
    </row>
    <row r="20" spans="1:2" ht="12.75" customHeight="1">
      <c r="A20" s="39">
        <v>292.997</v>
      </c>
      <c r="B20" s="39" t="s">
        <v>15</v>
      </c>
    </row>
    <row r="21" spans="1:2" ht="12.75" customHeight="1">
      <c r="A21" s="39"/>
      <c r="B21" s="39"/>
    </row>
    <row r="22" ht="12.75">
      <c r="A22"/>
    </row>
    <row r="23" spans="1:20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s="40" customFormat="1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s="40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s="40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s="40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s="40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s="40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s="40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s="41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s="41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s="41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s="41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s="41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s="41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s="41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s="41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s="41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s="41" customFormat="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s="41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</sheetData>
  <printOptions/>
  <pageMargins left="0.75" right="0.75" top="1" bottom="1" header="0.5" footer="0.5"/>
  <pageSetup fitToHeight="1" fitToWidth="1" horizontalDpi="600" verticalDpi="600" orientation="landscape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11"/>
  <sheetViews>
    <sheetView showGridLines="0" zoomScale="70" zoomScaleNormal="7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5.8515625" style="0" customWidth="1"/>
    <col min="3" max="3" width="6.140625" style="0" customWidth="1"/>
    <col min="4" max="4" width="6.28125" style="0" customWidth="1"/>
    <col min="5" max="5" width="8.421875" style="0" customWidth="1"/>
    <col min="6" max="6" width="21.421875" style="0" customWidth="1"/>
    <col min="7" max="7" width="10.8515625" style="0" customWidth="1"/>
    <col min="8" max="8" width="20.57421875" style="0" customWidth="1"/>
    <col min="11" max="11" width="16.421875" style="0" customWidth="1"/>
    <col min="12" max="12" width="13.140625" style="0" customWidth="1"/>
    <col min="13" max="14" width="13.7109375" style="0" customWidth="1"/>
    <col min="15" max="15" width="13.421875" style="0" customWidth="1"/>
    <col min="16" max="16" width="13.140625" style="0" customWidth="1"/>
    <col min="17" max="17" width="15.8515625" style="0" customWidth="1"/>
  </cols>
  <sheetData>
    <row r="2" ht="12.75">
      <c r="B2" t="s">
        <v>16</v>
      </c>
    </row>
    <row r="3" spans="2:17" ht="13.5" thickBot="1">
      <c r="B3" s="42" t="s">
        <v>17</v>
      </c>
      <c r="C3" s="43" t="s">
        <v>18</v>
      </c>
      <c r="D3" s="43" t="s">
        <v>19</v>
      </c>
      <c r="E3" s="43" t="s">
        <v>20</v>
      </c>
      <c r="F3" s="43" t="s">
        <v>21</v>
      </c>
      <c r="G3" s="43" t="s">
        <v>22</v>
      </c>
      <c r="H3" s="43" t="s">
        <v>23</v>
      </c>
      <c r="I3" s="43" t="s">
        <v>24</v>
      </c>
      <c r="J3" s="43" t="s">
        <v>25</v>
      </c>
      <c r="K3" s="43" t="s">
        <v>26</v>
      </c>
      <c r="L3" s="43" t="s">
        <v>27</v>
      </c>
      <c r="M3" s="43" t="s">
        <v>155</v>
      </c>
      <c r="N3" s="43" t="s">
        <v>157</v>
      </c>
      <c r="O3" s="43" t="s">
        <v>28</v>
      </c>
      <c r="P3" s="43" t="s">
        <v>164</v>
      </c>
      <c r="Q3" s="44" t="s">
        <v>29</v>
      </c>
    </row>
    <row r="4" spans="2:17" ht="12.75">
      <c r="B4" s="45" t="s">
        <v>30</v>
      </c>
      <c r="C4" s="46">
        <v>34</v>
      </c>
      <c r="D4" s="46" t="s">
        <v>31</v>
      </c>
      <c r="E4" s="46">
        <v>48</v>
      </c>
      <c r="F4" s="47" t="s">
        <v>32</v>
      </c>
      <c r="G4" s="46">
        <v>13821</v>
      </c>
      <c r="H4" s="47" t="s">
        <v>33</v>
      </c>
      <c r="I4" s="47">
        <v>20000</v>
      </c>
      <c r="J4" s="46">
        <v>52</v>
      </c>
      <c r="K4" s="46">
        <v>3000</v>
      </c>
      <c r="L4" s="46">
        <v>2700</v>
      </c>
      <c r="M4" s="46">
        <v>2320</v>
      </c>
      <c r="N4" s="86">
        <f>L4/M4</f>
        <v>1.1637931034482758</v>
      </c>
      <c r="O4" s="46">
        <f>ROUND(L4/$C4,1)</f>
        <v>79.4</v>
      </c>
      <c r="P4" s="46">
        <f>ROUND(M4/$C4,1)</f>
        <v>68.2</v>
      </c>
      <c r="Q4" s="48"/>
    </row>
    <row r="5" spans="2:17" ht="12.75">
      <c r="B5" s="45" t="s">
        <v>34</v>
      </c>
      <c r="C5" s="46">
        <v>34</v>
      </c>
      <c r="D5" s="46" t="s">
        <v>31</v>
      </c>
      <c r="E5" s="46">
        <v>48</v>
      </c>
      <c r="F5" s="47" t="s">
        <v>32</v>
      </c>
      <c r="G5" s="46">
        <v>256867</v>
      </c>
      <c r="H5" s="47" t="s">
        <v>35</v>
      </c>
      <c r="I5" s="47">
        <v>20000</v>
      </c>
      <c r="J5" s="46">
        <v>53</v>
      </c>
      <c r="K5" s="46">
        <v>3000</v>
      </c>
      <c r="L5" s="46">
        <v>2700</v>
      </c>
      <c r="M5" s="46">
        <v>2350</v>
      </c>
      <c r="N5" s="86">
        <f>L5/M5</f>
        <v>1.148936170212766</v>
      </c>
      <c r="O5" s="46">
        <f>ROUND(L5/$C5,1)</f>
        <v>79.4</v>
      </c>
      <c r="P5" s="46">
        <f>ROUND(M5/$C5,1)</f>
        <v>69.1</v>
      </c>
      <c r="Q5" s="49" t="s">
        <v>36</v>
      </c>
    </row>
    <row r="6" spans="2:17" ht="12.75">
      <c r="B6" s="45" t="s">
        <v>37</v>
      </c>
      <c r="C6" s="46">
        <v>34</v>
      </c>
      <c r="D6" s="46" t="s">
        <v>31</v>
      </c>
      <c r="E6" s="46">
        <v>48</v>
      </c>
      <c r="F6" s="47" t="s">
        <v>32</v>
      </c>
      <c r="G6" s="46">
        <v>24595</v>
      </c>
      <c r="H6" s="47" t="s">
        <v>38</v>
      </c>
      <c r="I6" s="50" t="s">
        <v>39</v>
      </c>
      <c r="J6" s="46"/>
      <c r="K6" s="46"/>
      <c r="L6" s="46">
        <v>2750</v>
      </c>
      <c r="M6" s="46"/>
      <c r="N6" s="87"/>
      <c r="O6" s="46">
        <f>ROUND(L6/$C6,1)</f>
        <v>80.9</v>
      </c>
      <c r="P6" s="46"/>
      <c r="Q6" s="48"/>
    </row>
    <row r="7" spans="2:17" ht="12.75">
      <c r="B7" s="45" t="s">
        <v>30</v>
      </c>
      <c r="C7" s="46">
        <v>34</v>
      </c>
      <c r="D7" s="46" t="s">
        <v>31</v>
      </c>
      <c r="E7" s="46">
        <v>48</v>
      </c>
      <c r="F7" s="47" t="s">
        <v>40</v>
      </c>
      <c r="G7" s="46">
        <v>13803</v>
      </c>
      <c r="H7" s="47" t="s">
        <v>41</v>
      </c>
      <c r="I7" s="47">
        <v>20000</v>
      </c>
      <c r="J7" s="46">
        <v>60</v>
      </c>
      <c r="K7" s="46">
        <v>4100</v>
      </c>
      <c r="L7" s="46">
        <v>2650</v>
      </c>
      <c r="M7" s="46">
        <v>2280</v>
      </c>
      <c r="N7" s="86">
        <f>L7/M7</f>
        <v>1.162280701754386</v>
      </c>
      <c r="O7" s="46">
        <f>ROUND(L7/$C7,1)</f>
        <v>77.9</v>
      </c>
      <c r="P7" s="46">
        <f>ROUND(M7/$C7,1)</f>
        <v>67.1</v>
      </c>
      <c r="Q7" s="48"/>
    </row>
    <row r="8" spans="2:17" ht="12.75">
      <c r="B8" s="45" t="s">
        <v>34</v>
      </c>
      <c r="C8" s="46">
        <v>34</v>
      </c>
      <c r="D8" s="46" t="s">
        <v>31</v>
      </c>
      <c r="E8" s="46">
        <v>48</v>
      </c>
      <c r="F8" s="47" t="s">
        <v>40</v>
      </c>
      <c r="G8" s="46">
        <v>244707</v>
      </c>
      <c r="H8" s="47" t="s">
        <v>42</v>
      </c>
      <c r="I8" s="47">
        <v>20000</v>
      </c>
      <c r="J8" s="46">
        <v>62</v>
      </c>
      <c r="K8" s="46">
        <v>4100</v>
      </c>
      <c r="L8" s="46">
        <v>2650</v>
      </c>
      <c r="M8" s="46">
        <v>2300</v>
      </c>
      <c r="N8" s="86">
        <f>L8/M8</f>
        <v>1.1521739130434783</v>
      </c>
      <c r="O8" s="46">
        <f>ROUND(L8/$C8,1)</f>
        <v>77.9</v>
      </c>
      <c r="P8" s="46">
        <f>ROUND(M8/$C8,1)</f>
        <v>67.6</v>
      </c>
      <c r="Q8" s="49" t="s">
        <v>43</v>
      </c>
    </row>
    <row r="9" spans="2:17" ht="12.75">
      <c r="B9" s="51" t="s">
        <v>37</v>
      </c>
      <c r="C9" s="52">
        <v>34</v>
      </c>
      <c r="D9" s="52" t="s">
        <v>31</v>
      </c>
      <c r="E9" s="52">
        <v>48</v>
      </c>
      <c r="F9" s="53" t="s">
        <v>40</v>
      </c>
      <c r="G9" s="52">
        <v>24594</v>
      </c>
      <c r="H9" s="53" t="s">
        <v>44</v>
      </c>
      <c r="I9" s="54" t="s">
        <v>39</v>
      </c>
      <c r="J9" s="52"/>
      <c r="K9" s="52"/>
      <c r="L9" s="52">
        <v>2700</v>
      </c>
      <c r="M9" s="52"/>
      <c r="N9" s="88"/>
      <c r="O9" s="52">
        <f>ROUND(L9/$C9,1)</f>
        <v>79.4</v>
      </c>
      <c r="P9" s="52"/>
      <c r="Q9" s="55"/>
    </row>
    <row r="10" ht="12.75">
      <c r="N10" s="87"/>
    </row>
    <row r="11" spans="2:14" ht="12.75">
      <c r="B11" t="s">
        <v>45</v>
      </c>
      <c r="N11" s="87"/>
    </row>
    <row r="12" spans="2:17" ht="13.5" thickBot="1">
      <c r="B12" s="42" t="s">
        <v>17</v>
      </c>
      <c r="C12" s="43" t="s">
        <v>18</v>
      </c>
      <c r="D12" s="43" t="s">
        <v>19</v>
      </c>
      <c r="E12" s="43" t="s">
        <v>20</v>
      </c>
      <c r="F12" s="43" t="s">
        <v>21</v>
      </c>
      <c r="G12" s="43" t="s">
        <v>22</v>
      </c>
      <c r="H12" s="43" t="s">
        <v>23</v>
      </c>
      <c r="I12" s="43" t="s">
        <v>24</v>
      </c>
      <c r="J12" s="43" t="s">
        <v>25</v>
      </c>
      <c r="K12" s="43" t="s">
        <v>26</v>
      </c>
      <c r="L12" s="43" t="s">
        <v>27</v>
      </c>
      <c r="M12" s="43" t="s">
        <v>155</v>
      </c>
      <c r="N12" s="89"/>
      <c r="O12" s="43" t="s">
        <v>28</v>
      </c>
      <c r="P12" s="43" t="s">
        <v>164</v>
      </c>
      <c r="Q12" s="44" t="s">
        <v>29</v>
      </c>
    </row>
    <row r="13" spans="2:17" ht="12.75">
      <c r="B13" s="45" t="s">
        <v>30</v>
      </c>
      <c r="C13" s="46">
        <v>34</v>
      </c>
      <c r="D13" s="46" t="s">
        <v>31</v>
      </c>
      <c r="E13" s="46">
        <v>48</v>
      </c>
      <c r="F13" s="47" t="s">
        <v>46</v>
      </c>
      <c r="G13" s="46">
        <v>14627</v>
      </c>
      <c r="H13" s="47" t="s">
        <v>47</v>
      </c>
      <c r="I13" s="50">
        <v>20000</v>
      </c>
      <c r="J13" s="46">
        <v>82</v>
      </c>
      <c r="K13" s="46">
        <v>3000</v>
      </c>
      <c r="L13" s="46">
        <v>2900</v>
      </c>
      <c r="M13" s="46">
        <v>2610</v>
      </c>
      <c r="N13" s="86">
        <f>L13/M13</f>
        <v>1.1111111111111112</v>
      </c>
      <c r="O13" s="56">
        <f>ROUND(L13/$C13,1)</f>
        <v>85.3</v>
      </c>
      <c r="P13" s="56">
        <f>ROUND(M13/$C13,1)</f>
        <v>76.8</v>
      </c>
      <c r="Q13" s="48"/>
    </row>
    <row r="14" spans="2:17" ht="12.75">
      <c r="B14" s="45" t="s">
        <v>34</v>
      </c>
      <c r="C14" s="46">
        <v>34</v>
      </c>
      <c r="D14" s="46" t="s">
        <v>31</v>
      </c>
      <c r="E14" s="46">
        <v>48</v>
      </c>
      <c r="F14" s="47" t="s">
        <v>48</v>
      </c>
      <c r="G14" s="46">
        <v>237818</v>
      </c>
      <c r="H14" s="47" t="s">
        <v>49</v>
      </c>
      <c r="I14" s="50">
        <v>20000</v>
      </c>
      <c r="J14" s="46">
        <v>85</v>
      </c>
      <c r="K14" s="46">
        <v>3000</v>
      </c>
      <c r="L14" s="46">
        <v>2900</v>
      </c>
      <c r="M14" s="46">
        <v>2600</v>
      </c>
      <c r="N14" s="86">
        <f>L14/M14</f>
        <v>1.1153846153846154</v>
      </c>
      <c r="O14" s="46">
        <f>ROUND(L14/$C14,1)</f>
        <v>85.3</v>
      </c>
      <c r="P14" s="46">
        <f>ROUND(M14/$C14,1)</f>
        <v>76.5</v>
      </c>
      <c r="Q14" s="49"/>
    </row>
    <row r="15" spans="2:17" ht="12.75">
      <c r="B15" s="45" t="s">
        <v>37</v>
      </c>
      <c r="C15" s="46">
        <v>34</v>
      </c>
      <c r="D15" s="46" t="s">
        <v>31</v>
      </c>
      <c r="E15" s="46">
        <v>48</v>
      </c>
      <c r="F15" s="47" t="s">
        <v>50</v>
      </c>
      <c r="G15" s="46">
        <v>24589</v>
      </c>
      <c r="H15" s="47" t="s">
        <v>51</v>
      </c>
      <c r="I15" s="50" t="s">
        <v>39</v>
      </c>
      <c r="J15" s="46"/>
      <c r="K15" s="46">
        <v>3000</v>
      </c>
      <c r="L15" s="46">
        <v>2900</v>
      </c>
      <c r="M15" s="46"/>
      <c r="N15" s="86"/>
      <c r="O15" s="46">
        <f>ROUND(L15/$C15,1)</f>
        <v>85.3</v>
      </c>
      <c r="P15" s="46"/>
      <c r="Q15" s="49"/>
    </row>
    <row r="16" spans="2:17" ht="12.75">
      <c r="B16" s="45" t="s">
        <v>30</v>
      </c>
      <c r="C16" s="46">
        <v>34</v>
      </c>
      <c r="D16" s="46" t="s">
        <v>31</v>
      </c>
      <c r="E16" s="46">
        <v>48</v>
      </c>
      <c r="F16" s="47" t="s">
        <v>52</v>
      </c>
      <c r="G16" s="46">
        <v>23159</v>
      </c>
      <c r="H16" s="47" t="s">
        <v>53</v>
      </c>
      <c r="I16" s="50">
        <v>20000</v>
      </c>
      <c r="J16" s="46">
        <v>82</v>
      </c>
      <c r="K16" s="46">
        <v>4100</v>
      </c>
      <c r="L16" s="46">
        <v>2900</v>
      </c>
      <c r="M16" s="46">
        <v>2610</v>
      </c>
      <c r="N16" s="86">
        <f>L16/M16</f>
        <v>1.1111111111111112</v>
      </c>
      <c r="O16" s="46">
        <f>ROUND(L16/$C16,1)</f>
        <v>85.3</v>
      </c>
      <c r="P16" s="46">
        <f>ROUND(M16/$C16,1)</f>
        <v>76.8</v>
      </c>
      <c r="Q16" s="49"/>
    </row>
    <row r="17" spans="2:17" ht="12.75">
      <c r="B17" s="45" t="s">
        <v>34</v>
      </c>
      <c r="C17" s="46">
        <v>34</v>
      </c>
      <c r="D17" s="46" t="s">
        <v>31</v>
      </c>
      <c r="E17" s="46">
        <v>48</v>
      </c>
      <c r="F17" s="47" t="s">
        <v>48</v>
      </c>
      <c r="G17" s="46">
        <v>237842</v>
      </c>
      <c r="H17" s="47" t="s">
        <v>54</v>
      </c>
      <c r="I17" s="50">
        <v>20000</v>
      </c>
      <c r="J17" s="46">
        <v>85</v>
      </c>
      <c r="K17" s="46">
        <v>4100</v>
      </c>
      <c r="L17" s="46">
        <v>2900</v>
      </c>
      <c r="M17" s="46">
        <v>2600</v>
      </c>
      <c r="N17" s="86">
        <f>L17/M17</f>
        <v>1.1153846153846154</v>
      </c>
      <c r="O17" s="46">
        <f>ROUND(L17/$C17,1)</f>
        <v>85.3</v>
      </c>
      <c r="P17" s="46">
        <f>ROUND(M17/$C17,1)</f>
        <v>76.5</v>
      </c>
      <c r="Q17" s="49"/>
    </row>
    <row r="18" spans="2:17" ht="12.75">
      <c r="B18" s="51" t="s">
        <v>37</v>
      </c>
      <c r="C18" s="52">
        <v>34</v>
      </c>
      <c r="D18" s="52" t="s">
        <v>31</v>
      </c>
      <c r="E18" s="52">
        <v>48</v>
      </c>
      <c r="F18" s="53" t="s">
        <v>50</v>
      </c>
      <c r="G18" s="52">
        <v>24586</v>
      </c>
      <c r="H18" s="53" t="s">
        <v>55</v>
      </c>
      <c r="I18" s="54" t="s">
        <v>39</v>
      </c>
      <c r="J18" s="52"/>
      <c r="K18" s="52">
        <v>4100</v>
      </c>
      <c r="L18" s="52">
        <v>2900</v>
      </c>
      <c r="M18" s="52"/>
      <c r="N18" s="52"/>
      <c r="O18" s="52">
        <f>ROUND(L18/$C18,1)</f>
        <v>85.3</v>
      </c>
      <c r="P18" s="52"/>
      <c r="Q18" s="55"/>
    </row>
    <row r="19" ht="12.75">
      <c r="I19" s="57"/>
    </row>
    <row r="20" spans="2:10" ht="12.75">
      <c r="B20" t="s">
        <v>56</v>
      </c>
      <c r="G20" s="95" t="s">
        <v>156</v>
      </c>
      <c r="H20" s="95" t="s">
        <v>154</v>
      </c>
      <c r="I20" s="91" t="s">
        <v>82</v>
      </c>
      <c r="J20" s="82" t="s">
        <v>83</v>
      </c>
    </row>
    <row r="21" spans="2:15" ht="12.75">
      <c r="B21" t="str">
        <f aca="true" t="shared" si="0" ref="B21:B26">B13</f>
        <v>General Electric</v>
      </c>
      <c r="C21" s="58">
        <f aca="true" t="shared" si="1" ref="C21:C26">L4/O13</f>
        <v>31.652989449003517</v>
      </c>
      <c r="G21" s="95">
        <v>0.88</v>
      </c>
      <c r="H21" s="95">
        <f>35.7</f>
        <v>35.7</v>
      </c>
      <c r="I21" s="85">
        <f>SUM(M4:M8)/4</f>
        <v>2312.5</v>
      </c>
      <c r="J21" s="94">
        <f>I21*G$21/H$21</f>
        <v>57.002801120448176</v>
      </c>
      <c r="K21" s="70" t="s">
        <v>84</v>
      </c>
      <c r="L21" s="70"/>
      <c r="M21" s="70"/>
      <c r="N21" s="70"/>
      <c r="O21" s="71"/>
    </row>
    <row r="22" spans="2:15" ht="12.75">
      <c r="B22" t="str">
        <f t="shared" si="0"/>
        <v>Philips</v>
      </c>
      <c r="C22" s="58">
        <f t="shared" si="1"/>
        <v>31.652989449003517</v>
      </c>
      <c r="I22" s="80">
        <v>2520</v>
      </c>
      <c r="J22" s="93">
        <f>I22*G$21/H$21</f>
        <v>62.11764705882352</v>
      </c>
      <c r="K22" s="72" t="s">
        <v>158</v>
      </c>
      <c r="L22" s="72"/>
      <c r="M22" s="72"/>
      <c r="N22" s="72"/>
      <c r="O22" s="73"/>
    </row>
    <row r="23" spans="2:15" ht="12.75">
      <c r="B23" t="str">
        <f t="shared" si="0"/>
        <v>Osram Sylvania</v>
      </c>
      <c r="C23" s="58">
        <f t="shared" si="1"/>
        <v>32.23915592028136</v>
      </c>
      <c r="I23" s="85">
        <f>SUM(M12:M17)/4</f>
        <v>2605</v>
      </c>
      <c r="J23" s="93">
        <f>I23*G$21/H$21</f>
        <v>64.21288515406162</v>
      </c>
      <c r="K23" s="72" t="s">
        <v>159</v>
      </c>
      <c r="L23" s="72"/>
      <c r="M23" s="72"/>
      <c r="N23" s="72"/>
      <c r="O23" s="73"/>
    </row>
    <row r="24" spans="2:15" ht="12.75">
      <c r="B24" t="str">
        <f t="shared" si="0"/>
        <v>General Electric</v>
      </c>
      <c r="C24" s="58">
        <f t="shared" si="1"/>
        <v>31.066822977725675</v>
      </c>
      <c r="I24" s="81">
        <f>SUM(M13:M18)/4</f>
        <v>2605</v>
      </c>
      <c r="J24" s="92">
        <f>I24*G$21/H$21</f>
        <v>64.21288515406162</v>
      </c>
      <c r="K24" s="74" t="s">
        <v>81</v>
      </c>
      <c r="L24" s="74"/>
      <c r="M24" s="74"/>
      <c r="N24" s="74"/>
      <c r="O24" s="75"/>
    </row>
    <row r="25" spans="2:3" ht="12.75">
      <c r="B25" t="str">
        <f t="shared" si="0"/>
        <v>Philips</v>
      </c>
      <c r="C25" s="58">
        <f t="shared" si="1"/>
        <v>31.066822977725675</v>
      </c>
    </row>
    <row r="26" spans="2:7" ht="12.75">
      <c r="B26" t="str">
        <f t="shared" si="0"/>
        <v>Osram Sylvania</v>
      </c>
      <c r="C26" s="58">
        <f t="shared" si="1"/>
        <v>31.652989449003517</v>
      </c>
      <c r="E26" s="59" t="s">
        <v>57</v>
      </c>
      <c r="F26" s="60">
        <f>ROUND(AVERAGE(C21:C26),1)</f>
        <v>31.6</v>
      </c>
      <c r="G26" s="61" t="s">
        <v>18</v>
      </c>
    </row>
    <row r="29" ht="12.75">
      <c r="B29" t="s">
        <v>58</v>
      </c>
    </row>
    <row r="30" spans="2:17" ht="13.5" thickBot="1">
      <c r="B30" s="42" t="s">
        <v>17</v>
      </c>
      <c r="C30" s="43" t="s">
        <v>18</v>
      </c>
      <c r="D30" s="43" t="s">
        <v>19</v>
      </c>
      <c r="E30" s="43" t="s">
        <v>20</v>
      </c>
      <c r="F30" s="43" t="s">
        <v>21</v>
      </c>
      <c r="G30" s="43" t="s">
        <v>22</v>
      </c>
      <c r="H30" s="43" t="s">
        <v>23</v>
      </c>
      <c r="I30" s="43" t="s">
        <v>24</v>
      </c>
      <c r="J30" s="43" t="s">
        <v>25</v>
      </c>
      <c r="K30" s="43" t="s">
        <v>26</v>
      </c>
      <c r="L30" s="43" t="s">
        <v>27</v>
      </c>
      <c r="M30" s="43" t="s">
        <v>155</v>
      </c>
      <c r="N30" s="43"/>
      <c r="O30" s="43" t="s">
        <v>28</v>
      </c>
      <c r="P30" s="43" t="s">
        <v>164</v>
      </c>
      <c r="Q30" s="44" t="s">
        <v>29</v>
      </c>
    </row>
    <row r="31" spans="2:17" ht="12.75">
      <c r="B31" s="45" t="s">
        <v>30</v>
      </c>
      <c r="C31" s="46">
        <v>32</v>
      </c>
      <c r="D31" s="46" t="s">
        <v>59</v>
      </c>
      <c r="E31" s="46">
        <v>48</v>
      </c>
      <c r="F31" s="47" t="s">
        <v>60</v>
      </c>
      <c r="G31" s="46">
        <v>15949</v>
      </c>
      <c r="H31" s="47" t="s">
        <v>61</v>
      </c>
      <c r="I31" s="47">
        <v>20000</v>
      </c>
      <c r="J31" s="46">
        <v>78</v>
      </c>
      <c r="K31" s="46">
        <v>4100</v>
      </c>
      <c r="L31" s="46">
        <v>2850</v>
      </c>
      <c r="M31" s="46">
        <v>2710</v>
      </c>
      <c r="N31" s="46"/>
      <c r="O31" s="46">
        <f>ROUND(L31/$C31,1)</f>
        <v>89.1</v>
      </c>
      <c r="P31" s="46">
        <f>ROUND(M31/$C31,1)</f>
        <v>84.7</v>
      </c>
      <c r="Q31" s="48"/>
    </row>
    <row r="32" spans="2:17" ht="12.75">
      <c r="B32" s="45" t="s">
        <v>34</v>
      </c>
      <c r="C32" s="46">
        <v>32</v>
      </c>
      <c r="D32" s="46" t="s">
        <v>59</v>
      </c>
      <c r="E32" s="46">
        <v>48</v>
      </c>
      <c r="F32" s="47" t="s">
        <v>60</v>
      </c>
      <c r="G32" s="46">
        <v>272484</v>
      </c>
      <c r="H32" s="47" t="s">
        <v>62</v>
      </c>
      <c r="I32" s="47">
        <v>20000</v>
      </c>
      <c r="J32" s="46">
        <v>78</v>
      </c>
      <c r="K32" s="46">
        <v>4100</v>
      </c>
      <c r="L32" s="46">
        <v>2850</v>
      </c>
      <c r="M32" s="46">
        <v>2710</v>
      </c>
      <c r="N32" s="46"/>
      <c r="O32" s="46">
        <f>ROUND(L32/$C32,1)</f>
        <v>89.1</v>
      </c>
      <c r="P32" s="46">
        <f>ROUND(M32/$C32,1)</f>
        <v>84.7</v>
      </c>
      <c r="Q32" s="49" t="s">
        <v>63</v>
      </c>
    </row>
    <row r="33" spans="2:17" ht="12.75">
      <c r="B33" s="45" t="s">
        <v>37</v>
      </c>
      <c r="C33" s="46">
        <v>32</v>
      </c>
      <c r="D33" s="46" t="s">
        <v>59</v>
      </c>
      <c r="E33" s="46">
        <v>48</v>
      </c>
      <c r="F33" s="47" t="s">
        <v>60</v>
      </c>
      <c r="G33" s="46">
        <v>21824</v>
      </c>
      <c r="H33" s="47" t="s">
        <v>64</v>
      </c>
      <c r="I33" s="47">
        <v>20000</v>
      </c>
      <c r="J33" s="46">
        <v>75</v>
      </c>
      <c r="K33" s="46">
        <v>4100</v>
      </c>
      <c r="L33" s="46">
        <v>2800</v>
      </c>
      <c r="M33" s="46"/>
      <c r="N33" s="46"/>
      <c r="O33" s="46">
        <f>ROUND(L33/$C33,1)</f>
        <v>87.5</v>
      </c>
      <c r="P33" s="46"/>
      <c r="Q33" s="49"/>
    </row>
    <row r="34" spans="2:17" ht="12.75">
      <c r="B34" s="45" t="s">
        <v>30</v>
      </c>
      <c r="C34" s="46">
        <v>32</v>
      </c>
      <c r="D34" s="46" t="s">
        <v>59</v>
      </c>
      <c r="E34" s="46">
        <v>48</v>
      </c>
      <c r="F34" s="47" t="s">
        <v>60</v>
      </c>
      <c r="G34" s="46">
        <v>15947</v>
      </c>
      <c r="H34" s="47" t="s">
        <v>65</v>
      </c>
      <c r="I34" s="47">
        <v>20000</v>
      </c>
      <c r="J34" s="46">
        <v>78</v>
      </c>
      <c r="K34" s="46">
        <v>3500</v>
      </c>
      <c r="L34" s="46">
        <v>2850</v>
      </c>
      <c r="M34" s="46">
        <v>2710</v>
      </c>
      <c r="N34" s="46"/>
      <c r="O34" s="46">
        <f>ROUND(L34/$C34,1)</f>
        <v>89.1</v>
      </c>
      <c r="P34" s="46">
        <f>ROUND(M34/$C34,1)</f>
        <v>84.7</v>
      </c>
      <c r="Q34" s="49"/>
    </row>
    <row r="35" spans="2:17" ht="12.75">
      <c r="B35" s="45" t="s">
        <v>34</v>
      </c>
      <c r="C35" s="46">
        <v>32</v>
      </c>
      <c r="D35" s="46" t="s">
        <v>59</v>
      </c>
      <c r="E35" s="46">
        <v>48</v>
      </c>
      <c r="F35" s="47" t="s">
        <v>60</v>
      </c>
      <c r="G35" s="46">
        <v>272492</v>
      </c>
      <c r="H35" s="47" t="s">
        <v>66</v>
      </c>
      <c r="I35" s="50">
        <v>20000</v>
      </c>
      <c r="J35" s="46">
        <v>78</v>
      </c>
      <c r="K35" s="46">
        <v>3500</v>
      </c>
      <c r="L35" s="46">
        <v>2850</v>
      </c>
      <c r="M35" s="46">
        <v>2710</v>
      </c>
      <c r="N35" s="46"/>
      <c r="O35" s="46">
        <f>ROUND(L35/$C35,1)</f>
        <v>89.1</v>
      </c>
      <c r="P35" s="46">
        <f>ROUND(M35/$C35,1)</f>
        <v>84.7</v>
      </c>
      <c r="Q35" s="49" t="s">
        <v>63</v>
      </c>
    </row>
    <row r="36" spans="2:17" ht="12.75">
      <c r="B36" s="51" t="s">
        <v>37</v>
      </c>
      <c r="C36" s="52">
        <v>32</v>
      </c>
      <c r="D36" s="52" t="s">
        <v>59</v>
      </c>
      <c r="E36" s="52">
        <v>48</v>
      </c>
      <c r="F36" s="53" t="s">
        <v>60</v>
      </c>
      <c r="G36" s="52">
        <v>21823</v>
      </c>
      <c r="H36" s="53" t="s">
        <v>67</v>
      </c>
      <c r="I36" s="54">
        <v>20000</v>
      </c>
      <c r="J36" s="52">
        <v>75</v>
      </c>
      <c r="K36" s="52">
        <v>3500</v>
      </c>
      <c r="L36" s="52">
        <v>2800</v>
      </c>
      <c r="M36" s="52"/>
      <c r="N36" s="52"/>
      <c r="O36" s="52">
        <f>ROUND(L36/$C36,1)</f>
        <v>87.5</v>
      </c>
      <c r="P36" s="52"/>
      <c r="Q36" s="55"/>
    </row>
    <row r="38" ht="12.75">
      <c r="B38" t="s">
        <v>45</v>
      </c>
    </row>
    <row r="39" spans="2:17" ht="13.5" thickBot="1">
      <c r="B39" s="42" t="s">
        <v>17</v>
      </c>
      <c r="C39" s="43" t="s">
        <v>18</v>
      </c>
      <c r="D39" s="43" t="s">
        <v>19</v>
      </c>
      <c r="E39" s="43" t="s">
        <v>20</v>
      </c>
      <c r="F39" s="43" t="s">
        <v>21</v>
      </c>
      <c r="G39" s="43" t="s">
        <v>22</v>
      </c>
      <c r="H39" s="43" t="s">
        <v>23</v>
      </c>
      <c r="I39" s="43" t="s">
        <v>24</v>
      </c>
      <c r="J39" s="43" t="s">
        <v>25</v>
      </c>
      <c r="K39" s="43" t="s">
        <v>26</v>
      </c>
      <c r="L39" s="43" t="s">
        <v>27</v>
      </c>
      <c r="M39" s="43" t="s">
        <v>155</v>
      </c>
      <c r="N39" s="43"/>
      <c r="O39" s="43" t="s">
        <v>28</v>
      </c>
      <c r="P39" s="43" t="s">
        <v>164</v>
      </c>
      <c r="Q39" s="44" t="s">
        <v>29</v>
      </c>
    </row>
    <row r="40" spans="2:17" ht="12.75">
      <c r="B40" s="45" t="s">
        <v>30</v>
      </c>
      <c r="C40" s="46">
        <v>32</v>
      </c>
      <c r="D40" s="46" t="s">
        <v>59</v>
      </c>
      <c r="E40" s="46">
        <v>48</v>
      </c>
      <c r="F40" s="47" t="s">
        <v>68</v>
      </c>
      <c r="G40" s="46">
        <v>22655</v>
      </c>
      <c r="H40" s="47" t="s">
        <v>69</v>
      </c>
      <c r="I40" s="47">
        <v>20000</v>
      </c>
      <c r="J40" s="46">
        <v>86</v>
      </c>
      <c r="K40" s="46">
        <v>3000</v>
      </c>
      <c r="L40" s="46">
        <v>2950</v>
      </c>
      <c r="M40" s="46">
        <v>2800</v>
      </c>
      <c r="N40" s="46"/>
      <c r="O40" s="46">
        <f aca="true" t="shared" si="2" ref="O40:P45">ROUND(L40/$C40,1)</f>
        <v>92.2</v>
      </c>
      <c r="P40" s="46">
        <f t="shared" si="2"/>
        <v>87.5</v>
      </c>
      <c r="Q40" s="48"/>
    </row>
    <row r="41" spans="2:17" ht="12.75">
      <c r="B41" s="45" t="s">
        <v>34</v>
      </c>
      <c r="C41" s="46">
        <v>32</v>
      </c>
      <c r="D41" s="46" t="s">
        <v>59</v>
      </c>
      <c r="E41" s="46">
        <v>48</v>
      </c>
      <c r="F41" t="s">
        <v>70</v>
      </c>
      <c r="G41" s="46">
        <v>270652</v>
      </c>
      <c r="H41" s="47" t="s">
        <v>71</v>
      </c>
      <c r="I41" s="47">
        <v>24000</v>
      </c>
      <c r="J41" s="46">
        <v>86</v>
      </c>
      <c r="K41" s="46">
        <v>3500</v>
      </c>
      <c r="L41" s="46">
        <v>3100</v>
      </c>
      <c r="M41" s="46">
        <v>2950</v>
      </c>
      <c r="N41" s="46"/>
      <c r="O41" s="46">
        <f t="shared" si="2"/>
        <v>96.9</v>
      </c>
      <c r="P41" s="46">
        <f t="shared" si="2"/>
        <v>92.2</v>
      </c>
      <c r="Q41" s="49"/>
    </row>
    <row r="42" spans="2:17" ht="12.75">
      <c r="B42" s="45" t="s">
        <v>37</v>
      </c>
      <c r="C42" s="46">
        <v>32</v>
      </c>
      <c r="D42" s="46" t="s">
        <v>59</v>
      </c>
      <c r="E42" s="46">
        <v>48</v>
      </c>
      <c r="F42" s="47" t="s">
        <v>72</v>
      </c>
      <c r="G42" s="46">
        <v>21760</v>
      </c>
      <c r="H42" s="47" t="s">
        <v>73</v>
      </c>
      <c r="I42" s="47">
        <v>24000</v>
      </c>
      <c r="J42" s="46">
        <v>85</v>
      </c>
      <c r="K42" s="46">
        <v>3000</v>
      </c>
      <c r="L42" s="46">
        <v>3000</v>
      </c>
      <c r="M42" s="46">
        <v>2820</v>
      </c>
      <c r="N42" s="46"/>
      <c r="O42" s="46">
        <f t="shared" si="2"/>
        <v>93.8</v>
      </c>
      <c r="P42" s="46">
        <f t="shared" si="2"/>
        <v>88.1</v>
      </c>
      <c r="Q42" s="49"/>
    </row>
    <row r="43" spans="2:17" ht="12.75">
      <c r="B43" s="45" t="s">
        <v>30</v>
      </c>
      <c r="C43" s="46">
        <v>32</v>
      </c>
      <c r="D43" s="46" t="s">
        <v>59</v>
      </c>
      <c r="E43" s="46">
        <v>48</v>
      </c>
      <c r="F43" s="47" t="s">
        <v>74</v>
      </c>
      <c r="G43" s="46">
        <v>25613</v>
      </c>
      <c r="H43" s="47" t="s">
        <v>75</v>
      </c>
      <c r="I43" s="47">
        <v>20000</v>
      </c>
      <c r="J43" s="46">
        <v>86</v>
      </c>
      <c r="K43" s="46">
        <v>4100</v>
      </c>
      <c r="L43" s="46">
        <v>2950</v>
      </c>
      <c r="M43" s="46">
        <v>2800</v>
      </c>
      <c r="N43" s="46"/>
      <c r="O43" s="46">
        <f t="shared" si="2"/>
        <v>92.2</v>
      </c>
      <c r="P43" s="46">
        <f t="shared" si="2"/>
        <v>87.5</v>
      </c>
      <c r="Q43" s="49"/>
    </row>
    <row r="44" spans="2:17" ht="12.75">
      <c r="B44" s="45" t="s">
        <v>34</v>
      </c>
      <c r="C44" s="46">
        <v>32</v>
      </c>
      <c r="D44" s="46" t="s">
        <v>59</v>
      </c>
      <c r="E44" s="46">
        <v>48</v>
      </c>
      <c r="F44" s="47" t="s">
        <v>70</v>
      </c>
      <c r="G44" s="46">
        <v>270660</v>
      </c>
      <c r="H44" s="47" t="s">
        <v>76</v>
      </c>
      <c r="I44" s="50">
        <v>24000</v>
      </c>
      <c r="J44" s="46">
        <v>86</v>
      </c>
      <c r="K44" s="46">
        <v>4100</v>
      </c>
      <c r="L44" s="46">
        <v>3100</v>
      </c>
      <c r="M44" s="46">
        <v>2950</v>
      </c>
      <c r="N44" s="46"/>
      <c r="O44" s="46">
        <f t="shared" si="2"/>
        <v>96.9</v>
      </c>
      <c r="P44" s="46">
        <f t="shared" si="2"/>
        <v>92.2</v>
      </c>
      <c r="Q44" s="49"/>
    </row>
    <row r="45" spans="2:17" ht="12.75">
      <c r="B45" s="51" t="s">
        <v>37</v>
      </c>
      <c r="C45" s="52">
        <v>32</v>
      </c>
      <c r="D45" s="52" t="s">
        <v>59</v>
      </c>
      <c r="E45" s="52">
        <v>48</v>
      </c>
      <c r="F45" s="53" t="s">
        <v>72</v>
      </c>
      <c r="G45" s="52">
        <v>21762</v>
      </c>
      <c r="H45" s="53" t="s">
        <v>77</v>
      </c>
      <c r="I45" s="54">
        <v>24000</v>
      </c>
      <c r="J45" s="52">
        <v>85</v>
      </c>
      <c r="K45" s="52">
        <v>4100</v>
      </c>
      <c r="L45" s="52">
        <v>3000</v>
      </c>
      <c r="M45" s="52">
        <v>2820</v>
      </c>
      <c r="N45" s="52"/>
      <c r="O45" s="52">
        <f t="shared" si="2"/>
        <v>93.8</v>
      </c>
      <c r="P45" s="52">
        <f t="shared" si="2"/>
        <v>88.1</v>
      </c>
      <c r="Q45" s="55"/>
    </row>
    <row r="47" spans="2:10" ht="12.75">
      <c r="B47" t="s">
        <v>56</v>
      </c>
      <c r="G47" s="95" t="s">
        <v>156</v>
      </c>
      <c r="H47" s="95" t="s">
        <v>154</v>
      </c>
      <c r="I47" s="79" t="s">
        <v>82</v>
      </c>
      <c r="J47" s="82" t="s">
        <v>83</v>
      </c>
    </row>
    <row r="48" spans="2:15" ht="12.75">
      <c r="B48" t="str">
        <f aca="true" t="shared" si="3" ref="B48:B53">B40</f>
        <v>General Electric</v>
      </c>
      <c r="C48" s="58">
        <f aca="true" t="shared" si="4" ref="C48:C53">L31/O40</f>
        <v>30.91106290672451</v>
      </c>
      <c r="G48" s="95">
        <v>0.89</v>
      </c>
      <c r="H48" s="95">
        <v>29.8</v>
      </c>
      <c r="I48" s="79">
        <v>2710</v>
      </c>
      <c r="J48" s="94">
        <f>I48*G$48/H$48</f>
        <v>80.93624161073825</v>
      </c>
      <c r="K48" s="70" t="s">
        <v>84</v>
      </c>
      <c r="L48" s="70"/>
      <c r="M48" s="70"/>
      <c r="N48" s="70"/>
      <c r="O48" s="71"/>
    </row>
    <row r="49" spans="2:15" ht="12.75">
      <c r="B49" t="str">
        <f t="shared" si="3"/>
        <v>Philips</v>
      </c>
      <c r="C49" s="58">
        <f t="shared" si="4"/>
        <v>29.41176470588235</v>
      </c>
      <c r="I49" s="85">
        <f>2710*(2800/2850)</f>
        <v>2662.456140350877</v>
      </c>
      <c r="J49" s="93">
        <f>I49*G$48/H$48</f>
        <v>79.51630754739196</v>
      </c>
      <c r="K49" s="72" t="s">
        <v>158</v>
      </c>
      <c r="L49" s="72"/>
      <c r="M49" s="72"/>
      <c r="N49" s="72"/>
      <c r="O49" s="73"/>
    </row>
    <row r="50" spans="2:15" ht="12.75">
      <c r="B50" t="str">
        <f t="shared" si="3"/>
        <v>Osram Sylvania</v>
      </c>
      <c r="C50" s="58">
        <f t="shared" si="4"/>
        <v>29.850746268656717</v>
      </c>
      <c r="I50" s="80">
        <v>2820</v>
      </c>
      <c r="J50" s="93">
        <f>I50*G$48/H$48</f>
        <v>84.22147651006712</v>
      </c>
      <c r="K50" s="72" t="s">
        <v>163</v>
      </c>
      <c r="L50" s="72"/>
      <c r="M50" s="72"/>
      <c r="N50" s="72"/>
      <c r="O50" s="73"/>
    </row>
    <row r="51" spans="2:15" ht="12.75">
      <c r="B51" t="str">
        <f t="shared" si="3"/>
        <v>General Electric</v>
      </c>
      <c r="C51" s="58">
        <f t="shared" si="4"/>
        <v>30.91106290672451</v>
      </c>
      <c r="I51" s="81">
        <f>AVERAGE(M40:M45)</f>
        <v>2856.6666666666665</v>
      </c>
      <c r="J51" s="92">
        <f>I51*G$48/H$48</f>
        <v>85.3165548098434</v>
      </c>
      <c r="K51" s="74" t="s">
        <v>81</v>
      </c>
      <c r="L51" s="74"/>
      <c r="M51" s="74"/>
      <c r="N51" s="74"/>
      <c r="O51" s="75"/>
    </row>
    <row r="52" spans="2:3" ht="12.75">
      <c r="B52" t="str">
        <f t="shared" si="3"/>
        <v>Philips</v>
      </c>
      <c r="C52" s="58">
        <f t="shared" si="4"/>
        <v>29.41176470588235</v>
      </c>
    </row>
    <row r="53" spans="2:7" ht="12.75">
      <c r="B53" t="str">
        <f t="shared" si="3"/>
        <v>Osram Sylvania</v>
      </c>
      <c r="C53" s="58">
        <f t="shared" si="4"/>
        <v>29.850746268656717</v>
      </c>
      <c r="E53" s="59" t="s">
        <v>57</v>
      </c>
      <c r="F53" s="60">
        <f>ROUND(AVERAGE(C48:C53),1)</f>
        <v>30.1</v>
      </c>
      <c r="G53" s="61" t="s">
        <v>18</v>
      </c>
    </row>
    <row r="57" ht="12.75">
      <c r="B57" t="s">
        <v>93</v>
      </c>
    </row>
    <row r="58" spans="2:17" ht="13.5" thickBot="1">
      <c r="B58" s="42" t="s">
        <v>17</v>
      </c>
      <c r="C58" s="43" t="s">
        <v>18</v>
      </c>
      <c r="D58" s="43" t="s">
        <v>19</v>
      </c>
      <c r="E58" s="43" t="s">
        <v>20</v>
      </c>
      <c r="F58" s="43" t="s">
        <v>21</v>
      </c>
      <c r="G58" s="43" t="s">
        <v>22</v>
      </c>
      <c r="H58" s="43" t="s">
        <v>23</v>
      </c>
      <c r="I58" s="43" t="s">
        <v>24</v>
      </c>
      <c r="J58" s="43" t="s">
        <v>25</v>
      </c>
      <c r="K58" s="43" t="s">
        <v>26</v>
      </c>
      <c r="L58" s="43" t="s">
        <v>27</v>
      </c>
      <c r="M58" s="43" t="s">
        <v>155</v>
      </c>
      <c r="N58" s="43"/>
      <c r="O58" s="43" t="s">
        <v>28</v>
      </c>
      <c r="P58" s="43" t="s">
        <v>164</v>
      </c>
      <c r="Q58" s="44" t="s">
        <v>29</v>
      </c>
    </row>
    <row r="59" spans="2:17" ht="12.75">
      <c r="B59" s="45" t="s">
        <v>30</v>
      </c>
      <c r="C59" s="46">
        <v>32</v>
      </c>
      <c r="D59" s="46" t="s">
        <v>59</v>
      </c>
      <c r="E59" s="46">
        <v>22.4375</v>
      </c>
      <c r="F59" s="47" t="s">
        <v>104</v>
      </c>
      <c r="G59" s="46">
        <v>10479</v>
      </c>
      <c r="H59" s="47" t="s">
        <v>99</v>
      </c>
      <c r="I59" s="47">
        <v>20000</v>
      </c>
      <c r="J59" s="46">
        <v>75</v>
      </c>
      <c r="K59" s="46">
        <v>3000</v>
      </c>
      <c r="L59" s="46">
        <v>2700</v>
      </c>
      <c r="M59" s="46">
        <v>2565</v>
      </c>
      <c r="N59" s="46"/>
      <c r="O59" s="46">
        <f aca="true" t="shared" si="5" ref="O59:P64">ROUND(L59/$C59,1)</f>
        <v>84.4</v>
      </c>
      <c r="P59" s="46">
        <f t="shared" si="5"/>
        <v>80.2</v>
      </c>
      <c r="Q59" s="48"/>
    </row>
    <row r="60" spans="2:17" ht="12.75">
      <c r="B60" s="45" t="s">
        <v>34</v>
      </c>
      <c r="C60" s="46">
        <v>32</v>
      </c>
      <c r="D60" s="46" t="s">
        <v>59</v>
      </c>
      <c r="E60" s="46">
        <v>22.4375</v>
      </c>
      <c r="F60" s="47" t="s">
        <v>98</v>
      </c>
      <c r="G60" s="46">
        <v>340737</v>
      </c>
      <c r="H60" s="47" t="s">
        <v>100</v>
      </c>
      <c r="I60" s="47">
        <v>20000</v>
      </c>
      <c r="J60" s="46">
        <v>75</v>
      </c>
      <c r="K60" s="46">
        <v>3000</v>
      </c>
      <c r="L60" s="46">
        <v>2650</v>
      </c>
      <c r="M60" s="46">
        <v>2370</v>
      </c>
      <c r="N60" s="46"/>
      <c r="O60" s="46">
        <f t="shared" si="5"/>
        <v>82.8</v>
      </c>
      <c r="P60" s="46">
        <f t="shared" si="5"/>
        <v>74.1</v>
      </c>
      <c r="Q60" s="49" t="s">
        <v>118</v>
      </c>
    </row>
    <row r="61" spans="2:17" ht="12.75">
      <c r="B61" s="45" t="s">
        <v>37</v>
      </c>
      <c r="C61" s="46">
        <v>32</v>
      </c>
      <c r="D61" s="46" t="s">
        <v>59</v>
      </c>
      <c r="E61" s="46">
        <v>22.4375</v>
      </c>
      <c r="F61" s="47" t="s">
        <v>112</v>
      </c>
      <c r="G61" s="46">
        <v>21967</v>
      </c>
      <c r="H61" s="47" t="s">
        <v>111</v>
      </c>
      <c r="I61" s="47">
        <v>20000</v>
      </c>
      <c r="J61" s="46">
        <v>75</v>
      </c>
      <c r="K61" s="46">
        <v>3000</v>
      </c>
      <c r="L61" s="46">
        <v>2750</v>
      </c>
      <c r="M61" s="46"/>
      <c r="N61" s="46"/>
      <c r="O61" s="46">
        <f t="shared" si="5"/>
        <v>85.9</v>
      </c>
      <c r="P61" s="46">
        <f t="shared" si="5"/>
        <v>0</v>
      </c>
      <c r="Q61" s="49"/>
    </row>
    <row r="62" spans="2:17" ht="12.75">
      <c r="B62" s="45" t="s">
        <v>30</v>
      </c>
      <c r="C62" s="46">
        <v>35</v>
      </c>
      <c r="D62" s="46" t="s">
        <v>31</v>
      </c>
      <c r="E62" s="46">
        <v>22.4375</v>
      </c>
      <c r="F62" s="47" t="s">
        <v>101</v>
      </c>
      <c r="G62" s="46">
        <v>12207</v>
      </c>
      <c r="H62" s="47" t="s">
        <v>95</v>
      </c>
      <c r="I62" s="47">
        <v>14000</v>
      </c>
      <c r="J62" s="46">
        <v>52</v>
      </c>
      <c r="K62" s="46">
        <v>3000</v>
      </c>
      <c r="L62" s="46">
        <v>2350</v>
      </c>
      <c r="M62" s="46">
        <v>2150</v>
      </c>
      <c r="N62" s="46"/>
      <c r="O62" s="46">
        <f t="shared" si="5"/>
        <v>67.1</v>
      </c>
      <c r="P62" s="46">
        <f t="shared" si="5"/>
        <v>61.4</v>
      </c>
      <c r="Q62" s="49"/>
    </row>
    <row r="63" spans="2:17" ht="12.75">
      <c r="B63" s="45" t="s">
        <v>34</v>
      </c>
      <c r="C63" s="46">
        <v>34</v>
      </c>
      <c r="D63" s="46" t="s">
        <v>31</v>
      </c>
      <c r="E63" s="46">
        <v>22.4375</v>
      </c>
      <c r="F63" s="47" t="s">
        <v>94</v>
      </c>
      <c r="G63" s="46">
        <v>378620</v>
      </c>
      <c r="H63" s="47" t="s">
        <v>96</v>
      </c>
      <c r="I63" s="50">
        <v>18000</v>
      </c>
      <c r="J63" s="46">
        <v>53</v>
      </c>
      <c r="K63" s="46">
        <v>3000</v>
      </c>
      <c r="L63" s="46">
        <v>2400</v>
      </c>
      <c r="M63" s="46">
        <v>2050</v>
      </c>
      <c r="N63" s="46"/>
      <c r="O63" s="46">
        <f t="shared" si="5"/>
        <v>70.6</v>
      </c>
      <c r="P63" s="46">
        <f t="shared" si="5"/>
        <v>60.3</v>
      </c>
      <c r="Q63" s="49" t="s">
        <v>119</v>
      </c>
    </row>
    <row r="64" spans="2:17" ht="12.75">
      <c r="B64" s="51" t="s">
        <v>37</v>
      </c>
      <c r="C64" s="52">
        <v>34</v>
      </c>
      <c r="D64" s="52" t="s">
        <v>31</v>
      </c>
      <c r="E64" s="52">
        <v>22.4375</v>
      </c>
      <c r="F64" s="53" t="s">
        <v>115</v>
      </c>
      <c r="G64" s="52">
        <v>24047</v>
      </c>
      <c r="H64" s="53" t="s">
        <v>97</v>
      </c>
      <c r="I64" s="54">
        <v>18000</v>
      </c>
      <c r="J64" s="52"/>
      <c r="K64" s="52"/>
      <c r="L64" s="52">
        <v>2650</v>
      </c>
      <c r="M64" s="52"/>
      <c r="N64" s="52"/>
      <c r="O64" s="52">
        <f t="shared" si="5"/>
        <v>77.9</v>
      </c>
      <c r="P64" s="52">
        <f t="shared" si="5"/>
        <v>0</v>
      </c>
      <c r="Q64" s="55"/>
    </row>
    <row r="66" ht="12.75">
      <c r="B66" t="s">
        <v>45</v>
      </c>
    </row>
    <row r="67" spans="2:17" ht="13.5" thickBot="1">
      <c r="B67" s="42" t="s">
        <v>17</v>
      </c>
      <c r="C67" s="43" t="s">
        <v>18</v>
      </c>
      <c r="D67" s="43" t="s">
        <v>19</v>
      </c>
      <c r="E67" s="43" t="s">
        <v>20</v>
      </c>
      <c r="F67" s="43" t="s">
        <v>21</v>
      </c>
      <c r="G67" s="43" t="s">
        <v>22</v>
      </c>
      <c r="H67" s="43" t="s">
        <v>23</v>
      </c>
      <c r="I67" s="43" t="s">
        <v>24</v>
      </c>
      <c r="J67" s="43" t="s">
        <v>25</v>
      </c>
      <c r="K67" s="43" t="s">
        <v>26</v>
      </c>
      <c r="L67" s="43" t="s">
        <v>27</v>
      </c>
      <c r="M67" s="43" t="s">
        <v>155</v>
      </c>
      <c r="N67" s="43"/>
      <c r="O67" s="43" t="s">
        <v>28</v>
      </c>
      <c r="P67" s="43" t="s">
        <v>164</v>
      </c>
      <c r="Q67" s="44" t="s">
        <v>29</v>
      </c>
    </row>
    <row r="68" spans="2:17" ht="12.75">
      <c r="B68" s="45" t="s">
        <v>30</v>
      </c>
      <c r="C68" s="46">
        <v>32</v>
      </c>
      <c r="D68" s="46" t="s">
        <v>59</v>
      </c>
      <c r="E68" s="46">
        <v>22.4375</v>
      </c>
      <c r="F68" s="47" t="s">
        <v>102</v>
      </c>
      <c r="G68" s="46">
        <v>10483</v>
      </c>
      <c r="H68" s="47" t="s">
        <v>105</v>
      </c>
      <c r="I68" s="47">
        <v>20000</v>
      </c>
      <c r="J68" s="46">
        <v>84</v>
      </c>
      <c r="K68" s="46">
        <v>3000</v>
      </c>
      <c r="L68" s="46">
        <v>2800</v>
      </c>
      <c r="M68" s="46">
        <v>2630</v>
      </c>
      <c r="N68" s="46"/>
      <c r="O68" s="46">
        <f aca="true" t="shared" si="6" ref="O68:P73">ROUND(L68/$C68,1)</f>
        <v>87.5</v>
      </c>
      <c r="P68" s="46">
        <f t="shared" si="6"/>
        <v>82.2</v>
      </c>
      <c r="Q68" s="48"/>
    </row>
    <row r="69" spans="2:17" ht="12.75">
      <c r="B69" s="45" t="s">
        <v>34</v>
      </c>
      <c r="C69" s="46">
        <v>32</v>
      </c>
      <c r="D69" s="46" t="s">
        <v>59</v>
      </c>
      <c r="E69" s="46">
        <v>22.4375</v>
      </c>
      <c r="F69" s="47" t="s">
        <v>106</v>
      </c>
      <c r="G69" s="46">
        <v>340802</v>
      </c>
      <c r="H69" s="47" t="s">
        <v>107</v>
      </c>
      <c r="I69" s="47">
        <v>20000</v>
      </c>
      <c r="J69" s="46">
        <v>85</v>
      </c>
      <c r="K69" s="46">
        <v>3000</v>
      </c>
      <c r="L69" s="46">
        <v>2800</v>
      </c>
      <c r="M69" s="46">
        <v>2535</v>
      </c>
      <c r="N69" s="46"/>
      <c r="O69" s="46">
        <f t="shared" si="6"/>
        <v>87.5</v>
      </c>
      <c r="P69" s="46">
        <f t="shared" si="6"/>
        <v>79.2</v>
      </c>
      <c r="Q69" s="49"/>
    </row>
    <row r="70" spans="2:17" ht="12.75">
      <c r="B70" s="45" t="s">
        <v>37</v>
      </c>
      <c r="C70" s="46">
        <v>32</v>
      </c>
      <c r="D70" s="46" t="s">
        <v>59</v>
      </c>
      <c r="E70" s="46">
        <v>22.4375</v>
      </c>
      <c r="F70" s="47" t="s">
        <v>113</v>
      </c>
      <c r="G70" s="46">
        <v>21970</v>
      </c>
      <c r="H70" s="47" t="s">
        <v>114</v>
      </c>
      <c r="I70" s="47">
        <v>20000</v>
      </c>
      <c r="J70" s="46">
        <v>82</v>
      </c>
      <c r="K70" s="46">
        <v>3000</v>
      </c>
      <c r="L70" s="46">
        <v>2850</v>
      </c>
      <c r="M70" s="46"/>
      <c r="N70" s="46"/>
      <c r="O70" s="46">
        <f t="shared" si="6"/>
        <v>89.1</v>
      </c>
      <c r="P70" s="46">
        <f t="shared" si="6"/>
        <v>0</v>
      </c>
      <c r="Q70" s="49"/>
    </row>
    <row r="71" spans="2:17" ht="12.75">
      <c r="B71" s="45" t="s">
        <v>30</v>
      </c>
      <c r="C71" s="46">
        <v>40</v>
      </c>
      <c r="D71" s="46" t="s">
        <v>31</v>
      </c>
      <c r="E71" s="46">
        <v>22.4375</v>
      </c>
      <c r="F71" s="47" t="s">
        <v>102</v>
      </c>
      <c r="G71" s="46">
        <v>14816</v>
      </c>
      <c r="H71" s="47" t="s">
        <v>103</v>
      </c>
      <c r="I71" s="47">
        <v>14000</v>
      </c>
      <c r="J71" s="46">
        <v>82</v>
      </c>
      <c r="K71" s="46">
        <v>3000</v>
      </c>
      <c r="L71" s="46">
        <v>3100</v>
      </c>
      <c r="M71" s="46">
        <v>2820</v>
      </c>
      <c r="N71" s="46"/>
      <c r="O71" s="46">
        <f t="shared" si="6"/>
        <v>77.5</v>
      </c>
      <c r="P71" s="46">
        <f t="shared" si="6"/>
        <v>70.5</v>
      </c>
      <c r="Q71" s="49"/>
    </row>
    <row r="72" spans="2:17" ht="12.75">
      <c r="B72" s="45" t="s">
        <v>34</v>
      </c>
      <c r="C72" s="46">
        <v>34</v>
      </c>
      <c r="D72" s="46" t="s">
        <v>31</v>
      </c>
      <c r="E72" s="46">
        <v>22.4375</v>
      </c>
      <c r="F72" s="47" t="s">
        <v>108</v>
      </c>
      <c r="G72" s="46" t="s">
        <v>109</v>
      </c>
      <c r="H72" s="47" t="s">
        <v>110</v>
      </c>
      <c r="I72" s="50">
        <v>18000</v>
      </c>
      <c r="J72" s="46">
        <v>70</v>
      </c>
      <c r="K72" s="46">
        <v>3000</v>
      </c>
      <c r="L72" s="46">
        <v>2760</v>
      </c>
      <c r="M72" s="46">
        <v>2500</v>
      </c>
      <c r="N72" s="46"/>
      <c r="O72" s="46">
        <f t="shared" si="6"/>
        <v>81.2</v>
      </c>
      <c r="P72" s="46">
        <f t="shared" si="6"/>
        <v>73.5</v>
      </c>
      <c r="Q72" s="49"/>
    </row>
    <row r="73" spans="2:17" ht="12.75">
      <c r="B73" s="51" t="s">
        <v>37</v>
      </c>
      <c r="C73" s="52">
        <v>34</v>
      </c>
      <c r="D73" s="52" t="s">
        <v>31</v>
      </c>
      <c r="E73" s="52">
        <v>22.4375</v>
      </c>
      <c r="F73" s="53" t="s">
        <v>117</v>
      </c>
      <c r="G73" s="52">
        <v>24063</v>
      </c>
      <c r="H73" s="53" t="s">
        <v>116</v>
      </c>
      <c r="I73" s="54">
        <v>18000</v>
      </c>
      <c r="J73" s="52"/>
      <c r="K73" s="52">
        <v>3000</v>
      </c>
      <c r="L73" s="52">
        <v>2730</v>
      </c>
      <c r="M73" s="52"/>
      <c r="N73" s="52"/>
      <c r="O73" s="52">
        <f t="shared" si="6"/>
        <v>80.3</v>
      </c>
      <c r="P73" s="52">
        <f t="shared" si="6"/>
        <v>0</v>
      </c>
      <c r="Q73" s="55"/>
    </row>
    <row r="75" spans="2:10" ht="12.75">
      <c r="B75" t="s">
        <v>56</v>
      </c>
      <c r="G75" s="95" t="s">
        <v>156</v>
      </c>
      <c r="H75" s="95" t="s">
        <v>154</v>
      </c>
      <c r="I75" s="96" t="s">
        <v>82</v>
      </c>
      <c r="J75" s="82" t="s">
        <v>83</v>
      </c>
    </row>
    <row r="76" spans="2:15" ht="12.75">
      <c r="B76" t="str">
        <f aca="true" t="shared" si="7" ref="B76:B81">B68</f>
        <v>General Electric</v>
      </c>
      <c r="C76" s="58">
        <f aca="true" t="shared" si="8" ref="C76:C81">L59/O68</f>
        <v>30.857142857142858</v>
      </c>
      <c r="G76" s="95">
        <f>(G21+G48)/2</f>
        <v>0.885</v>
      </c>
      <c r="H76" s="95">
        <f>(H21+H48)/2</f>
        <v>32.75</v>
      </c>
      <c r="I76" s="85">
        <f>SUM(M59:M63)/4</f>
        <v>2283.75</v>
      </c>
      <c r="J76" s="94">
        <f>I76*G$76/H$76</f>
        <v>61.71354961832061</v>
      </c>
      <c r="K76" s="70" t="s">
        <v>84</v>
      </c>
      <c r="L76" s="70"/>
      <c r="M76" s="70"/>
      <c r="N76" s="70"/>
      <c r="O76" s="71"/>
    </row>
    <row r="77" spans="2:15" ht="12.75">
      <c r="B77" t="str">
        <f t="shared" si="7"/>
        <v>Philips</v>
      </c>
      <c r="C77" s="58">
        <f t="shared" si="8"/>
        <v>30.285714285714285</v>
      </c>
      <c r="I77" s="80">
        <v>2370</v>
      </c>
      <c r="J77" s="93">
        <f>I77*G$76/H$76</f>
        <v>64.0442748091603</v>
      </c>
      <c r="K77" s="72" t="s">
        <v>165</v>
      </c>
      <c r="L77" s="72"/>
      <c r="M77" s="72"/>
      <c r="N77" s="72"/>
      <c r="O77" s="73"/>
    </row>
    <row r="78" spans="2:15" ht="12.75">
      <c r="B78" t="str">
        <f t="shared" si="7"/>
        <v>Osram Sylvania</v>
      </c>
      <c r="C78" s="58">
        <f t="shared" si="8"/>
        <v>30.8641975308642</v>
      </c>
      <c r="I78" s="80">
        <f>(M68+M69)/2</f>
        <v>2582.5</v>
      </c>
      <c r="J78" s="93">
        <f>I78*G$76/H$76</f>
        <v>69.78664122137404</v>
      </c>
      <c r="K78" s="72" t="s">
        <v>166</v>
      </c>
      <c r="L78" s="72"/>
      <c r="M78" s="72"/>
      <c r="N78" s="72"/>
      <c r="O78" s="73"/>
    </row>
    <row r="79" spans="2:15" ht="12.75">
      <c r="B79" t="str">
        <f t="shared" si="7"/>
        <v>General Electric</v>
      </c>
      <c r="C79" s="58">
        <f t="shared" si="8"/>
        <v>30.322580645161292</v>
      </c>
      <c r="I79" s="97">
        <f>SUM(M68:M73)/4</f>
        <v>2621.25</v>
      </c>
      <c r="J79" s="92">
        <f>I79*G$76/H$76</f>
        <v>70.8337786259542</v>
      </c>
      <c r="K79" s="74" t="s">
        <v>81</v>
      </c>
      <c r="L79" s="74"/>
      <c r="M79" s="74"/>
      <c r="N79" s="74"/>
      <c r="O79" s="75"/>
    </row>
    <row r="80" spans="2:3" ht="12.75">
      <c r="B80" t="str">
        <f t="shared" si="7"/>
        <v>Philips</v>
      </c>
      <c r="C80" s="58">
        <f t="shared" si="8"/>
        <v>29.556650246305416</v>
      </c>
    </row>
    <row r="81" spans="2:7" ht="12.75">
      <c r="B81" t="str">
        <f t="shared" si="7"/>
        <v>Osram Sylvania</v>
      </c>
      <c r="C81" s="58">
        <f t="shared" si="8"/>
        <v>33.00124533001245</v>
      </c>
      <c r="E81" s="59" t="s">
        <v>57</v>
      </c>
      <c r="F81" s="60">
        <f>ROUND(AVERAGE(C76:C81),1)</f>
        <v>30.8</v>
      </c>
      <c r="G81" s="61" t="s">
        <v>18</v>
      </c>
    </row>
    <row r="85" ht="12.75">
      <c r="B85" t="s">
        <v>120</v>
      </c>
    </row>
    <row r="86" spans="2:17" ht="13.5" thickBot="1">
      <c r="B86" s="42" t="s">
        <v>17</v>
      </c>
      <c r="C86" s="43" t="s">
        <v>18</v>
      </c>
      <c r="D86" s="43" t="s">
        <v>19</v>
      </c>
      <c r="E86" s="43" t="s">
        <v>20</v>
      </c>
      <c r="F86" s="43" t="s">
        <v>21</v>
      </c>
      <c r="G86" s="43" t="s">
        <v>22</v>
      </c>
      <c r="H86" s="43" t="s">
        <v>23</v>
      </c>
      <c r="I86" s="43" t="s">
        <v>24</v>
      </c>
      <c r="J86" s="43" t="s">
        <v>25</v>
      </c>
      <c r="K86" s="43" t="s">
        <v>26</v>
      </c>
      <c r="L86" s="43" t="s">
        <v>27</v>
      </c>
      <c r="M86" s="43" t="s">
        <v>155</v>
      </c>
      <c r="N86" s="43"/>
      <c r="O86" s="43" t="s">
        <v>28</v>
      </c>
      <c r="P86" s="43" t="s">
        <v>164</v>
      </c>
      <c r="Q86" s="44" t="s">
        <v>29</v>
      </c>
    </row>
    <row r="87" spans="2:17" ht="12.75">
      <c r="B87" s="45" t="s">
        <v>30</v>
      </c>
      <c r="C87" s="46">
        <v>59</v>
      </c>
      <c r="D87" s="46" t="s">
        <v>59</v>
      </c>
      <c r="E87" s="46">
        <v>96</v>
      </c>
      <c r="F87" s="47" t="s">
        <v>139</v>
      </c>
      <c r="G87" s="46">
        <v>23407</v>
      </c>
      <c r="H87" s="47" t="s">
        <v>128</v>
      </c>
      <c r="I87" s="47">
        <v>15000</v>
      </c>
      <c r="J87" s="46">
        <v>75</v>
      </c>
      <c r="K87" s="46">
        <v>3000</v>
      </c>
      <c r="L87" s="46">
        <v>5800</v>
      </c>
      <c r="M87" s="46">
        <v>5310</v>
      </c>
      <c r="N87" s="46"/>
      <c r="O87" s="46">
        <f aca="true" t="shared" si="9" ref="O87:P92">ROUND(L87/$C87,1)</f>
        <v>98.3</v>
      </c>
      <c r="P87" s="46">
        <f t="shared" si="9"/>
        <v>90</v>
      </c>
      <c r="Q87" s="48"/>
    </row>
    <row r="88" spans="2:17" ht="12.75">
      <c r="B88" s="45" t="s">
        <v>34</v>
      </c>
      <c r="C88" s="46">
        <v>59</v>
      </c>
      <c r="D88" s="46" t="s">
        <v>59</v>
      </c>
      <c r="E88" s="46">
        <v>96</v>
      </c>
      <c r="F88" s="47" t="s">
        <v>125</v>
      </c>
      <c r="G88" s="46">
        <v>344531</v>
      </c>
      <c r="H88" s="47" t="s">
        <v>127</v>
      </c>
      <c r="I88" s="47">
        <v>15000</v>
      </c>
      <c r="J88" s="46">
        <v>75</v>
      </c>
      <c r="K88" s="46">
        <v>3000</v>
      </c>
      <c r="L88" s="46">
        <v>5700</v>
      </c>
      <c r="M88" s="46">
        <v>5190</v>
      </c>
      <c r="N88" s="46"/>
      <c r="O88" s="46">
        <f t="shared" si="9"/>
        <v>96.6</v>
      </c>
      <c r="P88" s="46">
        <f t="shared" si="9"/>
        <v>88</v>
      </c>
      <c r="Q88" s="49" t="s">
        <v>130</v>
      </c>
    </row>
    <row r="89" spans="2:17" ht="12.75">
      <c r="B89" s="45" t="s">
        <v>37</v>
      </c>
      <c r="C89" s="46">
        <v>59</v>
      </c>
      <c r="D89" s="46" t="s">
        <v>59</v>
      </c>
      <c r="E89" s="46">
        <v>96</v>
      </c>
      <c r="F89" s="47" t="s">
        <v>149</v>
      </c>
      <c r="G89" s="46">
        <v>21854</v>
      </c>
      <c r="H89" s="47" t="s">
        <v>129</v>
      </c>
      <c r="I89" s="47">
        <v>15000</v>
      </c>
      <c r="J89" s="46">
        <v>75</v>
      </c>
      <c r="K89" s="46">
        <v>3000</v>
      </c>
      <c r="L89" s="46">
        <v>5700</v>
      </c>
      <c r="M89" s="46"/>
      <c r="N89" s="46"/>
      <c r="O89" s="46">
        <f t="shared" si="9"/>
        <v>96.6</v>
      </c>
      <c r="P89" s="46">
        <f t="shared" si="9"/>
        <v>0</v>
      </c>
      <c r="Q89" s="49"/>
    </row>
    <row r="90" spans="2:17" ht="12.75">
      <c r="B90" s="45" t="s">
        <v>30</v>
      </c>
      <c r="C90" s="46">
        <v>60</v>
      </c>
      <c r="D90" s="46" t="s">
        <v>31</v>
      </c>
      <c r="E90" s="46">
        <v>96</v>
      </c>
      <c r="F90" s="47"/>
      <c r="G90" s="46">
        <v>13729</v>
      </c>
      <c r="H90" s="47" t="s">
        <v>123</v>
      </c>
      <c r="I90" s="47">
        <v>12000</v>
      </c>
      <c r="J90" s="46">
        <v>60</v>
      </c>
      <c r="K90" s="46">
        <v>4100</v>
      </c>
      <c r="L90" s="46">
        <v>5500</v>
      </c>
      <c r="M90" s="46">
        <v>5060</v>
      </c>
      <c r="N90" s="46"/>
      <c r="O90" s="46">
        <f t="shared" si="9"/>
        <v>91.7</v>
      </c>
      <c r="P90" s="46">
        <f t="shared" si="9"/>
        <v>84.3</v>
      </c>
      <c r="Q90" s="49"/>
    </row>
    <row r="91" spans="2:17" ht="12.75">
      <c r="B91" s="45" t="s">
        <v>34</v>
      </c>
      <c r="C91" s="46">
        <v>60</v>
      </c>
      <c r="D91" s="46" t="s">
        <v>31</v>
      </c>
      <c r="E91" s="46">
        <v>96</v>
      </c>
      <c r="F91" s="47" t="s">
        <v>121</v>
      </c>
      <c r="G91" s="46">
        <v>258400</v>
      </c>
      <c r="H91" s="47" t="s">
        <v>122</v>
      </c>
      <c r="I91" s="50">
        <v>12000</v>
      </c>
      <c r="J91" s="46">
        <v>62</v>
      </c>
      <c r="K91" s="46">
        <v>4100</v>
      </c>
      <c r="L91" s="46">
        <v>5400</v>
      </c>
      <c r="M91" s="46">
        <v>4750</v>
      </c>
      <c r="N91" s="46"/>
      <c r="O91" s="46">
        <f t="shared" si="9"/>
        <v>90</v>
      </c>
      <c r="P91" s="46">
        <f t="shared" si="9"/>
        <v>79.2</v>
      </c>
      <c r="Q91" s="49" t="s">
        <v>126</v>
      </c>
    </row>
    <row r="92" spans="2:17" ht="12.75">
      <c r="B92" s="51" t="s">
        <v>37</v>
      </c>
      <c r="C92" s="52">
        <v>60</v>
      </c>
      <c r="D92" s="52" t="s">
        <v>31</v>
      </c>
      <c r="E92" s="52">
        <v>96</v>
      </c>
      <c r="F92" s="53" t="s">
        <v>146</v>
      </c>
      <c r="G92" s="52">
        <v>29815</v>
      </c>
      <c r="H92" s="53" t="s">
        <v>124</v>
      </c>
      <c r="I92" s="54">
        <v>12000</v>
      </c>
      <c r="J92" s="52"/>
      <c r="K92" s="52"/>
      <c r="L92" s="52">
        <v>5300</v>
      </c>
      <c r="M92" s="52"/>
      <c r="N92" s="52"/>
      <c r="O92" s="52">
        <f t="shared" si="9"/>
        <v>88.3</v>
      </c>
      <c r="P92" s="52">
        <f t="shared" si="9"/>
        <v>0</v>
      </c>
      <c r="Q92" s="55"/>
    </row>
    <row r="94" ht="12.75">
      <c r="B94" t="s">
        <v>45</v>
      </c>
    </row>
    <row r="95" spans="2:17" ht="13.5" thickBot="1">
      <c r="B95" s="42" t="s">
        <v>17</v>
      </c>
      <c r="C95" s="43" t="s">
        <v>18</v>
      </c>
      <c r="D95" s="43" t="s">
        <v>19</v>
      </c>
      <c r="E95" s="43" t="s">
        <v>20</v>
      </c>
      <c r="F95" s="43" t="s">
        <v>21</v>
      </c>
      <c r="G95" s="43" t="s">
        <v>22</v>
      </c>
      <c r="H95" s="43" t="s">
        <v>23</v>
      </c>
      <c r="I95" s="43" t="s">
        <v>24</v>
      </c>
      <c r="J95" s="43" t="s">
        <v>25</v>
      </c>
      <c r="K95" s="43" t="s">
        <v>26</v>
      </c>
      <c r="L95" s="43" t="s">
        <v>27</v>
      </c>
      <c r="M95" s="43" t="s">
        <v>155</v>
      </c>
      <c r="N95" s="43"/>
      <c r="O95" s="43" t="s">
        <v>28</v>
      </c>
      <c r="P95" s="43" t="s">
        <v>164</v>
      </c>
      <c r="Q95" s="44" t="s">
        <v>29</v>
      </c>
    </row>
    <row r="96" spans="2:17" ht="12.75">
      <c r="B96" s="45" t="s">
        <v>30</v>
      </c>
      <c r="C96" s="46">
        <v>59</v>
      </c>
      <c r="D96" s="46" t="s">
        <v>59</v>
      </c>
      <c r="E96" s="46">
        <v>96</v>
      </c>
      <c r="F96" s="47" t="s">
        <v>140</v>
      </c>
      <c r="G96" s="46">
        <v>23414</v>
      </c>
      <c r="H96" s="47" t="s">
        <v>141</v>
      </c>
      <c r="I96" s="47">
        <v>15000</v>
      </c>
      <c r="J96" s="46">
        <v>84</v>
      </c>
      <c r="K96" s="46">
        <v>3000</v>
      </c>
      <c r="L96" s="46">
        <v>5950</v>
      </c>
      <c r="M96" s="46">
        <v>5440</v>
      </c>
      <c r="N96" s="46"/>
      <c r="O96" s="46">
        <f aca="true" t="shared" si="10" ref="O96:P101">ROUND(L96/$C96,1)</f>
        <v>100.8</v>
      </c>
      <c r="P96" s="46">
        <f t="shared" si="10"/>
        <v>92.2</v>
      </c>
      <c r="Q96" s="48"/>
    </row>
    <row r="97" spans="2:17" ht="12.75">
      <c r="B97" s="45" t="s">
        <v>34</v>
      </c>
      <c r="C97" s="46">
        <v>59</v>
      </c>
      <c r="D97" s="46" t="s">
        <v>59</v>
      </c>
      <c r="E97" s="46">
        <v>96</v>
      </c>
      <c r="F97" s="47" t="s">
        <v>143</v>
      </c>
      <c r="G97" s="46">
        <v>344572</v>
      </c>
      <c r="H97" s="47" t="s">
        <v>142</v>
      </c>
      <c r="I97" s="47">
        <v>15000</v>
      </c>
      <c r="J97" s="46">
        <v>85</v>
      </c>
      <c r="K97" s="46">
        <v>3000</v>
      </c>
      <c r="L97" s="46">
        <v>5900</v>
      </c>
      <c r="M97" s="46">
        <v>5490</v>
      </c>
      <c r="N97" s="46"/>
      <c r="O97" s="46">
        <f t="shared" si="10"/>
        <v>100</v>
      </c>
      <c r="P97" s="46">
        <f t="shared" si="10"/>
        <v>93.1</v>
      </c>
      <c r="Q97" s="49"/>
    </row>
    <row r="98" spans="2:17" ht="12.75">
      <c r="B98" s="45" t="s">
        <v>37</v>
      </c>
      <c r="C98" s="46">
        <v>59</v>
      </c>
      <c r="D98" s="46" t="s">
        <v>59</v>
      </c>
      <c r="E98" s="46">
        <v>96</v>
      </c>
      <c r="F98" s="47" t="s">
        <v>150</v>
      </c>
      <c r="G98" s="46">
        <v>21897</v>
      </c>
      <c r="H98" s="47" t="s">
        <v>151</v>
      </c>
      <c r="I98" s="47">
        <v>15000</v>
      </c>
      <c r="J98" s="46">
        <v>82</v>
      </c>
      <c r="K98" s="46">
        <v>3000</v>
      </c>
      <c r="L98" s="46">
        <v>5900</v>
      </c>
      <c r="M98" s="46"/>
      <c r="N98" s="46"/>
      <c r="O98" s="46">
        <f t="shared" si="10"/>
        <v>100</v>
      </c>
      <c r="P98" s="46">
        <f t="shared" si="10"/>
        <v>0</v>
      </c>
      <c r="Q98" s="49"/>
    </row>
    <row r="99" spans="2:17" ht="12.75">
      <c r="B99" s="45" t="s">
        <v>30</v>
      </c>
      <c r="C99" s="46">
        <v>60</v>
      </c>
      <c r="D99" s="46" t="s">
        <v>31</v>
      </c>
      <c r="E99" s="46">
        <v>96</v>
      </c>
      <c r="F99" s="47" t="s">
        <v>134</v>
      </c>
      <c r="G99" s="46">
        <v>15340</v>
      </c>
      <c r="H99" s="47" t="s">
        <v>133</v>
      </c>
      <c r="I99" s="47">
        <v>12000</v>
      </c>
      <c r="J99" s="46">
        <v>80</v>
      </c>
      <c r="K99" s="46">
        <v>4100</v>
      </c>
      <c r="L99" s="46">
        <v>6000</v>
      </c>
      <c r="M99" s="46">
        <v>5640</v>
      </c>
      <c r="N99" s="46"/>
      <c r="O99" s="46">
        <f t="shared" si="10"/>
        <v>100</v>
      </c>
      <c r="P99" s="46">
        <f t="shared" si="10"/>
        <v>94</v>
      </c>
      <c r="Q99" s="49"/>
    </row>
    <row r="100" spans="2:17" ht="12.75">
      <c r="B100" s="45" t="s">
        <v>34</v>
      </c>
      <c r="C100" s="46">
        <v>60</v>
      </c>
      <c r="D100" s="46" t="s">
        <v>31</v>
      </c>
      <c r="E100" s="46">
        <v>96</v>
      </c>
      <c r="F100" s="47" t="s">
        <v>144</v>
      </c>
      <c r="G100" s="46">
        <v>342071</v>
      </c>
      <c r="H100" s="47" t="s">
        <v>145</v>
      </c>
      <c r="I100" s="50">
        <v>12000</v>
      </c>
      <c r="J100" s="46">
        <v>85</v>
      </c>
      <c r="K100" s="46">
        <v>4100</v>
      </c>
      <c r="L100" s="46">
        <v>5900</v>
      </c>
      <c r="M100" s="46">
        <v>5550</v>
      </c>
      <c r="N100" s="46"/>
      <c r="O100" s="46">
        <f t="shared" si="10"/>
        <v>98.3</v>
      </c>
      <c r="P100" s="46">
        <f t="shared" si="10"/>
        <v>92.5</v>
      </c>
      <c r="Q100" s="49"/>
    </row>
    <row r="101" spans="2:17" ht="12.75">
      <c r="B101" s="51" t="s">
        <v>37</v>
      </c>
      <c r="C101" s="52">
        <v>60</v>
      </c>
      <c r="D101" s="52" t="s">
        <v>31</v>
      </c>
      <c r="E101" s="52">
        <v>96</v>
      </c>
      <c r="F101" s="53" t="s">
        <v>147</v>
      </c>
      <c r="G101" s="52">
        <v>29812</v>
      </c>
      <c r="H101" s="53" t="s">
        <v>148</v>
      </c>
      <c r="I101" s="54">
        <v>12000</v>
      </c>
      <c r="J101" s="52"/>
      <c r="K101" s="52">
        <v>4100</v>
      </c>
      <c r="L101" s="52">
        <v>5800</v>
      </c>
      <c r="M101" s="52"/>
      <c r="N101" s="52"/>
      <c r="O101" s="52">
        <f t="shared" si="10"/>
        <v>96.7</v>
      </c>
      <c r="P101" s="52">
        <f t="shared" si="10"/>
        <v>0</v>
      </c>
      <c r="Q101" s="55"/>
    </row>
    <row r="103" spans="2:10" ht="12.75">
      <c r="B103" t="s">
        <v>56</v>
      </c>
      <c r="G103" s="95" t="s">
        <v>156</v>
      </c>
      <c r="H103" s="95" t="s">
        <v>154</v>
      </c>
      <c r="I103" s="96" t="s">
        <v>82</v>
      </c>
      <c r="J103" s="82" t="s">
        <v>83</v>
      </c>
    </row>
    <row r="104" spans="2:15" ht="12.75">
      <c r="B104" t="str">
        <f aca="true" t="shared" si="11" ref="B104:B109">B96</f>
        <v>General Electric</v>
      </c>
      <c r="C104" s="58">
        <f aca="true" t="shared" si="12" ref="C104:C109">L87/O96</f>
        <v>57.53968253968254</v>
      </c>
      <c r="G104" s="95">
        <v>0.85</v>
      </c>
      <c r="H104" s="91">
        <f>55*0.88/0.85</f>
        <v>56.94117647058823</v>
      </c>
      <c r="I104" s="85">
        <f>SUM(M87:M89)/2</f>
        <v>5250</v>
      </c>
      <c r="J104" s="76">
        <f>I104/59</f>
        <v>88.98305084745763</v>
      </c>
      <c r="K104" s="70" t="s">
        <v>135</v>
      </c>
      <c r="L104" s="70"/>
      <c r="M104" s="70"/>
      <c r="N104" s="70"/>
      <c r="O104" s="71"/>
    </row>
    <row r="105" spans="2:15" ht="12.75">
      <c r="B105" t="str">
        <f t="shared" si="11"/>
        <v>Philips</v>
      </c>
      <c r="C105" s="58">
        <f t="shared" si="12"/>
        <v>57</v>
      </c>
      <c r="I105" s="80">
        <v>5190</v>
      </c>
      <c r="J105" s="77">
        <f>I105/59</f>
        <v>87.96610169491525</v>
      </c>
      <c r="K105" s="72" t="s">
        <v>167</v>
      </c>
      <c r="L105" s="72"/>
      <c r="M105" s="72"/>
      <c r="N105" s="72"/>
      <c r="O105" s="73"/>
    </row>
    <row r="106" spans="2:15" ht="12.75">
      <c r="B106" t="str">
        <f t="shared" si="11"/>
        <v>Osram Sylvania</v>
      </c>
      <c r="C106" s="58">
        <f t="shared" si="12"/>
        <v>57</v>
      </c>
      <c r="E106" s="59" t="s">
        <v>131</v>
      </c>
      <c r="F106" s="60">
        <f>ROUND(AVERAGE(C104:C106),1)</f>
        <v>57.2</v>
      </c>
      <c r="G106" s="61" t="s">
        <v>18</v>
      </c>
      <c r="I106" s="90">
        <f>(M96+M97*(5950/5900))/2</f>
        <v>5488.262711864407</v>
      </c>
      <c r="J106" s="77">
        <f>I106/59</f>
        <v>93.02140189600689</v>
      </c>
      <c r="K106" s="72" t="s">
        <v>168</v>
      </c>
      <c r="L106" s="72"/>
      <c r="M106" s="72"/>
      <c r="N106" s="72"/>
      <c r="O106" s="73"/>
    </row>
    <row r="107" spans="2:15" ht="12.75">
      <c r="B107" t="str">
        <f t="shared" si="11"/>
        <v>General Electric</v>
      </c>
      <c r="C107" s="58">
        <f t="shared" si="12"/>
        <v>55</v>
      </c>
      <c r="I107" s="81">
        <f>SUM(M96:M98)/2</f>
        <v>5465</v>
      </c>
      <c r="J107" s="78">
        <f>I107/59</f>
        <v>92.62711864406779</v>
      </c>
      <c r="K107" s="74" t="s">
        <v>136</v>
      </c>
      <c r="L107" s="74"/>
      <c r="M107" s="74"/>
      <c r="N107" s="74"/>
      <c r="O107" s="75"/>
    </row>
    <row r="108" spans="2:15" ht="12.75">
      <c r="B108" t="str">
        <f t="shared" si="11"/>
        <v>Philips</v>
      </c>
      <c r="C108" s="58">
        <f t="shared" si="12"/>
        <v>54.93387589013225</v>
      </c>
      <c r="I108" s="79">
        <f>SUM(M90:M92)/2</f>
        <v>4905</v>
      </c>
      <c r="J108" s="76">
        <f>I108*G111/H111</f>
        <v>68.4599524187153</v>
      </c>
      <c r="K108" s="70" t="s">
        <v>137</v>
      </c>
      <c r="L108" s="70"/>
      <c r="M108" s="70"/>
      <c r="N108" s="70"/>
      <c r="O108" s="71"/>
    </row>
    <row r="109" spans="2:15" ht="12.75">
      <c r="B109" t="str">
        <f t="shared" si="11"/>
        <v>Osram Sylvania</v>
      </c>
      <c r="C109" s="58">
        <f t="shared" si="12"/>
        <v>54.80868665977249</v>
      </c>
      <c r="E109" s="59" t="s">
        <v>132</v>
      </c>
      <c r="F109" s="60">
        <f>ROUND(AVERAGE(C107:C109),1)</f>
        <v>54.9</v>
      </c>
      <c r="G109" s="61" t="s">
        <v>18</v>
      </c>
      <c r="I109" s="85">
        <f>5060*5600/5500</f>
        <v>5152</v>
      </c>
      <c r="J109" s="77">
        <f>I109*G111/H111</f>
        <v>71.90737509912768</v>
      </c>
      <c r="K109" s="72" t="s">
        <v>169</v>
      </c>
      <c r="L109" s="72"/>
      <c r="M109" s="72"/>
      <c r="N109" s="72"/>
      <c r="O109" s="73"/>
    </row>
    <row r="110" spans="7:15" ht="12.75">
      <c r="G110" s="95" t="s">
        <v>156</v>
      </c>
      <c r="H110" s="95" t="s">
        <v>154</v>
      </c>
      <c r="I110" s="85">
        <v>5640</v>
      </c>
      <c r="J110" s="77">
        <f>I110*G111/H111</f>
        <v>78.71847739888977</v>
      </c>
      <c r="K110" s="72" t="s">
        <v>170</v>
      </c>
      <c r="L110" s="72"/>
      <c r="M110" s="72"/>
      <c r="N110" s="72"/>
      <c r="O110" s="73"/>
    </row>
    <row r="111" spans="7:15" ht="12.75">
      <c r="G111" s="95">
        <v>0.88</v>
      </c>
      <c r="H111" s="95">
        <f>126.1/2</f>
        <v>63.05</v>
      </c>
      <c r="I111" s="81">
        <f>SUM(M99:M101)/2</f>
        <v>5595</v>
      </c>
      <c r="J111" s="78">
        <f>I111*G111/H111</f>
        <v>78.09040444091991</v>
      </c>
      <c r="K111" s="74" t="s">
        <v>138</v>
      </c>
      <c r="L111" s="74"/>
      <c r="M111" s="74"/>
      <c r="N111" s="74"/>
      <c r="O111" s="75"/>
    </row>
  </sheetData>
  <printOptions/>
  <pageMargins left="0.75" right="0.75" top="1" bottom="1" header="0.5" footer="0.5"/>
  <pageSetup fitToHeight="1" fitToWidth="1" horizontalDpi="600" verticalDpi="600" orientation="landscape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Arthur D. Little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Scholand</dc:creator>
  <cp:keywords/>
  <dc:description/>
  <cp:lastModifiedBy>gjraps</cp:lastModifiedBy>
  <cp:lastPrinted>2001-09-04T20:39:04Z</cp:lastPrinted>
  <dcterms:created xsi:type="dcterms:W3CDTF">2001-08-31T14:47:57Z</dcterms:created>
  <dcterms:modified xsi:type="dcterms:W3CDTF">2001-11-13T18:22:47Z</dcterms:modified>
  <cp:category/>
  <cp:version/>
  <cp:contentType/>
  <cp:contentStatus/>
</cp:coreProperties>
</file>