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0350" tabRatio="811" activeTab="1"/>
  </bookViews>
  <sheets>
    <sheet name="B1 Crit. Pollutant Summary" sheetId="1" r:id="rId1"/>
    <sheet name="B2 Emissions Calcs" sheetId="2" r:id="rId2"/>
    <sheet name="Parameters" sheetId="3" state="hidden" r:id="rId3"/>
    <sheet name="Fugitive Component Summary" sheetId="4" state="hidden" r:id="rId4"/>
  </sheets>
  <externalReferences>
    <externalReference r:id="rId7"/>
  </externalReferences>
  <definedNames>
    <definedName name="AlkyCT">'B2 Emissions Calcs'!$A$442:$I$452</definedName>
    <definedName name="AlkyFlare">'B2 Emissions Calcs'!#REF!</definedName>
    <definedName name="AlkyFlareEmissionsData">#REF!</definedName>
    <definedName name="AlkyFlareEmissionsHeader">#REF!</definedName>
    <definedName name="AlkyFlareEmissionsRow">#REF!</definedName>
    <definedName name="AnnualToxicsTotal">#REF!</definedName>
    <definedName name="Boiler">'B2 Emissions Calcs'!#REF!</definedName>
    <definedName name="BufferFactor">#REF!</definedName>
    <definedName name="CAPCOAHeader">#REF!</definedName>
    <definedName name="CAPCOARow">#REF!</definedName>
    <definedName name="CAPCOATable">#REF!</definedName>
    <definedName name="CASHeader">#REF!</definedName>
    <definedName name="CASNo">#REF!</definedName>
    <definedName name="CountHeader">#REF!</definedName>
    <definedName name="CountRow">#REF!</definedName>
    <definedName name="CountTable">#REF!</definedName>
    <definedName name="DELData">'B1 Crit. Pollutant Summary'!$H$3:$L$39</definedName>
    <definedName name="DELHeader">'B1 Crit. Pollutant Summary'!$H$4:$L$4</definedName>
    <definedName name="DELRow">'B1 Crit. Pollutant Summary'!$A$3:$A$39</definedName>
    <definedName name="DieselICEs">'B2 Emissions Calcs'!$A$414:$I$433</definedName>
    <definedName name="FCCRegen">'B2 Emissions Calcs'!$A$144:$I$164</definedName>
    <definedName name="FCCStartupHtr">'B2 Emissions Calcs'!$A$173:$I$205</definedName>
    <definedName name="FlareEmissionsData">#REF!</definedName>
    <definedName name="FlareEmissionsHeader">#REF!</definedName>
    <definedName name="FlareEmissionsRow">#REF!</definedName>
    <definedName name="FlareSulfurData">'B2 Emissions Calcs'!$A$341:$C$344</definedName>
    <definedName name="FugHAPData">#REF!</definedName>
    <definedName name="FugHAPHeader">#REF!</definedName>
    <definedName name="FugHAPRow">#REF!</definedName>
    <definedName name="GeneralCT">'B2 Emissions Calcs'!$A$460:$I$470</definedName>
    <definedName name="GroundFlare">'B2 Emissions Calcs'!$A$347:$I$381</definedName>
    <definedName name="Header" localSheetId="1">'B2 Emissions Calcs'!$A$16:$I$16</definedName>
    <definedName name="HGUReformer">'B2 Emissions Calcs'!$A$99:$I$132</definedName>
    <definedName name="HistoricalHeader">#REF!</definedName>
    <definedName name="HistoricalRow">#REF!</definedName>
    <definedName name="HistoricalTable">#REF!</definedName>
    <definedName name="IsoStripper">'B2 Emissions Calcs'!$A$294:$I$327</definedName>
    <definedName name="MHC14H1">'B2 Emissions Calcs'!$A$213:$I$245</definedName>
    <definedName name="MHC14H2">'B2 Emissions Calcs'!$A$253:$I$285</definedName>
    <definedName name="PollDataAnnual">#REF!</definedName>
    <definedName name="PollDataHour">#REF!</definedName>
    <definedName name="_xlnm.Print_Area" localSheetId="0">'B1 Crit. Pollutant Summary'!$A$3:$N$40</definedName>
    <definedName name="_xlnm.Print_Area" localSheetId="1">'B2 Emissions Calcs'!$A$1:$I$470</definedName>
    <definedName name="_xlnm.Print_Titles" localSheetId="1">'B2 Emissions Calcs'!$1:$8</definedName>
    <definedName name="ProID">#REF!</definedName>
    <definedName name="ProIDAnnual">#REF!</definedName>
    <definedName name="ProIDHour">#REF!</definedName>
    <definedName name="ProIDList">#REF!</definedName>
    <definedName name="ScreenRow">#REF!</definedName>
    <definedName name="ScreenTable">#REF!</definedName>
    <definedName name="SpeciationHeader">#REF!</definedName>
    <definedName name="SpeciationRow">#REF!</definedName>
    <definedName name="SpeciationTable">#REF!</definedName>
    <definedName name="StreamHeader">#REF!</definedName>
    <definedName name="StreamRow">#REF!</definedName>
    <definedName name="StreamTable">#REF!</definedName>
    <definedName name="SumIDAnnual">#REF!</definedName>
    <definedName name="SumIDHour">#REF!</definedName>
    <definedName name="SumProID">#REF!</definedName>
    <definedName name="SWAATS">'B2 Emissions Calcs'!$A$389:$I$396</definedName>
    <definedName name="Table_B1">'B1 Crit. Pollutant Summary'!$A$4:$G$39</definedName>
    <definedName name="Table_B2">#REF!</definedName>
    <definedName name="Table_B3">'B2 Emissions Calcs'!$A$4:$I$462</definedName>
    <definedName name="Table_B4">#REF!</definedName>
    <definedName name="Table_B5">#REF!</definedName>
    <definedName name="ToxicsCAS">#REF!</definedName>
    <definedName name="VGOFeedHtr">'B2 Emissions Calcs'!$A$16:$I$48</definedName>
    <definedName name="VGOFractFeedHtr">'B2 Emissions Calcs'!$A$57:$I$89</definedName>
    <definedName name="VOCHeader">#REF!</definedName>
    <definedName name="VOCRow">#REF!</definedName>
    <definedName name="VOCTable">#REF!</definedName>
  </definedNames>
  <calcPr fullCalcOnLoad="1"/>
</workbook>
</file>

<file path=xl/comments2.xml><?xml version="1.0" encoding="utf-8"?>
<comments xmlns="http://schemas.openxmlformats.org/spreadsheetml/2006/main">
  <authors>
    <author>LGertler</author>
  </authors>
  <commentList>
    <comment ref="B415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Tier 3 engines not available</t>
        </r>
      </text>
    </comment>
    <comment ref="B417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Tier 3 engines not available</t>
        </r>
      </text>
    </comment>
    <comment ref="B418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Tier 3 engines not available</t>
        </r>
      </text>
    </comment>
    <comment ref="B419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Tier 3 engines not available</t>
        </r>
      </text>
    </comment>
    <comment ref="C415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Changed from Tier 3 std (3.0 g/bhp-hr NOx+HC) to Tier 2 std (4.77 g/bhp-hr NOx+HC) 9/5/06 </t>
        </r>
      </text>
    </comment>
    <comment ref="B402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9/5/06: Changed from 750 hp to 420 hp 
9/20/2006: Changed from 420 hp to 510 hp
10/31/2006: Changed from 510 hp to 525 hp</t>
        </r>
      </text>
    </comment>
    <comment ref="C418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Changed from Tier 3 std (3.0 g/bhp-hr NOx+HC) to Tier 2 std (4.77 g/bhp-hr NOx+HC) 9/5/06 </t>
        </r>
      </text>
    </comment>
    <comment ref="B405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9/5/2006: Changed from spec sheet 37.5 gal/hr to AP-42 fuel consumption rate, based on hp</t>
        </r>
      </text>
    </comment>
    <comment ref="B401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9/13/2006: Changed from 4 to 2
10/31/2006: Changed from 2 to 3</t>
        </r>
      </text>
    </comment>
    <comment ref="B406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9/13/2006: Changed from 5000 gpm
10/31/2006: May be two engines @ 3000 gpm each, or three engines @ 2000 gpm each
</t>
        </r>
      </text>
    </comment>
    <comment ref="C254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Changed from 0.043 lb/MMBtu 10/10/2006: Heater is subject to Rule 4306 and will be required to meet 30 ppmv limit </t>
        </r>
      </text>
    </comment>
    <comment ref="D350" authorId="0">
      <text>
        <r>
          <rPr>
            <b/>
            <sz val="8"/>
            <rFont val="Tahoma"/>
            <family val="0"/>
          </rPr>
          <t>LGertler:</t>
        </r>
        <r>
          <rPr>
            <sz val="8"/>
            <rFont val="Tahoma"/>
            <family val="0"/>
          </rPr>
          <t xml:space="preserve">
Sulfur amounts added 10/10/2006</t>
        </r>
      </text>
    </comment>
    <comment ref="B344" authorId="0">
      <text>
        <r>
          <rPr>
            <b/>
            <sz val="8"/>
            <rFont val="Tahoma"/>
            <family val="0"/>
          </rPr>
          <t>LGertler 11-14-2006:</t>
        </r>
        <r>
          <rPr>
            <sz val="8"/>
            <rFont val="Tahoma"/>
            <family val="0"/>
          </rPr>
          <t xml:space="preserve">
Estimate, based on 50 lb sulfur from VGO-HDS shutdown, plus 100 ppmv S from other SU/SD streams to flare, plus 20% uncertainty.</t>
        </r>
      </text>
    </comment>
  </commentList>
</comments>
</file>

<file path=xl/sharedStrings.xml><?xml version="1.0" encoding="utf-8"?>
<sst xmlns="http://schemas.openxmlformats.org/spreadsheetml/2006/main" count="1587" uniqueCount="274">
  <si>
    <t>Component</t>
  </si>
  <si>
    <t>[#/hr]</t>
  </si>
  <si>
    <t>[ton/yr]</t>
  </si>
  <si>
    <t>VOC</t>
  </si>
  <si>
    <t>Hydrogen Plant Reformer</t>
  </si>
  <si>
    <t>Stack Exit Data</t>
  </si>
  <si>
    <t>Absorbed</t>
  </si>
  <si>
    <t>Fired</t>
  </si>
  <si>
    <t>Excess Air</t>
  </si>
  <si>
    <t>FCC Regen Flue Gas</t>
  </si>
  <si>
    <t>&lt;100 ppmv</t>
  </si>
  <si>
    <t>PM10</t>
  </si>
  <si>
    <t>HP Flare - ground flare</t>
  </si>
  <si>
    <t>VGO Feed Heater</t>
  </si>
  <si>
    <t>[#/day]</t>
  </si>
  <si>
    <t>[#/year]</t>
  </si>
  <si>
    <t>CO</t>
  </si>
  <si>
    <t>EF</t>
  </si>
  <si>
    <t>Source</t>
  </si>
  <si>
    <t>SJVUAPCD FYI-83</t>
  </si>
  <si>
    <t>Valves (V)</t>
  </si>
  <si>
    <t>Valves (HL)</t>
  </si>
  <si>
    <t>Valves (LL)</t>
  </si>
  <si>
    <t>Pumps (Single Seal, LL)</t>
  </si>
  <si>
    <t>Pumps (Double Seal, LL)</t>
  </si>
  <si>
    <t>Pumps (HL)</t>
  </si>
  <si>
    <t>Flanges</t>
  </si>
  <si>
    <t>Compressors</t>
  </si>
  <si>
    <t>PRV to Atm</t>
  </si>
  <si>
    <t>PRV to Flare</t>
  </si>
  <si>
    <t>Closed Vent System Valve</t>
  </si>
  <si>
    <t>Sample Connections</t>
  </si>
  <si>
    <t>Open Ended Lines (LL)</t>
  </si>
  <si>
    <t>Open Ended Lines (HL)</t>
  </si>
  <si>
    <t>Benzene</t>
  </si>
  <si>
    <t>Formaldehyde</t>
  </si>
  <si>
    <t>PAH (excluding Naphthalene)</t>
  </si>
  <si>
    <t>Naphthalene</t>
  </si>
  <si>
    <t>Acetaldehyde</t>
  </si>
  <si>
    <t>Acrolein</t>
  </si>
  <si>
    <t>Propylene</t>
  </si>
  <si>
    <t>Toluene</t>
  </si>
  <si>
    <t>Xylene(s)</t>
  </si>
  <si>
    <t>Ethyl Benzene</t>
  </si>
  <si>
    <t>VCAPCD AB2588</t>
  </si>
  <si>
    <t>AP-42 Chpt. 1.4</t>
  </si>
  <si>
    <t>% &lt;100 ppmv</t>
  </si>
  <si>
    <t>% &lt;500 ppmv</t>
  </si>
  <si>
    <t>% &lt;1,000 ppmv</t>
  </si>
  <si>
    <t>% &lt;2,000 ppmv</t>
  </si>
  <si>
    <t>% &lt;5,000 ppmv</t>
  </si>
  <si>
    <t>% &lt;10,000 ppmv</t>
  </si>
  <si>
    <t>Contingency Factor:</t>
  </si>
  <si>
    <t>&lt;500 ppmv</t>
  </si>
  <si>
    <t>&lt;1,000 ppmv</t>
  </si>
  <si>
    <t>&lt;2,000 ppmv</t>
  </si>
  <si>
    <t>&lt;5,000 ppmv</t>
  </si>
  <si>
    <t>&lt;10,000 ppmv</t>
  </si>
  <si>
    <t xml:space="preserve">Total: </t>
  </si>
  <si>
    <t>Based On:</t>
  </si>
  <si>
    <t>VL (L)</t>
  </si>
  <si>
    <t>VL (H)</t>
  </si>
  <si>
    <t>VL (G)</t>
  </si>
  <si>
    <t>PS (L)</t>
  </si>
  <si>
    <t>PS (H)</t>
  </si>
  <si>
    <t>FL (Total)</t>
  </si>
  <si>
    <t>CS</t>
  </si>
  <si>
    <t>PR (Total)</t>
  </si>
  <si>
    <t>OT (Total)</t>
  </si>
  <si>
    <t>Historical Average Leak Rate</t>
  </si>
  <si>
    <t>FCC LPG Merox Unit Component Count and Leak Category</t>
  </si>
  <si>
    <t>H2 Plant Component Count and Leak Category</t>
  </si>
  <si>
    <t>Alkylation Unit Component Count and Leak Category</t>
  </si>
  <si>
    <t>VGO HDS Component Count and Leak Category</t>
  </si>
  <si>
    <t>FCC Gas Contactor Component Count and Leak Category</t>
  </si>
  <si>
    <t>FCC Maint Column Component Count and Leak Category</t>
  </si>
  <si>
    <t>FCC Reactor Regenerator Component Count and Leak Category</t>
  </si>
  <si>
    <t>FCC Main Column</t>
  </si>
  <si>
    <t>VGO HDS</t>
  </si>
  <si>
    <t>&gt;10,000 ppmv</t>
  </si>
  <si>
    <t>% &gt;10,000 ppmv</t>
  </si>
  <si>
    <t>FCCU Air Heater (Startup)</t>
  </si>
  <si>
    <t>ppmv</t>
  </si>
  <si>
    <t>Units</t>
  </si>
  <si>
    <t>lb/MMscf</t>
  </si>
  <si>
    <t>Value</t>
  </si>
  <si>
    <t>lb/MMBtu</t>
  </si>
  <si>
    <t>Engineering</t>
  </si>
  <si>
    <t>COS</t>
  </si>
  <si>
    <t>n/a</t>
  </si>
  <si>
    <t>Cooling Tower (Other)</t>
  </si>
  <si>
    <t>Cooling Tower (HF Alky)</t>
  </si>
  <si>
    <t xml:space="preserve">HF Alky Isostripper Lower </t>
  </si>
  <si>
    <t>Unit</t>
  </si>
  <si>
    <t>Duty (MMBtu/hr LHV)</t>
  </si>
  <si>
    <t>Steam Boiler w/SCR</t>
  </si>
  <si>
    <t>Hydrogen Plant Reformer w/ Air Preheating and SCR</t>
  </si>
  <si>
    <t>FCC Regen Flue Gas w/SCR</t>
  </si>
  <si>
    <t>HF Alky Isostripper Lower Reboiler w/ SCR</t>
  </si>
  <si>
    <t>Alky LP Flare - elevated flare w/mol. seal, purge gas, air assist</t>
  </si>
  <si>
    <t>Permit Firing Rate (MMBtu/hr)</t>
  </si>
  <si>
    <t>LHV</t>
  </si>
  <si>
    <t>HHV</t>
  </si>
  <si>
    <t>Efficiency</t>
  </si>
  <si>
    <t>Dia. (ft)</t>
  </si>
  <si>
    <t>Ht above ground (ft)</t>
  </si>
  <si>
    <t>Temp. (degF)</t>
  </si>
  <si>
    <t>Velocity (fps)</t>
  </si>
  <si>
    <t>NOx</t>
  </si>
  <si>
    <t>SOx</t>
  </si>
  <si>
    <t>Emission Rates</t>
  </si>
  <si>
    <t>lb/MMBtu (HHV)</t>
  </si>
  <si>
    <t>Ammonia</t>
  </si>
  <si>
    <t>Mild Hydrocracker</t>
  </si>
  <si>
    <t>Amine Absorber</t>
  </si>
  <si>
    <t>Cyanide</t>
  </si>
  <si>
    <t>ppmwt</t>
  </si>
  <si>
    <t>Nickel</t>
  </si>
  <si>
    <t>Arsenic</t>
  </si>
  <si>
    <t>Copper</t>
  </si>
  <si>
    <t>Lead</t>
  </si>
  <si>
    <t>UOP estimate</t>
  </si>
  <si>
    <t>SWAATS Unit Stack</t>
  </si>
  <si>
    <t>See fuel gas sulfur content</t>
  </si>
  <si>
    <t>Vendor guarantee SCR slip</t>
  </si>
  <si>
    <t>MHC Feed Heater 14-H1</t>
  </si>
  <si>
    <t>MHC Feed Heater 14-H2</t>
  </si>
  <si>
    <t>Permit Limit</t>
  </si>
  <si>
    <t>ppm wt</t>
  </si>
  <si>
    <t>lb/gal</t>
  </si>
  <si>
    <t>lb/MMgal</t>
  </si>
  <si>
    <t>HGU</t>
  </si>
  <si>
    <t>Contingency Factor</t>
  </si>
  <si>
    <t>Tot. Component Count</t>
  </si>
  <si>
    <t>lb/yr</t>
  </si>
  <si>
    <t>Total</t>
  </si>
  <si>
    <t>FCC Gas Contactor</t>
  </si>
  <si>
    <t>Alkylation Unit</t>
  </si>
  <si>
    <t>FCC LPG Merox Unit</t>
  </si>
  <si>
    <t>n-Hexane</t>
  </si>
  <si>
    <t>Cyclohexane</t>
  </si>
  <si>
    <t>TMB-1,2,4</t>
  </si>
  <si>
    <t>FCC Reactor Regen.</t>
  </si>
  <si>
    <t>Sour Water Stripper</t>
  </si>
  <si>
    <t>Amine Unit</t>
  </si>
  <si>
    <t>HF Alky Isostripper Lower Reboiler</t>
  </si>
  <si>
    <t>Fugitive</t>
  </si>
  <si>
    <t>Point</t>
  </si>
  <si>
    <t>3-Phase Separators (2)</t>
  </si>
  <si>
    <t>Firing Rate (HHV)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</si>
  <si>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</t>
    </r>
  </si>
  <si>
    <r>
      <t>PM</t>
    </r>
    <r>
      <rPr>
        <vertAlign val="subscript"/>
        <sz val="10"/>
        <rFont val="Arial"/>
        <family val="2"/>
      </rPr>
      <t>10</t>
    </r>
  </si>
  <si>
    <t>ppmwt (on PM)</t>
  </si>
  <si>
    <t>Clean Fuels Project Emissions Calculations</t>
  </si>
  <si>
    <t>BACT</t>
  </si>
  <si>
    <t>Mass balance</t>
  </si>
  <si>
    <t>Engineering - TDS estimate</t>
  </si>
  <si>
    <t>wt. fraction</t>
  </si>
  <si>
    <t>Source Type</t>
  </si>
  <si>
    <t>VGO HDS Fractionator Feed Heater</t>
  </si>
  <si>
    <t>Heater BACT + regen startup</t>
  </si>
  <si>
    <t>lb/Mgal</t>
  </si>
  <si>
    <t>lb/hp-hr</t>
  </si>
  <si>
    <t>g/bhp-hr</t>
  </si>
  <si>
    <t>Hydrogen Chloride</t>
  </si>
  <si>
    <t>Cadmium</t>
  </si>
  <si>
    <t>Chromium</t>
  </si>
  <si>
    <t>Manganese</t>
  </si>
  <si>
    <t>Mercury</t>
  </si>
  <si>
    <t>Selenium</t>
  </si>
  <si>
    <t>Zinc</t>
  </si>
  <si>
    <t>Feed Rate</t>
  </si>
  <si>
    <t>Control</t>
  </si>
  <si>
    <t>Ultra low NOx burners</t>
  </si>
  <si>
    <t>Ground Flare</t>
  </si>
  <si>
    <t>Pilot and purge</t>
  </si>
  <si>
    <t>Number of engines</t>
  </si>
  <si>
    <t>H2 Capacity</t>
  </si>
  <si>
    <t>Flue gas rate (wet)</t>
  </si>
  <si>
    <t>Feed rate</t>
  </si>
  <si>
    <t>FCCU Air Heater (Startup) plus FCCU regen startup flue gas</t>
  </si>
  <si>
    <t>Circulation rate</t>
  </si>
  <si>
    <t>Drift rate</t>
  </si>
  <si>
    <t>Diesel heating value</t>
  </si>
  <si>
    <t>Barium</t>
  </si>
  <si>
    <t>Beryllium</t>
  </si>
  <si>
    <t>Cobalt</t>
  </si>
  <si>
    <t>Molybdenum</t>
  </si>
  <si>
    <t>Vanadium</t>
  </si>
  <si>
    <t>Max annual op. hours (each)</t>
  </si>
  <si>
    <t>Max daily op. hours (each)</t>
  </si>
  <si>
    <t>Pump capacity (each)</t>
  </si>
  <si>
    <t>SCR and ultra low NOx burners</t>
  </si>
  <si>
    <t>VGO-HDS Fractionator Feed Heater</t>
  </si>
  <si>
    <t>Area</t>
  </si>
  <si>
    <t>Hexavalent Chromium</t>
  </si>
  <si>
    <t>lb/day</t>
  </si>
  <si>
    <t>Diesel sulfur content</t>
  </si>
  <si>
    <t>Diesel density</t>
  </si>
  <si>
    <t>Fuel sulfur content</t>
  </si>
  <si>
    <t>BSFC</t>
  </si>
  <si>
    <t>Refinery gas higher heating value</t>
  </si>
  <si>
    <t>Reference higher heating value</t>
  </si>
  <si>
    <t>F-factor for natural gas/ref. fuel gas</t>
  </si>
  <si>
    <t>Total S content of ref. fuel gas</t>
  </si>
  <si>
    <t>See MHC Emissions.xls</t>
  </si>
  <si>
    <t>Comments</t>
  </si>
  <si>
    <t>Tank 80009</t>
  </si>
  <si>
    <t>Sales Terminal</t>
  </si>
  <si>
    <t>Loading Rack No. 7</t>
  </si>
  <si>
    <t>See Rack Emissions.xls</t>
  </si>
  <si>
    <t>See Fixed Roof Tank Emissions.xls</t>
  </si>
  <si>
    <t>SOx - pilot &amp; purge</t>
  </si>
  <si>
    <t>Mass bal. - pilot &amp; purge</t>
  </si>
  <si>
    <t>SOx - SU/SD</t>
  </si>
  <si>
    <t>Mass bal. - SU/SD flow</t>
  </si>
  <si>
    <t>Purge gas</t>
  </si>
  <si>
    <t>scfm</t>
  </si>
  <si>
    <t>Purge gas to be recovered by Flare Gas Recovery system</t>
  </si>
  <si>
    <t>Pilot gas</t>
  </si>
  <si>
    <t>scfh</t>
  </si>
  <si>
    <t>MMscfh</t>
  </si>
  <si>
    <t>MMBtu/hr</t>
  </si>
  <si>
    <t>Max hourly SU/SD flow</t>
  </si>
  <si>
    <t>Annual SU/SD flow</t>
  </si>
  <si>
    <t>MMscf/yr</t>
  </si>
  <si>
    <t>MMBtu/yr</t>
  </si>
  <si>
    <t>Duration: 6 hrs</t>
  </si>
  <si>
    <t>Tank 20M01</t>
  </si>
  <si>
    <t>Tank 20M02</t>
  </si>
  <si>
    <t>Tank 30M02</t>
  </si>
  <si>
    <t>80 kbbl process water tank</t>
  </si>
  <si>
    <t>CO (1-hr limit)</t>
  </si>
  <si>
    <t>CO (365-d limit)</t>
  </si>
  <si>
    <t>See above</t>
  </si>
  <si>
    <t>Light Naphtha profile</t>
  </si>
  <si>
    <t>AP-42 Chpt. 5.1, Tbl 5.1-2</t>
  </si>
  <si>
    <t>Flare Gas Recovery System</t>
  </si>
  <si>
    <t>Tier 2 NMHC+NOx Standard</t>
  </si>
  <si>
    <t>Tier 2 Standard</t>
  </si>
  <si>
    <t>Coke burn rate</t>
  </si>
  <si>
    <t>lb/1000 lb coke burned</t>
  </si>
  <si>
    <t>NOx (365-day limit)</t>
  </si>
  <si>
    <t>SOx (365-day limit)</t>
  </si>
  <si>
    <t>Diesel Fire Pumps</t>
  </si>
  <si>
    <t>AP-42, scaled to Tier 2 VOC</t>
  </si>
  <si>
    <t>Exhaust flow rate</t>
  </si>
  <si>
    <t>Fuel consumption rate (each)</t>
  </si>
  <si>
    <t>Horsepower (each)</t>
  </si>
  <si>
    <t>Horsepower (total)</t>
  </si>
  <si>
    <t>lb/hr</t>
  </si>
  <si>
    <t>See table above</t>
  </si>
  <si>
    <t>NA</t>
  </si>
  <si>
    <t>Max 1-hour SU/SD sulfur to flare</t>
  </si>
  <si>
    <t>Max 3-hour SU/SD sulfur to flare</t>
  </si>
  <si>
    <t>Max 24-hour SU/SD sulfur to flare</t>
  </si>
  <si>
    <t>lb/(3 hrs)</t>
  </si>
  <si>
    <t>Total ERCs Needed (tpy)</t>
  </si>
  <si>
    <t>SOx (DEL)</t>
  </si>
  <si>
    <t>NOx (DEL)</t>
  </si>
  <si>
    <t>Engineering Est.</t>
  </si>
  <si>
    <t>Annual SU/SD sulfur to flare</t>
  </si>
  <si>
    <t>2000-3000 gpm</t>
  </si>
  <si>
    <t>Diesel Fire Pumps (3)</t>
  </si>
  <si>
    <t>Annual uncontrolled SU hrs. (est.)</t>
  </si>
  <si>
    <t>1,3-Butadiene</t>
  </si>
  <si>
    <t>tpy</t>
  </si>
  <si>
    <t>Hide</t>
  </si>
  <si>
    <t>Total Check (Table B3)</t>
  </si>
  <si>
    <t>Criteria Pollutant Emissions</t>
  </si>
  <si>
    <t>Needed?</t>
  </si>
  <si>
    <t>ERCs</t>
  </si>
  <si>
    <t>AP-42 Chpt. 1.4 (95% of tot. Cr)</t>
  </si>
  <si>
    <t>AP-42 Chpt. 1.4 (5% of tot. Cr)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</si>
</sst>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_(* #,##0.0_);_(* \(#,##0.0\);_(* &quot;-&quot;??_);_(@_)"/>
    <numFmt numFmtId="168" formatCode="_(* #,##0.000_);_(* \(#,##0.000\);_(* &quot;-&quot;??_);_(@_)"/>
    <numFmt numFmtId="169" formatCode="0.000000"/>
    <numFmt numFmtId="170" formatCode="0.00000"/>
    <numFmt numFmtId="171" formatCode="_(* #,##0_);_(* \(#,##0\);_(* &quot;-&quot;??_);_(@_)"/>
    <numFmt numFmtId="172" formatCode="0.0000%"/>
    <numFmt numFmtId="173" formatCode="_(* #,##0.0000_);_(* \(#,##0.0000\);_(* &quot;-&quot;??_);_(@_)"/>
    <numFmt numFmtId="174" formatCode="#,##0\ &quot;lb/hr&quot;"/>
    <numFmt numFmtId="175" formatCode="#,##0.00\ &quot;lb-mol/hr&quot;"/>
    <numFmt numFmtId="176" formatCode="#,##0\ &quot;scf/yr&quot;"/>
    <numFmt numFmtId="177" formatCode="0.0E+00"/>
    <numFmt numFmtId="178" formatCode="0\ &quot;MMBtu/hr&quot;"/>
    <numFmt numFmtId="179" formatCode="#,##0\ &quot;BPD&quot;"/>
    <numFmt numFmtId="180" formatCode="#,##0\ &quot;gpm&quot;"/>
    <numFmt numFmtId="181" formatCode="#,##0\ &quot;psig&quot;"/>
    <numFmt numFmtId="182" formatCode="#,##0\ &quot;degF&quot;"/>
    <numFmt numFmtId="183" formatCode="#,##0\ &quot;MMscfd&quot;"/>
    <numFmt numFmtId="184" formatCode="#,##0\ &quot;BPSD&quot;"/>
    <numFmt numFmtId="185" formatCode="0.0\ &quot;MSCFH&quot;"/>
    <numFmt numFmtId="186" formatCode="0.0\ &quot;MMBtu/hr&quot;"/>
    <numFmt numFmtId="187" formatCode="#,##0\ &quot;SCFH&quot;"/>
    <numFmt numFmtId="188" formatCode="0.00\ &quot;MMBtu/hr&quot;"/>
    <numFmt numFmtId="189" formatCode="#,##0\ &quot;hp&quot;"/>
    <numFmt numFmtId="190" formatCode="#,##0\ &quot;Btu/gal&quot;"/>
    <numFmt numFmtId="191" formatCode="0\ &quot;ppmv&quot;"/>
    <numFmt numFmtId="192" formatCode="#,##0\ &quot;Btu/scf&quot;"/>
    <numFmt numFmtId="193" formatCode="#,##0.0\ &quot;lb/gal&quot;"/>
    <numFmt numFmtId="194" formatCode="#,##0.000\ &quot;lb/bhp-hr&quot;"/>
    <numFmt numFmtId="195" formatCode="#,##0.0\ &quot;gal/hr&quot;"/>
    <numFmt numFmtId="196" formatCode="0\ &quot;dscf/Btu&quot;"/>
    <numFmt numFmtId="197" formatCode="#,##0.0"/>
    <numFmt numFmtId="198" formatCode="#,##0.000"/>
    <numFmt numFmtId="199" formatCode="0.000\ &quot;lb/MMscf&quot;"/>
    <numFmt numFmtId="200" formatCode="_(* #,##0.0_);_(* \(#,##0.0\);_(* &quot;-&quot;?_);_(@_)"/>
    <numFmt numFmtId="201" formatCode="#,##0.00\ &quot;gal/hr&quot;"/>
    <numFmt numFmtId="202" formatCode="#,##0\ &quot;scfh&quot;"/>
    <numFmt numFmtId="203" formatCode="#,##0\ &quot;lbs&quot;"/>
    <numFmt numFmtId="204" formatCode="0.0\ &quot;MMscfh&quot;"/>
    <numFmt numFmtId="205" formatCode="0.0\ &quot;MMscf/yr&quot;"/>
    <numFmt numFmtId="206" formatCode="[$-409]dddd\,\ mmmm\ dd\,\ yyyy"/>
    <numFmt numFmtId="207" formatCode="#,##0\ &quot;scfm&quot;"/>
    <numFmt numFmtId="208" formatCode="_(* #,##0.000000_);_(* \(#,##0.000000\);_(* &quot;-&quot;??????_);_(@_)"/>
    <numFmt numFmtId="209" formatCode="#,##0.000_);\(#,##0.000\)"/>
    <numFmt numFmtId="210" formatCode="#,##0.0000_);\(#,##0.0000\)"/>
    <numFmt numFmtId="211" formatCode="0.0000000"/>
    <numFmt numFmtId="212" formatCode="0.00000000"/>
    <numFmt numFmtId="213" formatCode="0.000000000"/>
    <numFmt numFmtId="214" formatCode="0.000E+00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10" fontId="0" fillId="0" borderId="7" xfId="21" applyNumberFormat="1" applyBorder="1" applyAlignment="1">
      <alignment/>
    </xf>
    <xf numFmtId="10" fontId="0" fillId="0" borderId="1" xfId="21" applyNumberFormat="1" applyBorder="1" applyAlignment="1">
      <alignment/>
    </xf>
    <xf numFmtId="10" fontId="0" fillId="2" borderId="7" xfId="21" applyNumberFormat="1" applyFill="1" applyBorder="1" applyAlignment="1">
      <alignment/>
    </xf>
    <xf numFmtId="10" fontId="0" fillId="2" borderId="8" xfId="21" applyNumberFormat="1" applyFill="1" applyBorder="1" applyAlignment="1">
      <alignment/>
    </xf>
    <xf numFmtId="10" fontId="0" fillId="2" borderId="1" xfId="21" applyNumberFormat="1" applyFill="1" applyBorder="1" applyAlignment="1">
      <alignment/>
    </xf>
    <xf numFmtId="10" fontId="0" fillId="2" borderId="2" xfId="21" applyNumberForma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3" borderId="12" xfId="0" applyFont="1" applyFill="1" applyBorder="1" applyAlignment="1">
      <alignment horizontal="right"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0" borderId="5" xfId="0" applyBorder="1" applyAlignment="1">
      <alignment/>
    </xf>
    <xf numFmtId="2" fontId="0" fillId="0" borderId="15" xfId="0" applyNumberForma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0" fillId="0" borderId="3" xfId="0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0" fillId="0" borderId="3" xfId="0" applyBorder="1" applyAlignment="1">
      <alignment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12" xfId="0" applyFill="1" applyBorder="1" applyAlignment="1">
      <alignment horizontal="right"/>
    </xf>
    <xf numFmtId="10" fontId="0" fillId="0" borderId="19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164" fontId="0" fillId="0" borderId="4" xfId="0" applyNumberFormat="1" applyFill="1" applyBorder="1" applyAlignment="1" quotePrefix="1">
      <alignment horizontal="center" vertical="top"/>
    </xf>
    <xf numFmtId="167" fontId="0" fillId="0" borderId="4" xfId="15" applyNumberFormat="1" applyFill="1" applyBorder="1" applyAlignment="1">
      <alignment horizontal="center" vertical="top"/>
    </xf>
    <xf numFmtId="167" fontId="0" fillId="0" borderId="7" xfId="15" applyNumberFormat="1" applyFill="1" applyBorder="1" applyAlignment="1">
      <alignment horizontal="center" vertical="top"/>
    </xf>
    <xf numFmtId="167" fontId="0" fillId="0" borderId="24" xfId="15" applyNumberFormat="1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166" fontId="0" fillId="0" borderId="26" xfId="0" applyNumberFormat="1" applyFont="1" applyFill="1" applyBorder="1" applyAlignment="1">
      <alignment horizontal="center" vertical="top"/>
    </xf>
    <xf numFmtId="166" fontId="0" fillId="0" borderId="26" xfId="0" applyNumberFormat="1" applyFont="1" applyFill="1" applyBorder="1" applyAlignment="1">
      <alignment horizontal="centerContinuous" vertical="top"/>
    </xf>
    <xf numFmtId="166" fontId="0" fillId="0" borderId="27" xfId="0" applyNumberFormat="1" applyFont="1" applyFill="1" applyBorder="1" applyAlignment="1">
      <alignment horizontal="centerContinuous" vertical="top"/>
    </xf>
    <xf numFmtId="164" fontId="0" fillId="0" borderId="5" xfId="0" applyNumberFormat="1" applyFill="1" applyBorder="1" applyAlignment="1" quotePrefix="1">
      <alignment horizontal="center" vertical="top"/>
    </xf>
    <xf numFmtId="167" fontId="0" fillId="0" borderId="5" xfId="15" applyNumberFormat="1" applyFill="1" applyBorder="1" applyAlignment="1">
      <alignment horizontal="center" vertical="top"/>
    </xf>
    <xf numFmtId="167" fontId="0" fillId="0" borderId="15" xfId="15" applyNumberFormat="1" applyFill="1" applyBorder="1" applyAlignment="1">
      <alignment horizontal="center" vertical="top"/>
    </xf>
    <xf numFmtId="167" fontId="0" fillId="0" borderId="26" xfId="15" applyNumberFormat="1" applyFill="1" applyBorder="1" applyAlignment="1">
      <alignment horizontal="center" vertical="top"/>
    </xf>
    <xf numFmtId="164" fontId="0" fillId="0" borderId="5" xfId="0" applyNumberForma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166" fontId="0" fillId="0" borderId="27" xfId="0" applyNumberFormat="1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168" fontId="0" fillId="0" borderId="5" xfId="15" applyNumberFormat="1" applyFill="1" applyBorder="1" applyAlignment="1">
      <alignment horizontal="center" vertical="top"/>
    </xf>
    <xf numFmtId="166" fontId="0" fillId="0" borderId="26" xfId="0" applyNumberFormat="1" applyFill="1" applyBorder="1" applyAlignment="1">
      <alignment horizontal="center" vertical="top"/>
    </xf>
    <xf numFmtId="11" fontId="0" fillId="0" borderId="5" xfId="0" applyNumberFormat="1" applyFill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164" fontId="0" fillId="0" borderId="32" xfId="0" applyNumberFormat="1" applyFill="1" applyBorder="1" applyAlignment="1" quotePrefix="1">
      <alignment horizontal="center" vertical="top"/>
    </xf>
    <xf numFmtId="164" fontId="0" fillId="0" borderId="33" xfId="0" applyNumberFormat="1" applyFill="1" applyBorder="1" applyAlignment="1" quotePrefix="1">
      <alignment horizontal="center" vertical="top"/>
    </xf>
    <xf numFmtId="0" fontId="0" fillId="0" borderId="31" xfId="0" applyFill="1" applyBorder="1" applyAlignment="1">
      <alignment horizontal="center" vertical="top"/>
    </xf>
    <xf numFmtId="164" fontId="0" fillId="0" borderId="33" xfId="0" applyNumberFormat="1" applyFill="1" applyBorder="1" applyAlignment="1">
      <alignment horizontal="center" vertical="top"/>
    </xf>
    <xf numFmtId="11" fontId="0" fillId="0" borderId="33" xfId="0" applyNumberFormat="1" applyFill="1" applyBorder="1" applyAlignment="1">
      <alignment horizontal="center" vertical="top"/>
    </xf>
    <xf numFmtId="0" fontId="0" fillId="0" borderId="34" xfId="0" applyFill="1" applyBorder="1" applyAlignment="1">
      <alignment vertical="top"/>
    </xf>
    <xf numFmtId="0" fontId="0" fillId="0" borderId="35" xfId="0" applyFill="1" applyBorder="1" applyAlignment="1">
      <alignment horizontal="center" vertical="top"/>
    </xf>
    <xf numFmtId="164" fontId="0" fillId="0" borderId="32" xfId="0" applyNumberForma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6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32" xfId="0" applyFill="1" applyBorder="1" applyAlignment="1" quotePrefix="1">
      <alignment horizontal="center" vertical="top"/>
    </xf>
    <xf numFmtId="43" fontId="0" fillId="0" borderId="7" xfId="15" applyNumberFormat="1" applyFill="1" applyBorder="1" applyAlignment="1">
      <alignment horizontal="center" vertical="top"/>
    </xf>
    <xf numFmtId="43" fontId="0" fillId="0" borderId="15" xfId="15" applyNumberFormat="1" applyFill="1" applyBorder="1" applyAlignment="1">
      <alignment horizontal="center" vertical="top"/>
    </xf>
    <xf numFmtId="0" fontId="0" fillId="0" borderId="33" xfId="0" applyFill="1" applyBorder="1" applyAlignment="1" quotePrefix="1">
      <alignment horizontal="center" vertical="top"/>
    </xf>
    <xf numFmtId="0" fontId="0" fillId="0" borderId="33" xfId="0" applyFill="1" applyBorder="1" applyAlignment="1">
      <alignment horizontal="center" vertical="top"/>
    </xf>
    <xf numFmtId="11" fontId="0" fillId="0" borderId="36" xfId="0" applyNumberFormat="1" applyFill="1" applyBorder="1" applyAlignment="1">
      <alignment horizontal="center" vertical="top"/>
    </xf>
    <xf numFmtId="167" fontId="0" fillId="0" borderId="37" xfId="15" applyNumberFormat="1" applyFill="1" applyBorder="1" applyAlignment="1">
      <alignment horizontal="center" vertical="top"/>
    </xf>
    <xf numFmtId="167" fontId="0" fillId="0" borderId="28" xfId="15" applyNumberFormat="1" applyFill="1" applyBorder="1" applyAlignment="1">
      <alignment horizontal="center" vertical="top"/>
    </xf>
    <xf numFmtId="43" fontId="0" fillId="0" borderId="0" xfId="15" applyNumberFormat="1" applyFill="1" applyBorder="1" applyAlignment="1">
      <alignment horizontal="center" vertical="top"/>
    </xf>
    <xf numFmtId="167" fontId="0" fillId="0" borderId="0" xfId="15" applyNumberForma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 horizontal="center"/>
    </xf>
    <xf numFmtId="11" fontId="0" fillId="0" borderId="32" xfId="0" applyNumberForma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Continuous"/>
    </xf>
    <xf numFmtId="0" fontId="4" fillId="0" borderId="6" xfId="0" applyFont="1" applyFill="1" applyBorder="1" applyAlignment="1">
      <alignment horizontal="center"/>
    </xf>
    <xf numFmtId="0" fontId="4" fillId="0" borderId="39" xfId="0" applyFont="1" applyBorder="1" applyAlignment="1">
      <alignment horizontal="centerContinuous"/>
    </xf>
    <xf numFmtId="0" fontId="4" fillId="0" borderId="20" xfId="0" applyFont="1" applyFill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2" fontId="0" fillId="4" borderId="15" xfId="0" applyNumberFormat="1" applyFill="1" applyBorder="1" applyAlignment="1">
      <alignment/>
    </xf>
    <xf numFmtId="0" fontId="0" fillId="4" borderId="15" xfId="0" applyFill="1" applyBorder="1" applyAlignment="1">
      <alignment/>
    </xf>
    <xf numFmtId="2" fontId="0" fillId="0" borderId="42" xfId="0" applyNumberFormat="1" applyBorder="1" applyAlignment="1">
      <alignment/>
    </xf>
    <xf numFmtId="0" fontId="4" fillId="0" borderId="20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4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42" xfId="0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4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1" fontId="0" fillId="0" borderId="6" xfId="0" applyNumberFormat="1" applyFill="1" applyBorder="1" applyAlignment="1">
      <alignment horizontal="center" vertical="top"/>
    </xf>
    <xf numFmtId="0" fontId="4" fillId="0" borderId="41" xfId="0" applyFont="1" applyBorder="1" applyAlignment="1">
      <alignment horizontal="centerContinuous"/>
    </xf>
    <xf numFmtId="0" fontId="4" fillId="0" borderId="4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vertical="top"/>
    </xf>
    <xf numFmtId="166" fontId="0" fillId="0" borderId="28" xfId="0" applyNumberFormat="1" applyFont="1" applyFill="1" applyBorder="1" applyAlignment="1">
      <alignment horizontal="center" vertical="top"/>
    </xf>
    <xf numFmtId="1" fontId="0" fillId="0" borderId="28" xfId="0" applyNumberFormat="1" applyFill="1" applyBorder="1" applyAlignment="1">
      <alignment horizontal="center" vertical="top"/>
    </xf>
    <xf numFmtId="164" fontId="0" fillId="0" borderId="36" xfId="0" applyNumberForma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 vertical="top"/>
    </xf>
    <xf numFmtId="0" fontId="0" fillId="0" borderId="15" xfId="0" applyFill="1" applyBorder="1" applyAlignment="1">
      <alignment/>
    </xf>
    <xf numFmtId="43" fontId="0" fillId="0" borderId="8" xfId="15" applyNumberFormat="1" applyFill="1" applyBorder="1" applyAlignment="1">
      <alignment horizontal="center" vertical="top"/>
    </xf>
    <xf numFmtId="43" fontId="0" fillId="0" borderId="42" xfId="15" applyNumberFormat="1" applyFill="1" applyBorder="1" applyAlignment="1">
      <alignment horizontal="center" vertical="top"/>
    </xf>
    <xf numFmtId="43" fontId="0" fillId="0" borderId="46" xfId="15" applyNumberFormat="1" applyFill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 shrinkToFit="1"/>
    </xf>
    <xf numFmtId="0" fontId="0" fillId="0" borderId="51" xfId="0" applyFill="1" applyBorder="1" applyAlignment="1">
      <alignment vertical="top"/>
    </xf>
    <xf numFmtId="2" fontId="0" fillId="0" borderId="3" xfId="0" applyNumberFormat="1" applyBorder="1" applyAlignment="1">
      <alignment vertical="top"/>
    </xf>
    <xf numFmtId="2" fontId="0" fillId="0" borderId="2" xfId="0" applyNumberFormat="1" applyBorder="1" applyAlignment="1">
      <alignment vertical="top"/>
    </xf>
    <xf numFmtId="9" fontId="0" fillId="0" borderId="3" xfId="0" applyNumberFormat="1" applyBorder="1" applyAlignment="1">
      <alignment vertical="top"/>
    </xf>
    <xf numFmtId="9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2" xfId="0" applyFill="1" applyBorder="1" applyAlignment="1">
      <alignment vertical="top"/>
    </xf>
    <xf numFmtId="2" fontId="0" fillId="0" borderId="5" xfId="0" applyNumberFormat="1" applyBorder="1" applyAlignment="1">
      <alignment vertical="top"/>
    </xf>
    <xf numFmtId="2" fontId="0" fillId="0" borderId="42" xfId="0" applyNumberFormat="1" applyBorder="1" applyAlignment="1">
      <alignment vertical="top"/>
    </xf>
    <xf numFmtId="9" fontId="0" fillId="0" borderId="5" xfId="0" applyNumberFormat="1" applyBorder="1" applyAlignment="1">
      <alignment vertical="top"/>
    </xf>
    <xf numFmtId="9" fontId="0" fillId="0" borderId="42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42" xfId="0" applyBorder="1" applyAlignment="1">
      <alignment vertical="top"/>
    </xf>
    <xf numFmtId="2" fontId="0" fillId="0" borderId="5" xfId="0" applyNumberFormat="1" applyBorder="1" applyAlignment="1">
      <alignment horizontal="center" vertical="top"/>
    </xf>
    <xf numFmtId="2" fontId="0" fillId="0" borderId="42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1" fontId="0" fillId="0" borderId="42" xfId="0" applyNumberFormat="1" applyBorder="1" applyAlignment="1">
      <alignment vertical="top"/>
    </xf>
    <xf numFmtId="165" fontId="0" fillId="0" borderId="15" xfId="0" applyNumberFormat="1" applyBorder="1" applyAlignment="1">
      <alignment vertical="top"/>
    </xf>
    <xf numFmtId="0" fontId="0" fillId="0" borderId="53" xfId="0" applyFill="1" applyBorder="1" applyAlignment="1">
      <alignment vertical="top" wrapText="1"/>
    </xf>
    <xf numFmtId="2" fontId="0" fillId="0" borderId="6" xfId="0" applyNumberFormat="1" applyBorder="1" applyAlignment="1">
      <alignment vertical="top"/>
    </xf>
    <xf numFmtId="2" fontId="0" fillId="0" borderId="46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11" fontId="0" fillId="0" borderId="56" xfId="0" applyNumberFormat="1" applyFill="1" applyBorder="1" applyAlignment="1" quotePrefix="1">
      <alignment horizontal="center"/>
    </xf>
    <xf numFmtId="0" fontId="0" fillId="0" borderId="5" xfId="0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1" fontId="0" fillId="0" borderId="33" xfId="0" applyNumberFormat="1" applyFill="1" applyBorder="1" applyAlignment="1" quotePrefix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1" fontId="0" fillId="0" borderId="36" xfId="0" applyNumberFormat="1" applyFill="1" applyBorder="1" applyAlignment="1" quotePrefix="1">
      <alignment horizontal="center"/>
    </xf>
    <xf numFmtId="0" fontId="0" fillId="0" borderId="3" xfId="0" applyFill="1" applyBorder="1" applyAlignment="1">
      <alignment horizontal="left" vertical="top"/>
    </xf>
    <xf numFmtId="166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Continuous"/>
    </xf>
    <xf numFmtId="166" fontId="0" fillId="0" borderId="27" xfId="0" applyNumberFormat="1" applyFont="1" applyFill="1" applyBorder="1" applyAlignment="1">
      <alignment horizontal="centerContinuous"/>
    </xf>
    <xf numFmtId="0" fontId="0" fillId="0" borderId="40" xfId="0" applyFill="1" applyBorder="1" applyAlignment="1">
      <alignment horizontal="left"/>
    </xf>
    <xf numFmtId="43" fontId="0" fillId="0" borderId="4" xfId="15" applyNumberFormat="1" applyFill="1" applyBorder="1" applyAlignment="1">
      <alignment horizontal="center"/>
    </xf>
    <xf numFmtId="167" fontId="0" fillId="0" borderId="7" xfId="15" applyNumberFormat="1" applyFill="1" applyBorder="1" applyAlignment="1">
      <alignment horizontal="center"/>
    </xf>
    <xf numFmtId="43" fontId="0" fillId="0" borderId="8" xfId="15" applyNumberFormat="1" applyFill="1" applyBorder="1" applyAlignment="1">
      <alignment horizontal="center"/>
    </xf>
    <xf numFmtId="43" fontId="0" fillId="0" borderId="5" xfId="15" applyNumberFormat="1" applyFill="1" applyBorder="1" applyAlignment="1">
      <alignment horizontal="center"/>
    </xf>
    <xf numFmtId="167" fontId="0" fillId="0" borderId="15" xfId="15" applyNumberFormat="1" applyFill="1" applyBorder="1" applyAlignment="1">
      <alignment horizontal="center"/>
    </xf>
    <xf numFmtId="43" fontId="0" fillId="0" borderId="42" xfId="15" applyNumberFormat="1" applyFill="1" applyBorder="1" applyAlignment="1">
      <alignment horizontal="center"/>
    </xf>
    <xf numFmtId="167" fontId="0" fillId="0" borderId="9" xfId="15" applyNumberFormat="1" applyFill="1" applyBorder="1" applyAlignment="1">
      <alignment horizontal="center"/>
    </xf>
    <xf numFmtId="43" fontId="0" fillId="0" borderId="10" xfId="15" applyNumberFormat="1" applyFill="1" applyBorder="1" applyAlignment="1">
      <alignment horizontal="center"/>
    </xf>
    <xf numFmtId="0" fontId="0" fillId="0" borderId="57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2" fontId="0" fillId="0" borderId="0" xfId="0" applyNumberFormat="1" applyAlignment="1">
      <alignment/>
    </xf>
    <xf numFmtId="0" fontId="0" fillId="0" borderId="26" xfId="0" applyFill="1" applyBorder="1" applyAlignment="1">
      <alignment horizontal="center" vertical="top" wrapText="1"/>
    </xf>
    <xf numFmtId="43" fontId="0" fillId="0" borderId="15" xfId="15" applyNumberFormat="1" applyFont="1" applyFill="1" applyBorder="1" applyAlignment="1">
      <alignment horizontal="center" vertical="top"/>
    </xf>
    <xf numFmtId="167" fontId="0" fillId="0" borderId="15" xfId="15" applyNumberFormat="1" applyFont="1" applyFill="1" applyBorder="1" applyAlignment="1">
      <alignment horizontal="center" vertical="top"/>
    </xf>
    <xf numFmtId="168" fontId="0" fillId="0" borderId="26" xfId="15" applyNumberFormat="1" applyFill="1" applyBorder="1" applyAlignment="1">
      <alignment horizontal="center" vertical="top"/>
    </xf>
    <xf numFmtId="2" fontId="0" fillId="0" borderId="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 horizontal="center" vertical="top"/>
    </xf>
    <xf numFmtId="2" fontId="0" fillId="0" borderId="3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1" fontId="0" fillId="0" borderId="0" xfId="0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2" fontId="0" fillId="0" borderId="15" xfId="0" applyNumberFormat="1" applyFill="1" applyBorder="1" applyAlignment="1">
      <alignment horizontal="center" vertical="top"/>
    </xf>
    <xf numFmtId="11" fontId="0" fillId="0" borderId="15" xfId="0" applyNumberFormat="1" applyFill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2" fontId="0" fillId="0" borderId="7" xfId="0" applyNumberFormat="1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11" fontId="0" fillId="0" borderId="37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43" fontId="0" fillId="0" borderId="24" xfId="15" applyNumberFormat="1" applyFill="1" applyBorder="1" applyAlignment="1">
      <alignment horizontal="center" vertical="top"/>
    </xf>
    <xf numFmtId="43" fontId="0" fillId="0" borderId="26" xfId="15" applyNumberFormat="1" applyFill="1" applyBorder="1" applyAlignment="1">
      <alignment horizontal="center" vertical="top"/>
    </xf>
    <xf numFmtId="11" fontId="0" fillId="0" borderId="32" xfId="0" applyNumberFormat="1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2" fontId="0" fillId="0" borderId="59" xfId="0" applyNumberFormat="1" applyBorder="1" applyAlignment="1">
      <alignment/>
    </xf>
    <xf numFmtId="2" fontId="0" fillId="0" borderId="60" xfId="0" applyNumberFormat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59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0" fillId="0" borderId="0" xfId="0" applyNumberForma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173" fontId="0" fillId="0" borderId="0" xfId="15" applyNumberFormat="1" applyFill="1" applyBorder="1" applyAlignment="1">
      <alignment horizontal="center" vertical="top"/>
    </xf>
    <xf numFmtId="11" fontId="0" fillId="0" borderId="26" xfId="15" applyNumberFormat="1" applyFill="1" applyBorder="1" applyAlignment="1">
      <alignment horizontal="center" vertical="top"/>
    </xf>
    <xf numFmtId="11" fontId="0" fillId="0" borderId="15" xfId="15" applyNumberFormat="1" applyFill="1" applyBorder="1" applyAlignment="1">
      <alignment horizontal="center" vertical="top"/>
    </xf>
    <xf numFmtId="11" fontId="0" fillId="0" borderId="42" xfId="15" applyNumberFormat="1" applyFill="1" applyBorder="1" applyAlignment="1">
      <alignment horizontal="center" vertical="top"/>
    </xf>
    <xf numFmtId="11" fontId="0" fillId="0" borderId="28" xfId="15" applyNumberFormat="1" applyFill="1" applyBorder="1" applyAlignment="1">
      <alignment horizontal="center" vertical="top"/>
    </xf>
    <xf numFmtId="11" fontId="0" fillId="0" borderId="37" xfId="15" applyNumberFormat="1" applyFill="1" applyBorder="1" applyAlignment="1">
      <alignment horizontal="center" vertical="top"/>
    </xf>
    <xf numFmtId="11" fontId="0" fillId="0" borderId="46" xfId="15" applyNumberFormat="1" applyFill="1" applyBorder="1" applyAlignment="1">
      <alignment horizontal="center" vertical="top"/>
    </xf>
    <xf numFmtId="177" fontId="0" fillId="0" borderId="26" xfId="0" applyNumberFormat="1" applyFill="1" applyBorder="1" applyAlignment="1">
      <alignment horizontal="center" vertical="top"/>
    </xf>
    <xf numFmtId="177" fontId="0" fillId="0" borderId="28" xfId="0" applyNumberFormat="1" applyFill="1" applyBorder="1" applyAlignment="1">
      <alignment horizontal="center" vertical="top"/>
    </xf>
    <xf numFmtId="11" fontId="0" fillId="0" borderId="5" xfId="15" applyNumberFormat="1" applyFill="1" applyBorder="1" applyAlignment="1">
      <alignment horizontal="center" vertical="top"/>
    </xf>
    <xf numFmtId="11" fontId="0" fillId="0" borderId="6" xfId="15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180" fontId="0" fillId="0" borderId="15" xfId="15" applyNumberFormat="1" applyFill="1" applyBorder="1" applyAlignment="1">
      <alignment horizontal="center"/>
    </xf>
    <xf numFmtId="172" fontId="0" fillId="0" borderId="15" xfId="21" applyNumberFormat="1" applyFill="1" applyBorder="1" applyAlignment="1">
      <alignment horizontal="center"/>
    </xf>
    <xf numFmtId="178" fontId="0" fillId="0" borderId="15" xfId="0" applyNumberFormat="1" applyFill="1" applyBorder="1" applyAlignment="1">
      <alignment horizontal="center" vertical="top"/>
    </xf>
    <xf numFmtId="179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3" fontId="0" fillId="0" borderId="15" xfId="0" applyNumberFormat="1" applyFill="1" applyBorder="1" applyAlignment="1">
      <alignment horizontal="center" vertical="top"/>
    </xf>
    <xf numFmtId="175" fontId="0" fillId="0" borderId="15" xfId="0" applyNumberFormat="1" applyFill="1" applyBorder="1" applyAlignment="1">
      <alignment horizontal="center" vertical="top"/>
    </xf>
    <xf numFmtId="174" fontId="0" fillId="0" borderId="15" xfId="15" applyNumberFormat="1" applyFill="1" applyBorder="1" applyAlignment="1">
      <alignment horizontal="center" vertical="top"/>
    </xf>
    <xf numFmtId="184" fontId="0" fillId="0" borderId="15" xfId="15" applyNumberFormat="1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/>
    </xf>
    <xf numFmtId="185" fontId="0" fillId="0" borderId="15" xfId="0" applyNumberFormat="1" applyFill="1" applyBorder="1" applyAlignment="1">
      <alignment horizontal="center" vertical="top"/>
    </xf>
    <xf numFmtId="189" fontId="0" fillId="0" borderId="15" xfId="0" applyNumberFormat="1" applyFill="1" applyBorder="1" applyAlignment="1">
      <alignment horizontal="center" vertical="top"/>
    </xf>
    <xf numFmtId="190" fontId="0" fillId="0" borderId="15" xfId="0" applyNumberFormat="1" applyFill="1" applyBorder="1" applyAlignment="1">
      <alignment horizontal="center" vertical="top"/>
    </xf>
    <xf numFmtId="11" fontId="0" fillId="0" borderId="3" xfId="15" applyNumberFormat="1" applyFill="1" applyBorder="1" applyAlignment="1">
      <alignment horizontal="center"/>
    </xf>
    <xf numFmtId="11" fontId="0" fillId="0" borderId="1" xfId="15" applyNumberFormat="1" applyFill="1" applyBorder="1" applyAlignment="1">
      <alignment horizontal="center"/>
    </xf>
    <xf numFmtId="11" fontId="0" fillId="0" borderId="2" xfId="15" applyNumberFormat="1" applyFill="1" applyBorder="1" applyAlignment="1">
      <alignment horizontal="center"/>
    </xf>
    <xf numFmtId="11" fontId="0" fillId="0" borderId="5" xfId="15" applyNumberFormat="1" applyFill="1" applyBorder="1" applyAlignment="1">
      <alignment horizontal="center"/>
    </xf>
    <xf numFmtId="11" fontId="0" fillId="0" borderId="15" xfId="15" applyNumberFormat="1" applyFill="1" applyBorder="1" applyAlignment="1">
      <alignment horizontal="center"/>
    </xf>
    <xf numFmtId="11" fontId="0" fillId="0" borderId="42" xfId="15" applyNumberFormat="1" applyFill="1" applyBorder="1" applyAlignment="1">
      <alignment horizontal="center"/>
    </xf>
    <xf numFmtId="11" fontId="0" fillId="0" borderId="6" xfId="15" applyNumberFormat="1" applyFill="1" applyBorder="1" applyAlignment="1">
      <alignment horizontal="center"/>
    </xf>
    <xf numFmtId="11" fontId="0" fillId="0" borderId="37" xfId="15" applyNumberFormat="1" applyFill="1" applyBorder="1" applyAlignment="1">
      <alignment horizontal="center"/>
    </xf>
    <xf numFmtId="11" fontId="0" fillId="0" borderId="46" xfId="15" applyNumberFormat="1" applyFill="1" applyBorder="1" applyAlignment="1">
      <alignment horizontal="center"/>
    </xf>
    <xf numFmtId="191" fontId="0" fillId="0" borderId="46" xfId="0" applyNumberFormat="1" applyFill="1" applyBorder="1" applyAlignment="1">
      <alignment horizontal="center"/>
    </xf>
    <xf numFmtId="192" fontId="0" fillId="0" borderId="8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37" xfId="0" applyFill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34" xfId="0" applyFill="1" applyBorder="1" applyAlignment="1">
      <alignment/>
    </xf>
    <xf numFmtId="172" fontId="0" fillId="0" borderId="15" xfId="0" applyNumberFormat="1" applyFill="1" applyBorder="1" applyAlignment="1">
      <alignment horizontal="center" vertical="top"/>
    </xf>
    <xf numFmtId="193" fontId="0" fillId="0" borderId="15" xfId="0" applyNumberFormat="1" applyFill="1" applyBorder="1" applyAlignment="1">
      <alignment horizontal="center" vertical="top"/>
    </xf>
    <xf numFmtId="170" fontId="0" fillId="0" borderId="15" xfId="0" applyNumberFormat="1" applyFill="1" applyBorder="1" applyAlignment="1">
      <alignment horizontal="center" vertical="top"/>
    </xf>
    <xf numFmtId="194" fontId="0" fillId="0" borderId="15" xfId="0" applyNumberFormat="1" applyFill="1" applyBorder="1" applyAlignment="1">
      <alignment horizontal="center" vertical="top"/>
    </xf>
    <xf numFmtId="196" fontId="0" fillId="0" borderId="42" xfId="0" applyNumberFormat="1" applyFill="1" applyBorder="1" applyAlignment="1">
      <alignment horizontal="center"/>
    </xf>
    <xf numFmtId="192" fontId="0" fillId="0" borderId="2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2" fontId="0" fillId="0" borderId="62" xfId="0" applyNumberFormat="1" applyBorder="1" applyAlignment="1">
      <alignment/>
    </xf>
    <xf numFmtId="2" fontId="0" fillId="0" borderId="63" xfId="0" applyNumberFormat="1" applyFill="1" applyBorder="1" applyAlignment="1">
      <alignment/>
    </xf>
    <xf numFmtId="2" fontId="0" fillId="0" borderId="64" xfId="0" applyNumberFormat="1" applyBorder="1" applyAlignment="1">
      <alignment/>
    </xf>
    <xf numFmtId="2" fontId="0" fillId="0" borderId="65" xfId="0" applyNumberFormat="1" applyBorder="1" applyAlignment="1">
      <alignment/>
    </xf>
    <xf numFmtId="0" fontId="0" fillId="4" borderId="62" xfId="0" applyFill="1" applyBorder="1" applyAlignment="1">
      <alignment/>
    </xf>
    <xf numFmtId="0" fontId="0" fillId="4" borderId="64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4" borderId="34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66" xfId="0" applyFill="1" applyBorder="1" applyAlignment="1">
      <alignment/>
    </xf>
    <xf numFmtId="0" fontId="0" fillId="0" borderId="7" xfId="0" applyNumberFormat="1" applyFill="1" applyBorder="1" applyAlignment="1">
      <alignment horizontal="center" vertical="top"/>
    </xf>
    <xf numFmtId="166" fontId="0" fillId="0" borderId="8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166" fontId="0" fillId="0" borderId="2" xfId="0" applyNumberForma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166" fontId="0" fillId="0" borderId="42" xfId="0" applyNumberFormat="1" applyFill="1" applyBorder="1" applyAlignment="1">
      <alignment horizontal="center" vertical="top"/>
    </xf>
    <xf numFmtId="198" fontId="0" fillId="0" borderId="15" xfId="0" applyNumberFormat="1" applyFill="1" applyBorder="1" applyAlignment="1">
      <alignment horizontal="center" vertical="top"/>
    </xf>
    <xf numFmtId="197" fontId="0" fillId="0" borderId="15" xfId="0" applyNumberFormat="1" applyFill="1" applyBorder="1" applyAlignment="1">
      <alignment horizontal="center" vertical="top"/>
    </xf>
    <xf numFmtId="198" fontId="0" fillId="0" borderId="1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197" fontId="0" fillId="0" borderId="37" xfId="0" applyNumberFormat="1" applyFill="1" applyBorder="1" applyAlignment="1">
      <alignment horizontal="center" vertical="top"/>
    </xf>
    <xf numFmtId="166" fontId="0" fillId="0" borderId="46" xfId="0" applyNumberFormat="1" applyFill="1" applyBorder="1" applyAlignment="1">
      <alignment horizontal="center" vertical="top"/>
    </xf>
    <xf numFmtId="199" fontId="0" fillId="0" borderId="33" xfId="0" applyNumberFormat="1" applyFill="1" applyBorder="1" applyAlignment="1" quotePrefix="1">
      <alignment horizontal="center" vertical="top"/>
    </xf>
    <xf numFmtId="1" fontId="0" fillId="4" borderId="26" xfId="0" applyNumberFormat="1" applyFont="1" applyFill="1" applyBorder="1" applyAlignment="1">
      <alignment horizontal="centerContinuous" vertical="top"/>
    </xf>
    <xf numFmtId="166" fontId="0" fillId="4" borderId="27" xfId="0" applyNumberFormat="1" applyFont="1" applyFill="1" applyBorder="1" applyAlignment="1">
      <alignment horizontal="centerContinuous" vertical="top"/>
    </xf>
    <xf numFmtId="164" fontId="0" fillId="4" borderId="33" xfId="0" applyNumberFormat="1" applyFill="1" applyBorder="1" applyAlignment="1" quotePrefix="1">
      <alignment horizontal="center" vertical="top"/>
    </xf>
    <xf numFmtId="2" fontId="0" fillId="0" borderId="49" xfId="0" applyNumberForma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61" xfId="0" applyNumberFormat="1" applyFont="1" applyBorder="1" applyAlignment="1">
      <alignment/>
    </xf>
    <xf numFmtId="0" fontId="0" fillId="0" borderId="26" xfId="0" applyFont="1" applyFill="1" applyBorder="1" applyAlignment="1">
      <alignment horizontal="centerContinuous" vertical="top"/>
    </xf>
    <xf numFmtId="0" fontId="0" fillId="0" borderId="31" xfId="0" applyFont="1" applyFill="1" applyBorder="1" applyAlignment="1">
      <alignment horizontal="centerContinuous" vertical="top"/>
    </xf>
    <xf numFmtId="0" fontId="0" fillId="0" borderId="31" xfId="0" applyFont="1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/>
    </xf>
    <xf numFmtId="0" fontId="0" fillId="0" borderId="67" xfId="0" applyFont="1" applyFill="1" applyBorder="1" applyAlignment="1">
      <alignment horizontal="center" vertical="top"/>
    </xf>
    <xf numFmtId="167" fontId="0" fillId="0" borderId="3" xfId="15" applyNumberFormat="1" applyFill="1" applyBorder="1" applyAlignment="1">
      <alignment horizontal="center" vertical="top"/>
    </xf>
    <xf numFmtId="167" fontId="0" fillId="0" borderId="1" xfId="15" applyNumberFormat="1" applyFill="1" applyBorder="1" applyAlignment="1">
      <alignment horizontal="center" vertical="top"/>
    </xf>
    <xf numFmtId="43" fontId="0" fillId="0" borderId="2" xfId="15" applyNumberFormat="1" applyFill="1" applyBorder="1" applyAlignment="1">
      <alignment horizontal="center" vertical="top"/>
    </xf>
    <xf numFmtId="0" fontId="0" fillId="0" borderId="54" xfId="0" applyFill="1" applyBorder="1" applyAlignment="1">
      <alignment horizontal="centerContinuous" vertical="top"/>
    </xf>
    <xf numFmtId="0" fontId="0" fillId="0" borderId="67" xfId="0" applyFont="1" applyFill="1" applyBorder="1" applyAlignment="1">
      <alignment horizontal="centerContinuous" vertical="top"/>
    </xf>
    <xf numFmtId="195" fontId="0" fillId="0" borderId="15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 vertical="top"/>
    </xf>
    <xf numFmtId="11" fontId="0" fillId="0" borderId="0" xfId="15" applyNumberFormat="1" applyFill="1" applyBorder="1" applyAlignment="1">
      <alignment horizontal="center" vertical="top"/>
    </xf>
    <xf numFmtId="168" fontId="0" fillId="0" borderId="0" xfId="0" applyNumberFormat="1" applyAlignment="1">
      <alignment/>
    </xf>
    <xf numFmtId="11" fontId="0" fillId="0" borderId="0" xfId="0" applyNumberFormat="1" applyFill="1" applyBorder="1" applyAlignment="1" quotePrefix="1">
      <alignment horizontal="center" vertical="top"/>
    </xf>
    <xf numFmtId="197" fontId="0" fillId="0" borderId="0" xfId="0" applyNumberFormat="1" applyFill="1" applyBorder="1" applyAlignment="1">
      <alignment horizontal="center" vertical="top"/>
    </xf>
    <xf numFmtId="199" fontId="0" fillId="0" borderId="33" xfId="0" applyNumberForma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wrapText="1"/>
    </xf>
    <xf numFmtId="0" fontId="0" fillId="0" borderId="67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58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30" xfId="0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8" xfId="0" applyFont="1" applyBorder="1" applyAlignment="1">
      <alignment/>
    </xf>
    <xf numFmtId="180" fontId="0" fillId="0" borderId="15" xfId="15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4" borderId="3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65" xfId="0" applyFill="1" applyBorder="1" applyAlignment="1">
      <alignment/>
    </xf>
    <xf numFmtId="2" fontId="0" fillId="0" borderId="38" xfId="0" applyNumberFormat="1" applyBorder="1" applyAlignment="1">
      <alignment/>
    </xf>
    <xf numFmtId="0" fontId="0" fillId="4" borderId="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68" xfId="0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41" xfId="0" applyFont="1" applyBorder="1" applyAlignment="1">
      <alignment horizontal="center"/>
    </xf>
    <xf numFmtId="197" fontId="0" fillId="0" borderId="7" xfId="0" applyNumberFormat="1" applyFill="1" applyBorder="1" applyAlignment="1">
      <alignment horizontal="center" vertical="top"/>
    </xf>
    <xf numFmtId="168" fontId="0" fillId="0" borderId="7" xfId="15" applyNumberFormat="1" applyFill="1" applyBorder="1" applyAlignment="1">
      <alignment horizontal="center" vertical="top"/>
    </xf>
    <xf numFmtId="168" fontId="0" fillId="0" borderId="15" xfId="15" applyNumberFormat="1" applyFill="1" applyBorder="1" applyAlignment="1">
      <alignment horizontal="center" vertical="top"/>
    </xf>
    <xf numFmtId="168" fontId="0" fillId="0" borderId="15" xfId="15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gserver1\shared\Flying%20J%20-%20Bakersfield\Clean%20Fuels%20Project\SJVUAPCD%20Permit%20Applications\12%20-%20Tanks\CFP%20Tank%20Emis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nk List"/>
      <sheetName val="Comp Counts"/>
      <sheetName val="Fugitive Component Ref Tables"/>
      <sheetName val="Fugitive VOC"/>
      <sheetName val="Fugitive Speciation"/>
      <sheetName val="Summary"/>
      <sheetName val="ProID List"/>
      <sheetName val="AREA_PRO_STK"/>
      <sheetName val="AREA_PRO_STK (HARP)"/>
      <sheetName val="CAS No."/>
      <sheetName val="CAS No"/>
      <sheetName val="CFP Tank Emiss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3"/>
  <sheetViews>
    <sheetView showGridLines="0" zoomScaleSheetLayoutView="85" workbookViewId="0" topLeftCell="A1">
      <pane xSplit="2" ySplit="4" topLeftCell="C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5" sqref="C5"/>
    </sheetView>
  </sheetViews>
  <sheetFormatPr defaultColWidth="9.140625" defaultRowHeight="12.75"/>
  <cols>
    <col min="1" max="1" width="31.8515625" style="0" customWidth="1"/>
    <col min="2" max="2" width="13.8515625" style="0" bestFit="1" customWidth="1"/>
    <col min="3" max="3" width="9.421875" style="0" customWidth="1"/>
    <col min="4" max="4" width="9.57421875" style="0" customWidth="1"/>
    <col min="5" max="5" width="9.7109375" style="0" customWidth="1"/>
    <col min="6" max="7" width="9.421875" style="0" customWidth="1"/>
    <col min="8" max="8" width="10.421875" style="0" bestFit="1" customWidth="1"/>
    <col min="9" max="9" width="10.8515625" style="0" bestFit="1" customWidth="1"/>
    <col min="10" max="10" width="10.57421875" style="0" bestFit="1" customWidth="1"/>
    <col min="11" max="11" width="9.57421875" style="0" bestFit="1" customWidth="1"/>
    <col min="12" max="12" width="9.7109375" style="0" bestFit="1" customWidth="1"/>
    <col min="13" max="13" width="31.28125" style="0" customWidth="1"/>
  </cols>
  <sheetData>
    <row r="1" spans="1:12" ht="18">
      <c r="A1" s="391" t="s">
        <v>269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ht="13.5" thickBot="1"/>
    <row r="3" spans="3:14" ht="13.5" thickBot="1">
      <c r="C3" s="116" t="s">
        <v>266</v>
      </c>
      <c r="D3" s="220"/>
      <c r="E3" s="220"/>
      <c r="F3" s="220"/>
      <c r="G3" s="221"/>
      <c r="H3" s="116" t="s">
        <v>196</v>
      </c>
      <c r="I3" s="220"/>
      <c r="J3" s="220"/>
      <c r="K3" s="220"/>
      <c r="L3" s="220"/>
      <c r="M3" s="300"/>
      <c r="N3" s="392" t="s">
        <v>271</v>
      </c>
    </row>
    <row r="4" spans="1:14" ht="13.5" thickBot="1">
      <c r="A4" s="133" t="s">
        <v>18</v>
      </c>
      <c r="B4" s="117" t="s">
        <v>158</v>
      </c>
      <c r="C4" s="126" t="s">
        <v>108</v>
      </c>
      <c r="D4" s="123" t="s">
        <v>109</v>
      </c>
      <c r="E4" s="123" t="s">
        <v>16</v>
      </c>
      <c r="F4" s="123" t="s">
        <v>3</v>
      </c>
      <c r="G4" s="127" t="s">
        <v>11</v>
      </c>
      <c r="H4" s="126" t="s">
        <v>108</v>
      </c>
      <c r="I4" s="123" t="s">
        <v>109</v>
      </c>
      <c r="J4" s="123" t="s">
        <v>16</v>
      </c>
      <c r="K4" s="123" t="s">
        <v>3</v>
      </c>
      <c r="L4" s="315" t="s">
        <v>11</v>
      </c>
      <c r="M4" s="143" t="s">
        <v>206</v>
      </c>
      <c r="N4" s="364" t="s">
        <v>270</v>
      </c>
    </row>
    <row r="5" spans="1:14" ht="12.75">
      <c r="A5" s="8" t="s">
        <v>13</v>
      </c>
      <c r="B5" s="301" t="s">
        <v>147</v>
      </c>
      <c r="C5" s="128">
        <f>VLOOKUP(C$4,VGOFeedHtr,9,FALSE)</f>
        <v>4.999397872263686</v>
      </c>
      <c r="D5" s="124">
        <f>VLOOKUP(D$4,VGOFeedHtr,9,FALSE)</f>
        <v>2.8964910753821824</v>
      </c>
      <c r="E5" s="124">
        <f>VLOOKUP(E$4,VGOFeedHtr,9,FALSE)</f>
        <v>7.6096952625911465</v>
      </c>
      <c r="F5" s="124">
        <f>VLOOKUP(F$4,VGOFeedHtr,9,FALSE)</f>
        <v>1.1100294117647058</v>
      </c>
      <c r="G5" s="125">
        <f>VLOOKUP(G$4,VGOFeedHtr,9,FALSE)</f>
        <v>1.5338588235294122</v>
      </c>
      <c r="H5" s="128">
        <f>VLOOKUP(H$4,VGOFeedHtr,7,FALSE)</f>
        <v>27.39396094391061</v>
      </c>
      <c r="I5" s="124">
        <f>VLOOKUP(I$4,VGOFeedHtr,7,FALSE)</f>
        <v>15.87118397469689</v>
      </c>
      <c r="J5" s="124">
        <f>VLOOKUP(J$4,VGOFeedHtr,7,FALSE)</f>
        <v>41.696960342965184</v>
      </c>
      <c r="K5" s="124">
        <f>VLOOKUP(K$4,VGOFeedHtr,7,FALSE)</f>
        <v>6.08235294117647</v>
      </c>
      <c r="L5" s="316">
        <f>VLOOKUP(L$4,VGOFeedHtr,7,FALSE)</f>
        <v>8.404705882352943</v>
      </c>
      <c r="M5" s="43"/>
      <c r="N5" s="371" t="b">
        <v>1</v>
      </c>
    </row>
    <row r="6" spans="1:14" ht="12.75">
      <c r="A6" s="40" t="s">
        <v>159</v>
      </c>
      <c r="B6" s="302" t="s">
        <v>147</v>
      </c>
      <c r="C6" s="230">
        <f>VLOOKUP(C$4,VGOFractFeedHtr,9,FALSE)</f>
        <v>3.7229558623240218</v>
      </c>
      <c r="D6" s="231">
        <f>VLOOKUP(D$4,VGOFractFeedHtr,9,FALSE)</f>
        <v>2.1569614391143914</v>
      </c>
      <c r="E6" s="231">
        <f>VLOOKUP(E$4,VGOFractFeedHtr,9,FALSE)</f>
        <v>5.666794344482769</v>
      </c>
      <c r="F6" s="231">
        <f>VLOOKUP(F$4,VGOFractFeedHtr,9,FALSE)</f>
        <v>0.8266176470588236</v>
      </c>
      <c r="G6" s="232">
        <f>VLOOKUP(G$4,VGOFractFeedHtr,9,FALSE)</f>
        <v>1.1422352941176472</v>
      </c>
      <c r="H6" s="230">
        <f>VLOOKUP(H$4,VGOFractFeedHtr,7,FALSE)</f>
        <v>20.399758149720668</v>
      </c>
      <c r="I6" s="231">
        <f>VLOOKUP(I$4,VGOFractFeedHtr,7,FALSE)</f>
        <v>11.818966789667897</v>
      </c>
      <c r="J6" s="231">
        <f>VLOOKUP(J$4,VGOFractFeedHtr,7,FALSE)</f>
        <v>31.050927914974075</v>
      </c>
      <c r="K6" s="231">
        <f>VLOOKUP(K$4,VGOFractFeedHtr,7,FALSE)</f>
        <v>4.529411764705882</v>
      </c>
      <c r="L6" s="317">
        <f>VLOOKUP(L$4,VGOFractFeedHtr,7,FALSE)</f>
        <v>6.258823529411766</v>
      </c>
      <c r="M6" s="36"/>
      <c r="N6" s="366" t="b">
        <v>1</v>
      </c>
    </row>
    <row r="7" spans="1:14" ht="12.75">
      <c r="A7" s="9" t="s">
        <v>4</v>
      </c>
      <c r="B7" s="280" t="s">
        <v>147</v>
      </c>
      <c r="C7" s="227">
        <f>VLOOKUP(C$4,HGUReformer,9,FALSE)</f>
        <v>17.045819341069272</v>
      </c>
      <c r="D7" s="228">
        <f>VLOOKUP(D$4,HGUReformer,9,FALSE)</f>
        <v>39.503208070637854</v>
      </c>
      <c r="E7" s="228">
        <f>VLOOKUP(E$4,HGUReformer,9,FALSE)</f>
        <v>20.75665814179117</v>
      </c>
      <c r="F7" s="37">
        <f>VLOOKUP(F$4,HGUReformer,9,FALSE)</f>
        <v>15.138911764705883</v>
      </c>
      <c r="G7" s="122">
        <f>VLOOKUP(G$4,HGUReformer,9,FALSE)</f>
        <v>20.919223529411763</v>
      </c>
      <c r="H7" s="227">
        <f>VLOOKUP(H$4,HGUReformer,7,FALSE)</f>
        <v>93.40174981407822</v>
      </c>
      <c r="I7" s="228">
        <f>VLOOKUP(I$4,HGUReformer,7,FALSE)</f>
        <v>216.45593463363207</v>
      </c>
      <c r="J7" s="228">
        <f>VLOOKUP(J$4,HGUReformer,7,FALSE)</f>
        <v>113.73511310570504</v>
      </c>
      <c r="K7" s="37">
        <f>VLOOKUP(K$4,HGUReformer,7,FALSE)</f>
        <v>82.95294117647059</v>
      </c>
      <c r="L7" s="318">
        <f>VLOOKUP(L$4,HGUReformer,7,FALSE)</f>
        <v>114.62588235294118</v>
      </c>
      <c r="M7" s="36"/>
      <c r="N7" s="366" t="b">
        <v>1</v>
      </c>
    </row>
    <row r="8" spans="1:14" ht="12.75">
      <c r="A8" s="9" t="s">
        <v>9</v>
      </c>
      <c r="B8" s="280" t="s">
        <v>147</v>
      </c>
      <c r="C8" s="227">
        <f>VLOOKUP(C$4,FCCRegen,9,FALSE)</f>
        <v>36.86235220824</v>
      </c>
      <c r="D8" s="228">
        <f>VLOOKUP(D$4,FCCRegen,9,FALSE)</f>
        <v>51.327733589184</v>
      </c>
      <c r="E8" s="228">
        <f>VLOOKUP(E$4,FCCRegen,9,FALSE)</f>
        <v>66.2086322149824</v>
      </c>
      <c r="F8" s="37">
        <f>VLOOKUP(F$4,FCCRegen,9,FALSE)</f>
        <v>11.972511</v>
      </c>
      <c r="G8" s="122">
        <f>VLOOKUP(G$4,FCCRegen,9,FALSE)</f>
        <v>40.48653</v>
      </c>
      <c r="H8" s="227">
        <f>VLOOKUP(H$4,FCCRegen,7,FALSE)</f>
        <v>403.9709831039999</v>
      </c>
      <c r="I8" s="228">
        <f>VLOOKUP(I$4,FCCRegen,7,FALSE)</f>
        <v>703.119638208</v>
      </c>
      <c r="J8" s="228">
        <f>VLOOKUP(J$4,FCCRegen,7,FALSE)</f>
        <v>3074.4663206399996</v>
      </c>
      <c r="K8" s="37">
        <f>VLOOKUP(K$4,FCCRegen,7,FALSE)</f>
        <v>65.6028</v>
      </c>
      <c r="L8" s="318">
        <f>VLOOKUP(L$4,FCCRegen,7,FALSE)</f>
        <v>221.844</v>
      </c>
      <c r="M8" s="36"/>
      <c r="N8" s="366" t="b">
        <v>1</v>
      </c>
    </row>
    <row r="9" spans="1:14" ht="12.75">
      <c r="A9" s="9" t="s">
        <v>125</v>
      </c>
      <c r="B9" s="280" t="s">
        <v>147</v>
      </c>
      <c r="C9" s="227">
        <f>VLOOKUP(C$4,MHC14H1,9,FALSE)</f>
        <v>6.648135468435753</v>
      </c>
      <c r="D9" s="228">
        <f>VLOOKUP(D$4,MHC14H1,9,FALSE)</f>
        <v>3.0813734844491303</v>
      </c>
      <c r="E9" s="228">
        <f>VLOOKUP(E$4,MHC14H1,9,FALSE)</f>
        <v>38.858018362167556</v>
      </c>
      <c r="F9" s="37">
        <f>VLOOKUP(F$4,MHC14H1,9,FALSE)</f>
        <v>1.095</v>
      </c>
      <c r="G9" s="122">
        <f>VLOOKUP(G$4,MHC14H1,9,FALSE)</f>
        <v>1.631764705882353</v>
      </c>
      <c r="H9" s="227">
        <f>VLOOKUP(H$4,MHC14H1,7,FALSE)</f>
        <v>36.42813955307262</v>
      </c>
      <c r="I9" s="228">
        <f>VLOOKUP(I$4,MHC14H1,7,FALSE)</f>
        <v>16.88423827095414</v>
      </c>
      <c r="J9" s="228">
        <f>VLOOKUP(J$4,MHC14H1,7,FALSE)</f>
        <v>212.9206485598222</v>
      </c>
      <c r="K9" s="37">
        <f>VLOOKUP(K$4,MHC14H1,7,FALSE)</f>
        <v>6</v>
      </c>
      <c r="L9" s="318">
        <f>VLOOKUP(L$4,MHC14H1,7,FALSE)</f>
        <v>8.941176470588236</v>
      </c>
      <c r="M9" s="36"/>
      <c r="N9" s="366" t="b">
        <v>0</v>
      </c>
    </row>
    <row r="10" spans="1:14" ht="12.75">
      <c r="A10" s="9" t="s">
        <v>126</v>
      </c>
      <c r="B10" s="280" t="s">
        <v>147</v>
      </c>
      <c r="C10" s="227">
        <f>VLOOKUP(C$4,MHC14H2,9,FALSE)</f>
        <v>6.382210049698323</v>
      </c>
      <c r="D10" s="228">
        <f>VLOOKUP(D$4,MHC14H2,9,FALSE)</f>
        <v>2.4650987875593047</v>
      </c>
      <c r="E10" s="228">
        <f>VLOOKUP(E$4,MHC14H2,9,FALSE)</f>
        <v>12.952672787389183</v>
      </c>
      <c r="F10" s="37">
        <f>VLOOKUP(F$4,MHC14H2,9,FALSE)</f>
        <v>0.49056</v>
      </c>
      <c r="G10" s="122">
        <f>VLOOKUP(G$4,MHC14H2,9,FALSE)</f>
        <v>1.3054117647058823</v>
      </c>
      <c r="H10" s="227">
        <f>VLOOKUP(H$4,MHC14H2,7,FALSE)</f>
        <v>34.97101397094971</v>
      </c>
      <c r="I10" s="228">
        <f>VLOOKUP(I$4,MHC14H2,7,FALSE)</f>
        <v>13.507390616763312</v>
      </c>
      <c r="J10" s="228">
        <f>VLOOKUP(J$4,MHC14H2,7,FALSE)</f>
        <v>70.97354951994073</v>
      </c>
      <c r="K10" s="37">
        <f>VLOOKUP(K$4,MHC14H2,7,FALSE)</f>
        <v>2.688</v>
      </c>
      <c r="L10" s="318">
        <f>VLOOKUP(L$4,MHC14H2,7,FALSE)</f>
        <v>7.152941176470588</v>
      </c>
      <c r="M10" s="36"/>
      <c r="N10" s="366" t="b">
        <v>0</v>
      </c>
    </row>
    <row r="11" spans="1:14" ht="12.75">
      <c r="A11" s="9" t="s">
        <v>145</v>
      </c>
      <c r="B11" s="280" t="s">
        <v>147</v>
      </c>
      <c r="C11" s="227">
        <f>VLOOKUP(C$4,IsoStripper,9,FALSE)</f>
        <v>5.717396502854749</v>
      </c>
      <c r="D11" s="228">
        <f>VLOOKUP(D$4,IsoStripper,9,FALSE)</f>
        <v>13.24990598313126</v>
      </c>
      <c r="E11" s="228">
        <f>VLOOKUP(E$4,IsoStripper,9,FALSE)</f>
        <v>6.962061623221686</v>
      </c>
      <c r="F11" s="37">
        <f>VLOOKUP(F$4,IsoStripper,9,FALSE)</f>
        <v>5.077794117647058</v>
      </c>
      <c r="G11" s="122">
        <f>VLOOKUP(G$4,IsoStripper,9,FALSE)</f>
        <v>7.016588235294119</v>
      </c>
      <c r="H11" s="227">
        <f>VLOOKUP(H$4,IsoStripper,7,FALSE)</f>
        <v>31.32820001564246</v>
      </c>
      <c r="I11" s="228">
        <f>VLOOKUP(I$4,IsoStripper,7,FALSE)</f>
        <v>72.6022245651028</v>
      </c>
      <c r="J11" s="228">
        <f>VLOOKUP(J$4,IsoStripper,7,FALSE)</f>
        <v>38.148282866968145</v>
      </c>
      <c r="K11" s="37">
        <f>VLOOKUP(K$4,IsoStripper,7,FALSE)</f>
        <v>27.823529411764703</v>
      </c>
      <c r="L11" s="318">
        <f>VLOOKUP(L$4,IsoStripper,7,FALSE)</f>
        <v>38.44705882352942</v>
      </c>
      <c r="M11" s="36"/>
      <c r="N11" s="366" t="b">
        <v>1</v>
      </c>
    </row>
    <row r="12" spans="1:14" ht="12.75">
      <c r="A12" s="9" t="s">
        <v>81</v>
      </c>
      <c r="B12" s="280" t="s">
        <v>147</v>
      </c>
      <c r="C12" s="227">
        <f>VLOOKUP(C$4,FCCStartupHtr,9,FALSE)</f>
        <v>0.04322805893631284</v>
      </c>
      <c r="D12" s="228">
        <f>VLOOKUP(D$4,FCCStartupHtr,9,FALSE)</f>
        <v>0.005008990687049728</v>
      </c>
      <c r="E12" s="228">
        <f>VLOOKUP(E$4,FCCStartupHtr,9,FALSE)</f>
        <v>0.026319357946978022</v>
      </c>
      <c r="F12" s="37">
        <f>VLOOKUP(F$4,FCCStartupHtr,9,FALSE)</f>
        <v>0.001919607843137255</v>
      </c>
      <c r="G12" s="122">
        <f>VLOOKUP(G$4,FCCStartupHtr,9,FALSE)</f>
        <v>0.002652549019607843</v>
      </c>
      <c r="H12" s="227">
        <f>VLOOKUP(H$4,FCCStartupHtr,7,FALSE)</f>
        <v>86.45611787262568</v>
      </c>
      <c r="I12" s="228">
        <f>VLOOKUP(I$4,FCCStartupHtr,7,FALSE)</f>
        <v>10.017981374099456</v>
      </c>
      <c r="J12" s="228">
        <f>VLOOKUP(J$4,FCCStartupHtr,7,FALSE)</f>
        <v>52.638715893956046</v>
      </c>
      <c r="K12" s="37">
        <f>VLOOKUP(K$4,FCCStartupHtr,7,FALSE)</f>
        <v>3.83921568627451</v>
      </c>
      <c r="L12" s="318">
        <f>VLOOKUP(L$4,FCCStartupHtr,7,FALSE)</f>
        <v>5.305098039215686</v>
      </c>
      <c r="M12" s="36"/>
      <c r="N12" s="366" t="b">
        <v>1</v>
      </c>
    </row>
    <row r="13" spans="1:14" ht="12.75">
      <c r="A13" s="9" t="s">
        <v>122</v>
      </c>
      <c r="B13" s="280" t="s">
        <v>147</v>
      </c>
      <c r="C13" s="129">
        <f>VLOOKUP(C$4,SWAATS,9,FALSE)</f>
        <v>0</v>
      </c>
      <c r="D13" s="37">
        <f>VLOOKUP(D$4,SWAATS,9,FALSE)</f>
        <v>8.071226450226675</v>
      </c>
      <c r="E13" s="37">
        <f>VLOOKUP(E$4,SWAATS,9,FALSE)</f>
        <v>152.93332884259357</v>
      </c>
      <c r="F13" s="37">
        <f>VLOOKUP(F$4,SWAATS,9,FALSE)</f>
        <v>5.954232442568477</v>
      </c>
      <c r="G13" s="122">
        <f>VLOOKUP(G$4,SWAATS,9,FALSE)</f>
        <v>0</v>
      </c>
      <c r="H13" s="129">
        <f>VLOOKUP(H$4,SWAATS,7,FALSE)</f>
        <v>0</v>
      </c>
      <c r="I13" s="37">
        <f>VLOOKUP(I$4,SWAATS,7,FALSE)</f>
        <v>44.225898357406436</v>
      </c>
      <c r="J13" s="37">
        <f>VLOOKUP(J$4,SWAATS,7,FALSE)</f>
        <v>837.9908429731154</v>
      </c>
      <c r="K13" s="37">
        <f>VLOOKUP(K$4,SWAATS,7,FALSE)</f>
        <v>32.62593119215604</v>
      </c>
      <c r="L13" s="318">
        <f>VLOOKUP(L$4,SWAATS,7,FALSE)</f>
        <v>0</v>
      </c>
      <c r="M13" s="36"/>
      <c r="N13" s="366" t="b">
        <v>1</v>
      </c>
    </row>
    <row r="14" spans="1:14" ht="12.75">
      <c r="A14" s="9" t="s">
        <v>174</v>
      </c>
      <c r="B14" s="280" t="s">
        <v>147</v>
      </c>
      <c r="C14" s="129">
        <f>VLOOKUP(C$4,GroundFlare,9,FALSE)</f>
        <v>0.9706520441144229</v>
      </c>
      <c r="D14" s="37">
        <f>VLOOKUP(D$4,GroundFlare,9,FALSE)</f>
        <v>0.3087125189652825</v>
      </c>
      <c r="E14" s="37">
        <f>VLOOKUP(E$4,GroundFlare,9,FALSE)</f>
        <v>5.281489063563771</v>
      </c>
      <c r="F14" s="37">
        <f>VLOOKUP(F$4,GroundFlare,9,FALSE)</f>
        <v>0.89928057028248</v>
      </c>
      <c r="G14" s="122">
        <f>VLOOKUP(G$4,GroundFlare,9,FALSE)</f>
        <v>0.3711316639261028</v>
      </c>
      <c r="H14" s="129">
        <f>VLOOKUP(H$4,GroundFlare,7,FALSE)</f>
        <v>158.16812986368004</v>
      </c>
      <c r="I14" s="37">
        <f>VLOOKUP(I$4,GroundFlare,7,FALSE)</f>
        <v>100.90827041301644</v>
      </c>
      <c r="J14" s="37">
        <f>VLOOKUP(J$4,GroundFlare,7,FALSE)</f>
        <v>860.6207066112</v>
      </c>
      <c r="K14" s="37">
        <f>VLOOKUP(K$4,GroundFlare,7,FALSE)</f>
        <v>146.53812031488002</v>
      </c>
      <c r="L14" s="318">
        <f>VLOOKUP(L$4,GroundFlare,7,FALSE)</f>
        <v>60.47604965376</v>
      </c>
      <c r="M14" s="36"/>
      <c r="N14" s="366" t="b">
        <v>1</v>
      </c>
    </row>
    <row r="15" spans="1:14" ht="12.75">
      <c r="A15" s="9" t="s">
        <v>91</v>
      </c>
      <c r="B15" s="280" t="s">
        <v>147</v>
      </c>
      <c r="C15" s="130"/>
      <c r="D15" s="120"/>
      <c r="E15" s="120"/>
      <c r="F15" s="37">
        <f>VLOOKUP(F$4,AlkyCT,9,FALSE)</f>
        <v>2.7594000000000003</v>
      </c>
      <c r="G15" s="122">
        <f>VLOOKUP(G$4,AlkyCT,9,FALSE)</f>
        <v>1.0526716800000002</v>
      </c>
      <c r="H15" s="130"/>
      <c r="I15" s="120"/>
      <c r="J15" s="120"/>
      <c r="K15" s="37">
        <f>VLOOKUP(K$4,AlkyCT,7,FALSE)</f>
        <v>15.120000000000001</v>
      </c>
      <c r="L15" s="318">
        <f>VLOOKUP(L$4,AlkyCT,7,FALSE)</f>
        <v>5.768064000000001</v>
      </c>
      <c r="M15" s="36"/>
      <c r="N15" s="366" t="b">
        <v>1</v>
      </c>
    </row>
    <row r="16" spans="1:14" ht="12.75">
      <c r="A16" s="9" t="s">
        <v>90</v>
      </c>
      <c r="B16" s="280" t="s">
        <v>147</v>
      </c>
      <c r="C16" s="130"/>
      <c r="D16" s="120"/>
      <c r="E16" s="120"/>
      <c r="F16" s="37">
        <f>VLOOKUP(F$4,GeneralCT,9,FALSE)</f>
        <v>2.7594000000000003</v>
      </c>
      <c r="G16" s="122">
        <f>VLOOKUP(G$4,GeneralCT,9,FALSE)</f>
        <v>1.0526716800000002</v>
      </c>
      <c r="H16" s="130"/>
      <c r="I16" s="120"/>
      <c r="J16" s="120"/>
      <c r="K16" s="37">
        <f>VLOOKUP(K$4,GeneralCT,7,FALSE)</f>
        <v>15.120000000000001</v>
      </c>
      <c r="L16" s="318">
        <f>VLOOKUP(L$4,GeneralCT,7,FALSE)</f>
        <v>5.768064000000001</v>
      </c>
      <c r="M16" s="36"/>
      <c r="N16" s="366" t="b">
        <v>1</v>
      </c>
    </row>
    <row r="17" spans="1:14" ht="13.5" thickBot="1">
      <c r="A17" s="109" t="s">
        <v>263</v>
      </c>
      <c r="B17" s="314" t="s">
        <v>147</v>
      </c>
      <c r="C17" s="255">
        <f>VLOOKUP(C$4,DieselICEs,9,FALSE)</f>
        <v>0.7708328101552467</v>
      </c>
      <c r="D17" s="256">
        <f>VLOOKUP(D$4,DieselICEs,9,FALSE)</f>
        <v>0.0008568796985369232</v>
      </c>
      <c r="E17" s="256">
        <f>VLOOKUP(E$4,DieselICEs,9,FALSE)</f>
        <v>0.4513964818235368</v>
      </c>
      <c r="F17" s="253">
        <f>VLOOKUP(F$4,DieselICEs,9,FALSE)</f>
        <v>0.0625145409035905</v>
      </c>
      <c r="G17" s="254">
        <f>VLOOKUP(G$4,DieselICEs,9,FALSE)</f>
        <v>0.02604210472058866</v>
      </c>
      <c r="H17" s="255">
        <f>VLOOKUP(H$4,DieselICEs,7,FALSE)</f>
        <v>15.416656203104935</v>
      </c>
      <c r="I17" s="256">
        <f>VLOOKUP(I$4,DieselICEs,7,FALSE)</f>
        <v>0.017137593970738465</v>
      </c>
      <c r="J17" s="256">
        <f>VLOOKUP(J$4,DieselICEs,7,FALSE)</f>
        <v>9.027929636470736</v>
      </c>
      <c r="K17" s="253">
        <f>VLOOKUP(K$4,DieselICEs,7,FALSE)</f>
        <v>1.2502908180718102</v>
      </c>
      <c r="L17" s="319">
        <f>VLOOKUP(L$4,DieselICEs,7,FALSE)</f>
        <v>0.5208420944117732</v>
      </c>
      <c r="M17" s="303"/>
      <c r="N17" s="367" t="b">
        <v>0</v>
      </c>
    </row>
    <row r="18" spans="1:14" ht="12.75">
      <c r="A18" s="8" t="s">
        <v>142</v>
      </c>
      <c r="B18" s="301" t="s">
        <v>146</v>
      </c>
      <c r="C18" s="233"/>
      <c r="D18" s="234"/>
      <c r="E18" s="234"/>
      <c r="F18" s="124">
        <v>0.8949467802112254</v>
      </c>
      <c r="G18" s="235"/>
      <c r="H18" s="233"/>
      <c r="I18" s="234"/>
      <c r="J18" s="234"/>
      <c r="K18" s="124">
        <f aca="true" t="shared" si="0" ref="K18:K30">F18*2000/365</f>
        <v>4.903817973760139</v>
      </c>
      <c r="L18" s="320"/>
      <c r="M18" s="128"/>
      <c r="N18" s="365" t="b">
        <v>1</v>
      </c>
    </row>
    <row r="19" spans="1:14" ht="12.75">
      <c r="A19" s="9" t="s">
        <v>77</v>
      </c>
      <c r="B19" s="280" t="s">
        <v>146</v>
      </c>
      <c r="C19" s="131"/>
      <c r="D19" s="121"/>
      <c r="E19" s="121"/>
      <c r="F19" s="37">
        <v>3.1606897912880827</v>
      </c>
      <c r="G19" s="132"/>
      <c r="H19" s="131"/>
      <c r="I19" s="121"/>
      <c r="J19" s="121"/>
      <c r="K19" s="37">
        <f t="shared" si="0"/>
        <v>17.318848171441548</v>
      </c>
      <c r="L19" s="321"/>
      <c r="M19" s="129"/>
      <c r="N19" s="366" t="b">
        <v>1</v>
      </c>
    </row>
    <row r="20" spans="1:14" ht="12.75">
      <c r="A20" s="9" t="s">
        <v>136</v>
      </c>
      <c r="B20" s="280" t="s">
        <v>146</v>
      </c>
      <c r="C20" s="131"/>
      <c r="D20" s="121"/>
      <c r="E20" s="121"/>
      <c r="F20" s="37">
        <v>3.1231739142578068</v>
      </c>
      <c r="G20" s="132"/>
      <c r="H20" s="131"/>
      <c r="I20" s="121"/>
      <c r="J20" s="121"/>
      <c r="K20" s="37">
        <f t="shared" si="0"/>
        <v>17.113281721960586</v>
      </c>
      <c r="L20" s="321"/>
      <c r="M20" s="129"/>
      <c r="N20" s="366" t="b">
        <v>1</v>
      </c>
    </row>
    <row r="21" spans="1:14" ht="12.75">
      <c r="A21" s="9" t="s">
        <v>78</v>
      </c>
      <c r="B21" s="280" t="s">
        <v>146</v>
      </c>
      <c r="C21" s="131"/>
      <c r="D21" s="121"/>
      <c r="E21" s="121"/>
      <c r="F21" s="37">
        <v>8.458376497298651</v>
      </c>
      <c r="G21" s="132"/>
      <c r="H21" s="131"/>
      <c r="I21" s="121"/>
      <c r="J21" s="121"/>
      <c r="K21" s="37">
        <f t="shared" si="0"/>
        <v>46.34726847834878</v>
      </c>
      <c r="L21" s="321"/>
      <c r="M21" s="129"/>
      <c r="N21" s="366" t="b">
        <v>1</v>
      </c>
    </row>
    <row r="22" spans="1:14" ht="12.75">
      <c r="A22" s="9" t="s">
        <v>137</v>
      </c>
      <c r="B22" s="280" t="s">
        <v>146</v>
      </c>
      <c r="C22" s="131"/>
      <c r="D22" s="121"/>
      <c r="E22" s="121"/>
      <c r="F22" s="37">
        <v>6.235190539563378</v>
      </c>
      <c r="G22" s="132"/>
      <c r="H22" s="131"/>
      <c r="I22" s="121"/>
      <c r="J22" s="121"/>
      <c r="K22" s="37">
        <f t="shared" si="0"/>
        <v>34.16542761404591</v>
      </c>
      <c r="L22" s="321"/>
      <c r="M22" s="129"/>
      <c r="N22" s="366" t="b">
        <v>1</v>
      </c>
    </row>
    <row r="23" spans="1:14" ht="12.75">
      <c r="A23" s="9" t="s">
        <v>131</v>
      </c>
      <c r="B23" s="280" t="s">
        <v>146</v>
      </c>
      <c r="C23" s="131"/>
      <c r="D23" s="121"/>
      <c r="E23" s="121"/>
      <c r="F23" s="37">
        <v>2.797673071606326</v>
      </c>
      <c r="G23" s="132"/>
      <c r="H23" s="131"/>
      <c r="I23" s="121"/>
      <c r="J23" s="121"/>
      <c r="K23" s="37">
        <f t="shared" si="0"/>
        <v>15.32971546085658</v>
      </c>
      <c r="L23" s="321"/>
      <c r="M23" s="129"/>
      <c r="N23" s="366" t="b">
        <v>1</v>
      </c>
    </row>
    <row r="24" spans="1:14" ht="12.75">
      <c r="A24" s="9" t="s">
        <v>138</v>
      </c>
      <c r="B24" s="280" t="s">
        <v>146</v>
      </c>
      <c r="C24" s="131"/>
      <c r="D24" s="121"/>
      <c r="E24" s="121"/>
      <c r="F24" s="37">
        <v>1.8688566662219495</v>
      </c>
      <c r="G24" s="132"/>
      <c r="H24" s="131"/>
      <c r="I24" s="121"/>
      <c r="J24" s="121"/>
      <c r="K24" s="37">
        <f t="shared" si="0"/>
        <v>10.240310499846299</v>
      </c>
      <c r="L24" s="321"/>
      <c r="M24" s="129"/>
      <c r="N24" s="366" t="b">
        <v>1</v>
      </c>
    </row>
    <row r="25" spans="1:14" ht="12.75">
      <c r="A25" s="9" t="s">
        <v>148</v>
      </c>
      <c r="B25" s="280" t="s">
        <v>146</v>
      </c>
      <c r="C25" s="131"/>
      <c r="D25" s="121"/>
      <c r="E25" s="121"/>
      <c r="F25" s="37">
        <v>0.11429214826614538</v>
      </c>
      <c r="G25" s="132"/>
      <c r="H25" s="131"/>
      <c r="I25" s="121"/>
      <c r="J25" s="121"/>
      <c r="K25" s="37">
        <f t="shared" si="0"/>
        <v>0.6262583466638103</v>
      </c>
      <c r="L25" s="321"/>
      <c r="M25" s="129"/>
      <c r="N25" s="366" t="b">
        <v>1</v>
      </c>
    </row>
    <row r="26" spans="1:14" ht="12.75">
      <c r="A26" s="9" t="s">
        <v>143</v>
      </c>
      <c r="B26" s="280" t="s">
        <v>146</v>
      </c>
      <c r="C26" s="131"/>
      <c r="D26" s="121"/>
      <c r="E26" s="121"/>
      <c r="F26" s="37">
        <v>1.2987130345181417</v>
      </c>
      <c r="G26" s="132"/>
      <c r="H26" s="131"/>
      <c r="I26" s="121"/>
      <c r="J26" s="121"/>
      <c r="K26" s="37">
        <f t="shared" si="0"/>
        <v>7.116235805578859</v>
      </c>
      <c r="L26" s="321"/>
      <c r="M26" s="129"/>
      <c r="N26" s="366" t="b">
        <v>1</v>
      </c>
    </row>
    <row r="27" spans="1:14" ht="12.75">
      <c r="A27" s="9" t="s">
        <v>144</v>
      </c>
      <c r="B27" s="280" t="s">
        <v>146</v>
      </c>
      <c r="C27" s="131"/>
      <c r="D27" s="121"/>
      <c r="E27" s="121"/>
      <c r="F27" s="37">
        <v>0.8378887904813372</v>
      </c>
      <c r="G27" s="132"/>
      <c r="H27" s="131"/>
      <c r="I27" s="121"/>
      <c r="J27" s="121"/>
      <c r="K27" s="37">
        <f t="shared" si="0"/>
        <v>4.591171454692258</v>
      </c>
      <c r="L27" s="321"/>
      <c r="M27" s="129"/>
      <c r="N27" s="366" t="b">
        <v>1</v>
      </c>
    </row>
    <row r="28" spans="1:14" ht="12.75">
      <c r="A28" s="9" t="s">
        <v>114</v>
      </c>
      <c r="B28" s="280" t="s">
        <v>146</v>
      </c>
      <c r="C28" s="131"/>
      <c r="D28" s="121"/>
      <c r="E28" s="121"/>
      <c r="F28" s="37">
        <v>0.6740624206305004</v>
      </c>
      <c r="G28" s="132"/>
      <c r="H28" s="131"/>
      <c r="I28" s="121"/>
      <c r="J28" s="121"/>
      <c r="K28" s="37">
        <f t="shared" si="0"/>
        <v>3.6934927157835635</v>
      </c>
      <c r="L28" s="321"/>
      <c r="M28" s="129"/>
      <c r="N28" s="366" t="b">
        <v>1</v>
      </c>
    </row>
    <row r="29" spans="1:14" ht="12.75">
      <c r="A29" s="9" t="s">
        <v>174</v>
      </c>
      <c r="B29" s="280" t="s">
        <v>146</v>
      </c>
      <c r="C29" s="131"/>
      <c r="D29" s="121"/>
      <c r="E29" s="121"/>
      <c r="F29" s="37">
        <v>0.5527498132924031</v>
      </c>
      <c r="G29" s="132"/>
      <c r="H29" s="131"/>
      <c r="I29" s="121"/>
      <c r="J29" s="121"/>
      <c r="K29" s="37">
        <f t="shared" si="0"/>
        <v>3.028766100232346</v>
      </c>
      <c r="L29" s="321"/>
      <c r="M29" s="129"/>
      <c r="N29" s="366" t="b">
        <v>1</v>
      </c>
    </row>
    <row r="30" spans="1:14" ht="12.75">
      <c r="A30" s="9" t="s">
        <v>237</v>
      </c>
      <c r="B30" s="280" t="s">
        <v>146</v>
      </c>
      <c r="C30" s="131"/>
      <c r="D30" s="121"/>
      <c r="E30" s="121"/>
      <c r="F30" s="37">
        <v>0.5076506604242708</v>
      </c>
      <c r="G30" s="325"/>
      <c r="H30" s="323"/>
      <c r="I30" s="324"/>
      <c r="J30" s="324"/>
      <c r="K30" s="37">
        <f t="shared" si="0"/>
        <v>2.781647454379566</v>
      </c>
      <c r="L30" s="321"/>
      <c r="M30" s="129"/>
      <c r="N30" s="366" t="b">
        <v>1</v>
      </c>
    </row>
    <row r="31" spans="1:14" ht="13.5" thickBot="1">
      <c r="A31" s="10" t="s">
        <v>113</v>
      </c>
      <c r="B31" s="304" t="s">
        <v>146</v>
      </c>
      <c r="C31" s="386"/>
      <c r="D31" s="387"/>
      <c r="E31" s="387"/>
      <c r="F31" s="306">
        <v>0.38342360631785</v>
      </c>
      <c r="G31" s="388"/>
      <c r="H31" s="386"/>
      <c r="I31" s="387"/>
      <c r="J31" s="387"/>
      <c r="K31" s="306">
        <f>F31*2000/365</f>
        <v>2.1009512674950686</v>
      </c>
      <c r="L31" s="389"/>
      <c r="M31" s="305" t="s">
        <v>205</v>
      </c>
      <c r="N31" s="367" t="b">
        <v>1</v>
      </c>
    </row>
    <row r="32" spans="1:14" ht="12.75">
      <c r="A32" s="109" t="s">
        <v>208</v>
      </c>
      <c r="B32" s="314" t="s">
        <v>147</v>
      </c>
      <c r="C32" s="381"/>
      <c r="D32" s="382"/>
      <c r="E32" s="382"/>
      <c r="F32" s="256">
        <v>1.7775180456891657</v>
      </c>
      <c r="G32" s="383"/>
      <c r="H32" s="381"/>
      <c r="I32" s="382"/>
      <c r="J32" s="382"/>
      <c r="K32" s="256">
        <f>F32*2000/365</f>
        <v>9.73982490788584</v>
      </c>
      <c r="L32" s="384"/>
      <c r="M32" s="385" t="s">
        <v>210</v>
      </c>
      <c r="N32" s="365" t="b">
        <v>1</v>
      </c>
    </row>
    <row r="33" spans="1:14" ht="12.75">
      <c r="A33" s="307" t="s">
        <v>209</v>
      </c>
      <c r="B33" s="322" t="s">
        <v>147</v>
      </c>
      <c r="C33" s="323"/>
      <c r="D33" s="324"/>
      <c r="E33" s="324"/>
      <c r="F33" s="343">
        <v>0.1249605812595716</v>
      </c>
      <c r="G33" s="325"/>
      <c r="H33" s="323"/>
      <c r="I33" s="324"/>
      <c r="J33" s="324"/>
      <c r="K33" s="343">
        <f>F33*2000/365</f>
        <v>0.6847155137510772</v>
      </c>
      <c r="L33" s="326"/>
      <c r="M33" s="368" t="s">
        <v>210</v>
      </c>
      <c r="N33" s="366" t="b">
        <v>1</v>
      </c>
    </row>
    <row r="34" spans="1:14" ht="12.75">
      <c r="A34" s="307" t="s">
        <v>207</v>
      </c>
      <c r="B34" s="322" t="s">
        <v>194</v>
      </c>
      <c r="C34" s="323"/>
      <c r="D34" s="324"/>
      <c r="E34" s="324"/>
      <c r="F34" s="343">
        <v>6.855025604150891</v>
      </c>
      <c r="G34" s="325"/>
      <c r="H34" s="323"/>
      <c r="I34" s="324"/>
      <c r="J34" s="324"/>
      <c r="K34" s="343">
        <v>52.52975319994302</v>
      </c>
      <c r="L34" s="326"/>
      <c r="M34" s="368" t="s">
        <v>211</v>
      </c>
      <c r="N34" s="366" t="b">
        <v>1</v>
      </c>
    </row>
    <row r="35" spans="1:14" ht="12.75">
      <c r="A35" s="307" t="s">
        <v>228</v>
      </c>
      <c r="B35" s="322" t="s">
        <v>194</v>
      </c>
      <c r="C35" s="323"/>
      <c r="D35" s="324"/>
      <c r="E35" s="324"/>
      <c r="F35" s="343">
        <v>1.459654131256958</v>
      </c>
      <c r="G35" s="325"/>
      <c r="H35" s="323"/>
      <c r="I35" s="324"/>
      <c r="J35" s="324"/>
      <c r="K35" s="343">
        <v>10.076962097917047</v>
      </c>
      <c r="L35" s="326"/>
      <c r="M35" s="368" t="s">
        <v>211</v>
      </c>
      <c r="N35" s="366" t="b">
        <v>1</v>
      </c>
    </row>
    <row r="36" spans="1:14" ht="12.75">
      <c r="A36" s="307" t="s">
        <v>229</v>
      </c>
      <c r="B36" s="322" t="s">
        <v>194</v>
      </c>
      <c r="C36" s="323"/>
      <c r="D36" s="324"/>
      <c r="E36" s="324"/>
      <c r="F36" s="343">
        <f>F35</f>
        <v>1.459654131256958</v>
      </c>
      <c r="G36" s="325"/>
      <c r="H36" s="323"/>
      <c r="I36" s="324"/>
      <c r="J36" s="324"/>
      <c r="K36" s="343">
        <f>K35</f>
        <v>10.076962097917047</v>
      </c>
      <c r="L36" s="326"/>
      <c r="M36" s="368" t="s">
        <v>211</v>
      </c>
      <c r="N36" s="366" t="b">
        <v>1</v>
      </c>
    </row>
    <row r="37" spans="1:14" ht="12.75">
      <c r="A37" s="307" t="s">
        <v>230</v>
      </c>
      <c r="B37" s="322" t="s">
        <v>194</v>
      </c>
      <c r="C37" s="323"/>
      <c r="D37" s="324"/>
      <c r="E37" s="324"/>
      <c r="F37" s="343">
        <v>2.010949131256958</v>
      </c>
      <c r="G37" s="325"/>
      <c r="H37" s="323"/>
      <c r="I37" s="324"/>
      <c r="J37" s="324"/>
      <c r="K37" s="343">
        <v>14.173413710820274</v>
      </c>
      <c r="L37" s="326"/>
      <c r="M37" s="368" t="s">
        <v>211</v>
      </c>
      <c r="N37" s="366" t="b">
        <v>1</v>
      </c>
    </row>
    <row r="38" spans="1:14" ht="13.5" thickBot="1">
      <c r="A38" s="307" t="s">
        <v>231</v>
      </c>
      <c r="B38" s="280" t="s">
        <v>194</v>
      </c>
      <c r="C38" s="131"/>
      <c r="D38" s="121"/>
      <c r="E38" s="121"/>
      <c r="F38" s="343">
        <v>6.855025604150891</v>
      </c>
      <c r="G38" s="325"/>
      <c r="H38" s="323"/>
      <c r="I38" s="324"/>
      <c r="J38" s="324"/>
      <c r="K38" s="343">
        <v>52.52975319994302</v>
      </c>
      <c r="L38" s="321"/>
      <c r="M38" s="305" t="s">
        <v>211</v>
      </c>
      <c r="N38" s="367" t="b">
        <v>1</v>
      </c>
    </row>
    <row r="39" spans="1:14" ht="13.5" thickBot="1">
      <c r="A39" s="377" t="s">
        <v>135</v>
      </c>
      <c r="B39" s="378"/>
      <c r="C39" s="372">
        <f>SUM(C5:C38)</f>
        <v>83.16298021809177</v>
      </c>
      <c r="D39" s="373">
        <f aca="true" t="shared" si="1" ref="D39:L39">SUM(D5:D38)</f>
        <v>123.06657726903565</v>
      </c>
      <c r="E39" s="373">
        <f t="shared" si="1"/>
        <v>317.7070664825538</v>
      </c>
      <c r="F39" s="373">
        <f t="shared" si="1"/>
        <v>99.59864606617364</v>
      </c>
      <c r="G39" s="374">
        <f t="shared" si="1"/>
        <v>76.54078203060747</v>
      </c>
      <c r="H39" s="344">
        <f t="shared" si="1"/>
        <v>907.9347094907848</v>
      </c>
      <c r="I39" s="345">
        <f t="shared" si="1"/>
        <v>1205.4288647973103</v>
      </c>
      <c r="J39" s="345">
        <f t="shared" si="1"/>
        <v>5343.269998065117</v>
      </c>
      <c r="K39" s="345">
        <f t="shared" si="1"/>
        <v>729.3411710987625</v>
      </c>
      <c r="L39" s="346">
        <f t="shared" si="1"/>
        <v>483.5127060226815</v>
      </c>
      <c r="M39" s="370"/>
      <c r="N39" s="113"/>
    </row>
    <row r="40" spans="1:12" ht="13.5" thickBot="1">
      <c r="A40" s="377" t="s">
        <v>257</v>
      </c>
      <c r="B40" s="369"/>
      <c r="C40" s="370">
        <f>SUMIF($N$5:$N$38,TRUE,C$5:C$38)</f>
        <v>69.36180188980245</v>
      </c>
      <c r="D40" s="375">
        <f>SUMIF($N$5:$N$38,TRUE,D$5:D$38)</f>
        <v>117.51924811732869</v>
      </c>
      <c r="E40" s="375">
        <f>SUMIF($N$5:$N$38,TRUE,E$5:E$38)</f>
        <v>265.44497885117346</v>
      </c>
      <c r="F40" s="375">
        <f>SUMIF($N$5:$N$38,TRUE,F$5:F$38)</f>
        <v>97.95057152527005</v>
      </c>
      <c r="G40" s="376">
        <f>SUMIF($N$5:$N$38,TRUE,G$5:G$38)</f>
        <v>73.57756345529866</v>
      </c>
      <c r="H40" s="222"/>
      <c r="I40" s="222"/>
      <c r="J40" s="222"/>
      <c r="L40" s="222"/>
    </row>
    <row r="41" spans="3:7" ht="12.75">
      <c r="C41" s="222"/>
      <c r="D41" s="222"/>
      <c r="E41" s="222"/>
      <c r="F41" s="222"/>
      <c r="G41" s="222"/>
    </row>
    <row r="42" spans="1:12" ht="12.75">
      <c r="A42" s="390" t="s">
        <v>267</v>
      </c>
      <c r="B42" t="s">
        <v>268</v>
      </c>
      <c r="C42" s="222">
        <f>SUMIF('B2 Emissions Calcs'!$A:$A,C$4,'B2 Emissions Calcs'!$I:$I)</f>
        <v>83.16298021809179</v>
      </c>
      <c r="D42" s="222">
        <f>SUMIF('B2 Emissions Calcs'!$A:$A,D$4,'B2 Emissions Calcs'!$I:$I)</f>
        <v>123.06657726903565</v>
      </c>
      <c r="E42" s="222">
        <f>SUMIF('B2 Emissions Calcs'!$A:$A,E$4,'B2 Emissions Calcs'!$I:$I)</f>
        <v>317.70706648255384</v>
      </c>
      <c r="F42" s="222">
        <f>SUMIF('B2 Emissions Calcs'!$A:$A,F$4,'B2 Emissions Calcs'!$I:$I)+SUM(F18:F38)</f>
        <v>99.59864606617361</v>
      </c>
      <c r="G42" s="222">
        <f>SUMIF('B2 Emissions Calcs'!$A:$A,G$4,'B2 Emissions Calcs'!$I:$I)</f>
        <v>76.54078203060747</v>
      </c>
      <c r="H42" s="222">
        <f>SUMIF('B2 Emissions Calcs'!$A:$A,H$4,'B2 Emissions Calcs'!$G:$G)</f>
        <v>907.9347094907848</v>
      </c>
      <c r="I42" s="222">
        <f>SUMIF('B2 Emissions Calcs'!$A:$A,I$4,'B2 Emissions Calcs'!$G:$G)</f>
        <v>1205.4288647973103</v>
      </c>
      <c r="J42" s="222">
        <f>SUMIF('B2 Emissions Calcs'!$A:$A,J$4,'B2 Emissions Calcs'!$G:$G)</f>
        <v>5343.269998065117</v>
      </c>
      <c r="K42" s="222">
        <f>SUMIF('B2 Emissions Calcs'!$A:$A,K$4,'B2 Emissions Calcs'!$G:$G)+SUM(K18:K38)</f>
        <v>729.3411710987626</v>
      </c>
      <c r="L42" s="222">
        <f>SUMIF('B2 Emissions Calcs'!$A:$A,L$4,'B2 Emissions Calcs'!$G:$G)</f>
        <v>483.5127060226815</v>
      </c>
    </row>
    <row r="43" ht="12.75">
      <c r="C43" s="222"/>
    </row>
  </sheetData>
  <conditionalFormatting sqref="C42:L42">
    <cfRule type="expression" priority="1" dxfId="0" stopIfTrue="1">
      <formula>ABS(C42-C39)/C39&gt;0.01</formula>
    </cfRule>
  </conditionalFormatting>
  <printOptions horizontalCentered="1"/>
  <pageMargins left="0.5" right="0.5" top="0.5" bottom="0.5" header="0.5" footer="0.29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70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26.8515625" style="0" customWidth="1"/>
    <col min="3" max="3" width="12.8515625" style="0" customWidth="1"/>
    <col min="4" max="4" width="13.421875" style="0" customWidth="1"/>
    <col min="5" max="5" width="19.8515625" style="0" customWidth="1"/>
    <col min="6" max="9" width="11.7109375" style="1" customWidth="1"/>
  </cols>
  <sheetData>
    <row r="1" spans="1:2" ht="15.75">
      <c r="A1" s="2" t="s">
        <v>153</v>
      </c>
      <c r="B1" s="3"/>
    </row>
    <row r="2" spans="1:2" ht="15.75">
      <c r="A2" s="2"/>
      <c r="B2" s="3"/>
    </row>
    <row r="3" spans="1:3" ht="13.5" thickBot="1">
      <c r="A3" s="1"/>
      <c r="B3" s="1"/>
      <c r="C3" s="1"/>
    </row>
    <row r="4" spans="1:3" ht="12.75">
      <c r="A4" s="8" t="s">
        <v>202</v>
      </c>
      <c r="B4" s="299">
        <v>1020</v>
      </c>
      <c r="C4" s="1"/>
    </row>
    <row r="5" spans="1:3" ht="12.75">
      <c r="A5" s="40" t="s">
        <v>201</v>
      </c>
      <c r="B5" s="313">
        <v>1200</v>
      </c>
      <c r="C5" s="1"/>
    </row>
    <row r="6" spans="1:3" ht="12.75">
      <c r="A6" s="9" t="s">
        <v>203</v>
      </c>
      <c r="B6" s="312">
        <v>8710</v>
      </c>
      <c r="C6" s="1"/>
    </row>
    <row r="7" spans="1:3" ht="13.5" thickBot="1">
      <c r="A7" s="10" t="s">
        <v>204</v>
      </c>
      <c r="B7" s="298">
        <v>100</v>
      </c>
      <c r="C7" s="1"/>
    </row>
    <row r="8" spans="1:3" ht="12.75">
      <c r="A8" s="1"/>
      <c r="B8" s="1"/>
      <c r="C8" s="1"/>
    </row>
    <row r="9" spans="1:3" ht="12.75">
      <c r="A9" s="257" t="s">
        <v>13</v>
      </c>
      <c r="B9" s="1"/>
      <c r="C9" s="1"/>
    </row>
    <row r="10" spans="1:3" ht="12.75">
      <c r="A10" s="257"/>
      <c r="B10" s="1"/>
      <c r="C10" s="1"/>
    </row>
    <row r="11" spans="1:3" ht="12.75">
      <c r="A11" s="161" t="s">
        <v>149</v>
      </c>
      <c r="B11" s="278">
        <v>47</v>
      </c>
      <c r="C11" s="1"/>
    </row>
    <row r="12" spans="1:3" ht="12.75">
      <c r="A12" s="161" t="s">
        <v>171</v>
      </c>
      <c r="B12" s="279">
        <v>3000</v>
      </c>
      <c r="C12" s="1"/>
    </row>
    <row r="13" spans="1:3" ht="12.75">
      <c r="A13" s="161" t="s">
        <v>172</v>
      </c>
      <c r="B13" s="280" t="s">
        <v>173</v>
      </c>
      <c r="C13" s="1"/>
    </row>
    <row r="14" spans="1:3" ht="13.5" thickBot="1">
      <c r="A14" s="1"/>
      <c r="B14" s="1"/>
      <c r="C14" s="1"/>
    </row>
    <row r="15" spans="1:9" ht="12.75">
      <c r="A15" s="135"/>
      <c r="B15" s="136" t="s">
        <v>17</v>
      </c>
      <c r="C15" s="137"/>
      <c r="D15" s="136"/>
      <c r="E15" s="135" t="s">
        <v>17</v>
      </c>
      <c r="F15" s="138" t="s">
        <v>110</v>
      </c>
      <c r="G15" s="139"/>
      <c r="H15" s="139"/>
      <c r="I15" s="140"/>
    </row>
    <row r="16" spans="1:9" ht="13.5" thickBot="1">
      <c r="A16" s="143" t="s">
        <v>0</v>
      </c>
      <c r="B16" s="141" t="s">
        <v>18</v>
      </c>
      <c r="C16" s="141" t="s">
        <v>85</v>
      </c>
      <c r="D16" s="142" t="s">
        <v>83</v>
      </c>
      <c r="E16" s="143" t="s">
        <v>111</v>
      </c>
      <c r="F16" s="115" t="s">
        <v>1</v>
      </c>
      <c r="G16" s="144" t="s">
        <v>14</v>
      </c>
      <c r="H16" s="144" t="s">
        <v>15</v>
      </c>
      <c r="I16" s="145" t="s">
        <v>2</v>
      </c>
    </row>
    <row r="17" spans="1:9" ht="12.75">
      <c r="A17" s="55" t="s">
        <v>108</v>
      </c>
      <c r="B17" s="56" t="s">
        <v>154</v>
      </c>
      <c r="C17" s="56">
        <v>20</v>
      </c>
      <c r="D17" s="57" t="s">
        <v>82</v>
      </c>
      <c r="E17" s="58">
        <f>C17*1.194*10^-7*$B$6*(20.9/(20.9-3))</f>
        <v>0.02428542636871508</v>
      </c>
      <c r="F17" s="59">
        <f aca="true" t="shared" si="0" ref="F17:F48">E17*$B$11</f>
        <v>1.1414150393296087</v>
      </c>
      <c r="G17" s="60">
        <f aca="true" t="shared" si="1" ref="G17:G84">F17*24</f>
        <v>27.39396094391061</v>
      </c>
      <c r="H17" s="60">
        <f>G17*365</f>
        <v>9998.795744527373</v>
      </c>
      <c r="I17" s="162">
        <f>H17/2000</f>
        <v>4.999397872263686</v>
      </c>
    </row>
    <row r="18" spans="1:9" ht="12.75">
      <c r="A18" s="62" t="s">
        <v>109</v>
      </c>
      <c r="B18" s="63" t="s">
        <v>155</v>
      </c>
      <c r="C18" s="64" t="s">
        <v>123</v>
      </c>
      <c r="D18" s="65"/>
      <c r="E18" s="66">
        <f>$B$7/$B$5/379.4*64.0588</f>
        <v>0.01407019855912845</v>
      </c>
      <c r="F18" s="67">
        <f t="shared" si="0"/>
        <v>0.6612993322790371</v>
      </c>
      <c r="G18" s="68">
        <f t="shared" si="1"/>
        <v>15.87118397469689</v>
      </c>
      <c r="H18" s="68">
        <f>G18*365</f>
        <v>5792.982150764365</v>
      </c>
      <c r="I18" s="163">
        <f>H18/2000</f>
        <v>2.8964910753821824</v>
      </c>
    </row>
    <row r="19" spans="1:9" ht="12.75">
      <c r="A19" s="62" t="s">
        <v>16</v>
      </c>
      <c r="B19" s="63" t="s">
        <v>154</v>
      </c>
      <c r="C19" s="71">
        <f>IF($B$11&lt;=50,50,10)</f>
        <v>50</v>
      </c>
      <c r="D19" s="72" t="s">
        <v>82</v>
      </c>
      <c r="E19" s="66">
        <f>C19*((1.194*10^-7)/46.0055*28.0104)*$B$6*(20.9/(20.9-3))</f>
        <v>0.03696539037496913</v>
      </c>
      <c r="F19" s="67">
        <f t="shared" si="0"/>
        <v>1.7373733476235493</v>
      </c>
      <c r="G19" s="68">
        <f t="shared" si="1"/>
        <v>41.696960342965184</v>
      </c>
      <c r="H19" s="68">
        <f>G19*365</f>
        <v>15219.390525182293</v>
      </c>
      <c r="I19" s="163">
        <f>H19/2000</f>
        <v>7.6096952625911465</v>
      </c>
    </row>
    <row r="20" spans="1:9" ht="12.75">
      <c r="A20" s="62" t="s">
        <v>3</v>
      </c>
      <c r="B20" s="74" t="s">
        <v>45</v>
      </c>
      <c r="C20" s="74">
        <v>5.5</v>
      </c>
      <c r="D20" s="73" t="s">
        <v>84</v>
      </c>
      <c r="E20" s="70">
        <f aca="true" t="shared" si="2" ref="E20:E32">C20/$B$4</f>
        <v>0.005392156862745098</v>
      </c>
      <c r="F20" s="75">
        <f t="shared" si="0"/>
        <v>0.2534313725490196</v>
      </c>
      <c r="G20" s="68">
        <f t="shared" si="1"/>
        <v>6.08235294117647</v>
      </c>
      <c r="H20" s="68">
        <f>G20*365</f>
        <v>2220.0588235294117</v>
      </c>
      <c r="I20" s="163">
        <f>H20/2000</f>
        <v>1.1100294117647058</v>
      </c>
    </row>
    <row r="21" spans="1:9" ht="15.75">
      <c r="A21" s="62" t="s">
        <v>151</v>
      </c>
      <c r="B21" s="74" t="s">
        <v>45</v>
      </c>
      <c r="C21" s="74">
        <v>7.6</v>
      </c>
      <c r="D21" s="73" t="s">
        <v>84</v>
      </c>
      <c r="E21" s="70">
        <f t="shared" si="2"/>
        <v>0.007450980392156863</v>
      </c>
      <c r="F21" s="67">
        <f t="shared" si="0"/>
        <v>0.35019607843137257</v>
      </c>
      <c r="G21" s="68">
        <f t="shared" si="1"/>
        <v>8.404705882352943</v>
      </c>
      <c r="H21" s="68">
        <f>G21*365</f>
        <v>3067.7176470588242</v>
      </c>
      <c r="I21" s="163">
        <f>H21/2000</f>
        <v>1.5338588235294122</v>
      </c>
    </row>
    <row r="22" spans="1:9" ht="12.75">
      <c r="A22" s="62" t="s">
        <v>34</v>
      </c>
      <c r="B22" s="74" t="s">
        <v>44</v>
      </c>
      <c r="C22" s="76">
        <v>0.0058</v>
      </c>
      <c r="D22" s="73" t="s">
        <v>84</v>
      </c>
      <c r="E22" s="77">
        <f t="shared" si="2"/>
        <v>5.686274509803921E-06</v>
      </c>
      <c r="F22" s="271">
        <f t="shared" si="0"/>
        <v>0.0002672549019607843</v>
      </c>
      <c r="G22" s="264">
        <f t="shared" si="1"/>
        <v>0.006414117647058824</v>
      </c>
      <c r="H22" s="264">
        <f aca="true" t="shared" si="3" ref="H22:H48">G22*365</f>
        <v>2.3411529411764707</v>
      </c>
      <c r="I22" s="265">
        <f aca="true" t="shared" si="4" ref="I22:I48">H22/2000</f>
        <v>0.0011705764705882353</v>
      </c>
    </row>
    <row r="23" spans="1:9" ht="12.75">
      <c r="A23" s="62" t="s">
        <v>35</v>
      </c>
      <c r="B23" s="74" t="s">
        <v>44</v>
      </c>
      <c r="C23" s="76">
        <v>0.0123</v>
      </c>
      <c r="D23" s="73" t="s">
        <v>84</v>
      </c>
      <c r="E23" s="77">
        <f t="shared" si="2"/>
        <v>1.2058823529411765E-05</v>
      </c>
      <c r="F23" s="271">
        <f t="shared" si="0"/>
        <v>0.000566764705882353</v>
      </c>
      <c r="G23" s="264">
        <f t="shared" si="1"/>
        <v>0.013602352941176472</v>
      </c>
      <c r="H23" s="264">
        <f t="shared" si="3"/>
        <v>4.964858823529412</v>
      </c>
      <c r="I23" s="265">
        <f t="shared" si="4"/>
        <v>0.002482429411764706</v>
      </c>
    </row>
    <row r="24" spans="1:9" ht="12.75">
      <c r="A24" s="54" t="s">
        <v>36</v>
      </c>
      <c r="B24" s="74" t="s">
        <v>44</v>
      </c>
      <c r="C24" s="76">
        <f>0.0004-C25</f>
        <v>0.00010000000000000005</v>
      </c>
      <c r="D24" s="73" t="s">
        <v>84</v>
      </c>
      <c r="E24" s="77">
        <f t="shared" si="2"/>
        <v>9.803921568627456E-08</v>
      </c>
      <c r="F24" s="271">
        <f t="shared" si="0"/>
        <v>4.607843137254905E-06</v>
      </c>
      <c r="G24" s="264">
        <f t="shared" si="1"/>
        <v>0.00011058823529411772</v>
      </c>
      <c r="H24" s="264">
        <f t="shared" si="3"/>
        <v>0.04036470588235297</v>
      </c>
      <c r="I24" s="265">
        <f t="shared" si="4"/>
        <v>2.0182352941176486E-05</v>
      </c>
    </row>
    <row r="25" spans="1:9" ht="12.75">
      <c r="A25" s="62" t="s">
        <v>37</v>
      </c>
      <c r="B25" s="74" t="s">
        <v>44</v>
      </c>
      <c r="C25" s="76">
        <v>0.0003</v>
      </c>
      <c r="D25" s="73" t="s">
        <v>84</v>
      </c>
      <c r="E25" s="77">
        <f t="shared" si="2"/>
        <v>2.941176470588235E-07</v>
      </c>
      <c r="F25" s="271">
        <f t="shared" si="0"/>
        <v>1.3823529411764705E-05</v>
      </c>
      <c r="G25" s="264">
        <f t="shared" si="1"/>
        <v>0.0003317647058823529</v>
      </c>
      <c r="H25" s="264">
        <f t="shared" si="3"/>
        <v>0.12109411764705881</v>
      </c>
      <c r="I25" s="265">
        <f t="shared" si="4"/>
        <v>6.05470588235294E-05</v>
      </c>
    </row>
    <row r="26" spans="1:9" ht="12.75">
      <c r="A26" s="62" t="s">
        <v>38</v>
      </c>
      <c r="B26" s="74" t="s">
        <v>44</v>
      </c>
      <c r="C26" s="76">
        <v>0.0031</v>
      </c>
      <c r="D26" s="73" t="s">
        <v>84</v>
      </c>
      <c r="E26" s="77">
        <f t="shared" si="2"/>
        <v>3.03921568627451E-06</v>
      </c>
      <c r="F26" s="271">
        <f t="shared" si="0"/>
        <v>0.00014284313725490197</v>
      </c>
      <c r="G26" s="264">
        <f t="shared" si="1"/>
        <v>0.0034282352941176473</v>
      </c>
      <c r="H26" s="264">
        <f t="shared" si="3"/>
        <v>1.2513058823529413</v>
      </c>
      <c r="I26" s="265">
        <f t="shared" si="4"/>
        <v>0.0006256529411764706</v>
      </c>
    </row>
    <row r="27" spans="1:9" ht="12.75">
      <c r="A27" s="62" t="s">
        <v>39</v>
      </c>
      <c r="B27" s="74" t="s">
        <v>44</v>
      </c>
      <c r="C27" s="76">
        <v>0.0027</v>
      </c>
      <c r="D27" s="73" t="s">
        <v>84</v>
      </c>
      <c r="E27" s="77">
        <f t="shared" si="2"/>
        <v>2.647058823529412E-06</v>
      </c>
      <c r="F27" s="271">
        <f t="shared" si="0"/>
        <v>0.00012441176470588236</v>
      </c>
      <c r="G27" s="264">
        <f t="shared" si="1"/>
        <v>0.0029858823529411768</v>
      </c>
      <c r="H27" s="264">
        <f t="shared" si="3"/>
        <v>1.0898470588235296</v>
      </c>
      <c r="I27" s="265">
        <f t="shared" si="4"/>
        <v>0.0005449235294117648</v>
      </c>
    </row>
    <row r="28" spans="1:9" ht="12.75">
      <c r="A28" s="62" t="s">
        <v>40</v>
      </c>
      <c r="B28" s="74" t="s">
        <v>44</v>
      </c>
      <c r="C28" s="76">
        <v>0.53</v>
      </c>
      <c r="D28" s="73" t="s">
        <v>84</v>
      </c>
      <c r="E28" s="77">
        <f t="shared" si="2"/>
        <v>0.000519607843137255</v>
      </c>
      <c r="F28" s="271">
        <f t="shared" si="0"/>
        <v>0.02442156862745098</v>
      </c>
      <c r="G28" s="264">
        <f t="shared" si="1"/>
        <v>0.5861176470588235</v>
      </c>
      <c r="H28" s="264">
        <f t="shared" si="3"/>
        <v>213.9329411764706</v>
      </c>
      <c r="I28" s="265">
        <f t="shared" si="4"/>
        <v>0.1069664705882353</v>
      </c>
    </row>
    <row r="29" spans="1:9" ht="12.75">
      <c r="A29" s="62" t="s">
        <v>41</v>
      </c>
      <c r="B29" s="74" t="s">
        <v>44</v>
      </c>
      <c r="C29" s="76">
        <v>0.0265</v>
      </c>
      <c r="D29" s="73" t="s">
        <v>84</v>
      </c>
      <c r="E29" s="77">
        <f t="shared" si="2"/>
        <v>2.5980392156862744E-05</v>
      </c>
      <c r="F29" s="271">
        <f t="shared" si="0"/>
        <v>0.001221078431372549</v>
      </c>
      <c r="G29" s="264">
        <f t="shared" si="1"/>
        <v>0.029305882352941175</v>
      </c>
      <c r="H29" s="264">
        <f t="shared" si="3"/>
        <v>10.69664705882353</v>
      </c>
      <c r="I29" s="265">
        <f t="shared" si="4"/>
        <v>0.005348323529411765</v>
      </c>
    </row>
    <row r="30" spans="1:9" ht="12.75">
      <c r="A30" s="62" t="s">
        <v>42</v>
      </c>
      <c r="B30" s="74" t="s">
        <v>44</v>
      </c>
      <c r="C30" s="76">
        <v>0.0197</v>
      </c>
      <c r="D30" s="73" t="s">
        <v>84</v>
      </c>
      <c r="E30" s="77">
        <f t="shared" si="2"/>
        <v>1.9313725490196076E-05</v>
      </c>
      <c r="F30" s="271">
        <f t="shared" si="0"/>
        <v>0.0009077450980392156</v>
      </c>
      <c r="G30" s="264">
        <f t="shared" si="1"/>
        <v>0.021785882352941176</v>
      </c>
      <c r="H30" s="264">
        <f t="shared" si="3"/>
        <v>7.951847058823529</v>
      </c>
      <c r="I30" s="265">
        <f t="shared" si="4"/>
        <v>0.0039759235294117646</v>
      </c>
    </row>
    <row r="31" spans="1:9" ht="12.75">
      <c r="A31" s="62" t="s">
        <v>43</v>
      </c>
      <c r="B31" s="74" t="s">
        <v>44</v>
      </c>
      <c r="C31" s="76">
        <v>0.0069</v>
      </c>
      <c r="D31" s="73" t="s">
        <v>84</v>
      </c>
      <c r="E31" s="77">
        <f t="shared" si="2"/>
        <v>6.7647058823529414E-06</v>
      </c>
      <c r="F31" s="271">
        <f t="shared" si="0"/>
        <v>0.0003179411764705882</v>
      </c>
      <c r="G31" s="264">
        <f t="shared" si="1"/>
        <v>0.007630588235294117</v>
      </c>
      <c r="H31" s="264">
        <f t="shared" si="3"/>
        <v>2.785164705882353</v>
      </c>
      <c r="I31" s="265">
        <f t="shared" si="4"/>
        <v>0.0013925823529411766</v>
      </c>
    </row>
    <row r="32" spans="1:9" ht="12.75">
      <c r="A32" s="62" t="s">
        <v>139</v>
      </c>
      <c r="B32" s="74" t="s">
        <v>44</v>
      </c>
      <c r="C32" s="76">
        <v>0.0046</v>
      </c>
      <c r="D32" s="73" t="s">
        <v>84</v>
      </c>
      <c r="E32" s="77">
        <f t="shared" si="2"/>
        <v>4.509803921568627E-06</v>
      </c>
      <c r="F32" s="271">
        <f t="shared" si="0"/>
        <v>0.00021196078431372548</v>
      </c>
      <c r="G32" s="264">
        <f t="shared" si="1"/>
        <v>0.0050870588235294115</v>
      </c>
      <c r="H32" s="264">
        <f t="shared" si="3"/>
        <v>1.8567764705882353</v>
      </c>
      <c r="I32" s="265">
        <f t="shared" si="4"/>
        <v>0.0009283882352941177</v>
      </c>
    </row>
    <row r="33" spans="1:9" ht="12.75">
      <c r="A33" s="62" t="s">
        <v>118</v>
      </c>
      <c r="B33" s="74" t="s">
        <v>45</v>
      </c>
      <c r="C33" s="269">
        <v>0.0002</v>
      </c>
      <c r="D33" s="73" t="s">
        <v>84</v>
      </c>
      <c r="E33" s="77">
        <f aca="true" t="shared" si="5" ref="E33:E48">C33/$B$4</f>
        <v>1.9607843137254904E-07</v>
      </c>
      <c r="F33" s="271">
        <f t="shared" si="0"/>
        <v>9.215686274509804E-06</v>
      </c>
      <c r="G33" s="264">
        <f t="shared" si="1"/>
        <v>0.0002211764705882353</v>
      </c>
      <c r="H33" s="264">
        <f t="shared" si="3"/>
        <v>0.08072941176470588</v>
      </c>
      <c r="I33" s="265">
        <f t="shared" si="4"/>
        <v>4.0364705882352944E-05</v>
      </c>
    </row>
    <row r="34" spans="1:9" ht="12.75">
      <c r="A34" s="62" t="s">
        <v>184</v>
      </c>
      <c r="B34" s="74" t="s">
        <v>45</v>
      </c>
      <c r="C34" s="269">
        <v>0.0044</v>
      </c>
      <c r="D34" s="73" t="s">
        <v>84</v>
      </c>
      <c r="E34" s="77">
        <f t="shared" si="5"/>
        <v>4.313725490196079E-06</v>
      </c>
      <c r="F34" s="271">
        <f t="shared" si="0"/>
        <v>0.0002027450980392157</v>
      </c>
      <c r="G34" s="264">
        <f t="shared" si="1"/>
        <v>0.0048658823529411765</v>
      </c>
      <c r="H34" s="264">
        <f t="shared" si="3"/>
        <v>1.7760470588235293</v>
      </c>
      <c r="I34" s="265">
        <f t="shared" si="4"/>
        <v>0.0008880235294117647</v>
      </c>
    </row>
    <row r="35" spans="1:9" ht="12.75">
      <c r="A35" s="62" t="s">
        <v>185</v>
      </c>
      <c r="B35" s="74" t="s">
        <v>45</v>
      </c>
      <c r="C35" s="269">
        <v>1.2E-05</v>
      </c>
      <c r="D35" s="73" t="s">
        <v>84</v>
      </c>
      <c r="E35" s="77">
        <f t="shared" si="5"/>
        <v>1.176470588235294E-08</v>
      </c>
      <c r="F35" s="271">
        <f t="shared" si="0"/>
        <v>5.529411764705882E-07</v>
      </c>
      <c r="G35" s="264">
        <f t="shared" si="1"/>
        <v>1.3270588235294116E-05</v>
      </c>
      <c r="H35" s="264">
        <f t="shared" si="3"/>
        <v>0.004843764705882352</v>
      </c>
      <c r="I35" s="265">
        <f t="shared" si="4"/>
        <v>2.421882352941176E-06</v>
      </c>
    </row>
    <row r="36" spans="1:9" ht="12.75">
      <c r="A36" s="62" t="s">
        <v>165</v>
      </c>
      <c r="B36" s="74" t="s">
        <v>45</v>
      </c>
      <c r="C36" s="269">
        <v>0.0011</v>
      </c>
      <c r="D36" s="73" t="s">
        <v>84</v>
      </c>
      <c r="E36" s="77">
        <f t="shared" si="5"/>
        <v>1.0784313725490197E-06</v>
      </c>
      <c r="F36" s="271">
        <f t="shared" si="0"/>
        <v>5.068627450980392E-05</v>
      </c>
      <c r="G36" s="264">
        <f t="shared" si="1"/>
        <v>0.0012164705882352941</v>
      </c>
      <c r="H36" s="264">
        <f t="shared" si="3"/>
        <v>0.44401176470588233</v>
      </c>
      <c r="I36" s="265">
        <f t="shared" si="4"/>
        <v>0.00022200588235294117</v>
      </c>
    </row>
    <row r="37" spans="1:9" ht="12.75">
      <c r="A37" s="62" t="s">
        <v>166</v>
      </c>
      <c r="B37" s="74" t="s">
        <v>272</v>
      </c>
      <c r="C37" s="269">
        <f>0.0014*95%</f>
        <v>0.00133</v>
      </c>
      <c r="D37" s="73" t="s">
        <v>84</v>
      </c>
      <c r="E37" s="77">
        <f t="shared" si="5"/>
        <v>1.303921568627451E-06</v>
      </c>
      <c r="F37" s="271">
        <f t="shared" si="0"/>
        <v>6.12843137254902E-05</v>
      </c>
      <c r="G37" s="264">
        <f t="shared" si="1"/>
        <v>0.0014708235294117649</v>
      </c>
      <c r="H37" s="264">
        <f t="shared" si="3"/>
        <v>0.5368505882352942</v>
      </c>
      <c r="I37" s="265">
        <f t="shared" si="4"/>
        <v>0.0002684252941176471</v>
      </c>
    </row>
    <row r="38" spans="1:9" ht="12.75">
      <c r="A38" s="62" t="s">
        <v>195</v>
      </c>
      <c r="B38" s="74" t="s">
        <v>273</v>
      </c>
      <c r="C38" s="269">
        <f>0.0014*5%</f>
        <v>7.000000000000001E-05</v>
      </c>
      <c r="D38" s="73" t="s">
        <v>84</v>
      </c>
      <c r="E38" s="77">
        <f>C38/$B$4</f>
        <v>6.862745098039216E-08</v>
      </c>
      <c r="F38" s="271">
        <f t="shared" si="0"/>
        <v>3.2254901960784313E-06</v>
      </c>
      <c r="G38" s="264">
        <f t="shared" si="1"/>
        <v>7.741176470588235E-05</v>
      </c>
      <c r="H38" s="264">
        <f t="shared" si="3"/>
        <v>0.02825529411764706</v>
      </c>
      <c r="I38" s="265">
        <f t="shared" si="4"/>
        <v>1.412764705882353E-05</v>
      </c>
    </row>
    <row r="39" spans="1:9" ht="12.75">
      <c r="A39" s="62" t="s">
        <v>186</v>
      </c>
      <c r="B39" s="74" t="s">
        <v>45</v>
      </c>
      <c r="C39" s="269">
        <v>8.4E-05</v>
      </c>
      <c r="D39" s="73" t="s">
        <v>84</v>
      </c>
      <c r="E39" s="77">
        <f t="shared" si="5"/>
        <v>8.235294117647059E-08</v>
      </c>
      <c r="F39" s="271">
        <f t="shared" si="0"/>
        <v>3.870588235294117E-06</v>
      </c>
      <c r="G39" s="264">
        <f t="shared" si="1"/>
        <v>9.289411764705881E-05</v>
      </c>
      <c r="H39" s="264">
        <f t="shared" si="3"/>
        <v>0.033906352941176464</v>
      </c>
      <c r="I39" s="265">
        <f t="shared" si="4"/>
        <v>1.6953176470588232E-05</v>
      </c>
    </row>
    <row r="40" spans="1:9" ht="12.75">
      <c r="A40" s="62" t="s">
        <v>119</v>
      </c>
      <c r="B40" s="74" t="s">
        <v>45</v>
      </c>
      <c r="C40" s="269">
        <v>0.00085</v>
      </c>
      <c r="D40" s="73" t="s">
        <v>84</v>
      </c>
      <c r="E40" s="77">
        <f t="shared" si="5"/>
        <v>8.333333333333333E-07</v>
      </c>
      <c r="F40" s="271">
        <f t="shared" si="0"/>
        <v>3.9166666666666665E-05</v>
      </c>
      <c r="G40" s="264">
        <f t="shared" si="1"/>
        <v>0.00094</v>
      </c>
      <c r="H40" s="264">
        <f t="shared" si="3"/>
        <v>0.3431</v>
      </c>
      <c r="I40" s="265">
        <f t="shared" si="4"/>
        <v>0.00017155</v>
      </c>
    </row>
    <row r="41" spans="1:9" ht="12.75">
      <c r="A41" s="62" t="s">
        <v>120</v>
      </c>
      <c r="B41" s="74" t="s">
        <v>45</v>
      </c>
      <c r="C41" s="269">
        <v>0.0005</v>
      </c>
      <c r="D41" s="73" t="s">
        <v>84</v>
      </c>
      <c r="E41" s="77">
        <f>C41/$B$4</f>
        <v>4.901960784313725E-07</v>
      </c>
      <c r="F41" s="271">
        <f t="shared" si="0"/>
        <v>2.303921568627451E-05</v>
      </c>
      <c r="G41" s="264">
        <f t="shared" si="1"/>
        <v>0.0005529411764705882</v>
      </c>
      <c r="H41" s="264">
        <f t="shared" si="3"/>
        <v>0.20182352941176468</v>
      </c>
      <c r="I41" s="265">
        <f t="shared" si="4"/>
        <v>0.00010091176470588234</v>
      </c>
    </row>
    <row r="42" spans="1:9" ht="12.75">
      <c r="A42" s="62" t="s">
        <v>167</v>
      </c>
      <c r="B42" s="74" t="s">
        <v>45</v>
      </c>
      <c r="C42" s="269">
        <v>0.00038</v>
      </c>
      <c r="D42" s="73" t="s">
        <v>84</v>
      </c>
      <c r="E42" s="77">
        <f t="shared" si="5"/>
        <v>3.7254901960784315E-07</v>
      </c>
      <c r="F42" s="271">
        <f t="shared" si="0"/>
        <v>1.750980392156863E-05</v>
      </c>
      <c r="G42" s="264">
        <f t="shared" si="1"/>
        <v>0.0004202352941176471</v>
      </c>
      <c r="H42" s="264">
        <f t="shared" si="3"/>
        <v>0.15338588235294118</v>
      </c>
      <c r="I42" s="265">
        <f t="shared" si="4"/>
        <v>7.669294117647058E-05</v>
      </c>
    </row>
    <row r="43" spans="1:9" ht="12.75">
      <c r="A43" s="62" t="s">
        <v>168</v>
      </c>
      <c r="B43" s="74" t="s">
        <v>45</v>
      </c>
      <c r="C43" s="269">
        <v>0.00026</v>
      </c>
      <c r="D43" s="73" t="s">
        <v>84</v>
      </c>
      <c r="E43" s="77">
        <f t="shared" si="5"/>
        <v>2.549019607843137E-07</v>
      </c>
      <c r="F43" s="271">
        <f t="shared" si="0"/>
        <v>1.1980392156862744E-05</v>
      </c>
      <c r="G43" s="264">
        <f t="shared" si="1"/>
        <v>0.00028752941176470585</v>
      </c>
      <c r="H43" s="264">
        <f t="shared" si="3"/>
        <v>0.10494823529411763</v>
      </c>
      <c r="I43" s="265">
        <f t="shared" si="4"/>
        <v>5.2474117647058815E-05</v>
      </c>
    </row>
    <row r="44" spans="1:9" ht="12.75">
      <c r="A44" s="62" t="s">
        <v>187</v>
      </c>
      <c r="B44" s="74" t="s">
        <v>45</v>
      </c>
      <c r="C44" s="269">
        <v>0.0011</v>
      </c>
      <c r="D44" s="73" t="s">
        <v>84</v>
      </c>
      <c r="E44" s="77">
        <f t="shared" si="5"/>
        <v>1.0784313725490197E-06</v>
      </c>
      <c r="F44" s="271">
        <f t="shared" si="0"/>
        <v>5.068627450980392E-05</v>
      </c>
      <c r="G44" s="264">
        <f t="shared" si="1"/>
        <v>0.0012164705882352941</v>
      </c>
      <c r="H44" s="264">
        <f t="shared" si="3"/>
        <v>0.44401176470588233</v>
      </c>
      <c r="I44" s="265">
        <f t="shared" si="4"/>
        <v>0.00022200588235294117</v>
      </c>
    </row>
    <row r="45" spans="1:9" ht="12.75">
      <c r="A45" s="62" t="s">
        <v>117</v>
      </c>
      <c r="B45" s="74" t="s">
        <v>45</v>
      </c>
      <c r="C45" s="269">
        <v>0.0021</v>
      </c>
      <c r="D45" s="73" t="s">
        <v>84</v>
      </c>
      <c r="E45" s="77">
        <f t="shared" si="5"/>
        <v>2.0588235294117645E-06</v>
      </c>
      <c r="F45" s="271">
        <f t="shared" si="0"/>
        <v>9.676470588235293E-05</v>
      </c>
      <c r="G45" s="264">
        <f t="shared" si="1"/>
        <v>0.0023223529411764703</v>
      </c>
      <c r="H45" s="264">
        <f t="shared" si="3"/>
        <v>0.8476588235294117</v>
      </c>
      <c r="I45" s="265">
        <f t="shared" si="4"/>
        <v>0.00042382941176470585</v>
      </c>
    </row>
    <row r="46" spans="1:9" ht="12.75">
      <c r="A46" s="62" t="s">
        <v>169</v>
      </c>
      <c r="B46" s="74" t="s">
        <v>45</v>
      </c>
      <c r="C46" s="269">
        <v>2.4E-05</v>
      </c>
      <c r="D46" s="73" t="s">
        <v>84</v>
      </c>
      <c r="E46" s="77">
        <f t="shared" si="5"/>
        <v>2.352941176470588E-08</v>
      </c>
      <c r="F46" s="271">
        <f t="shared" si="0"/>
        <v>1.1058823529411764E-06</v>
      </c>
      <c r="G46" s="264">
        <f t="shared" si="1"/>
        <v>2.6541176470588233E-05</v>
      </c>
      <c r="H46" s="264">
        <f t="shared" si="3"/>
        <v>0.009687529411764704</v>
      </c>
      <c r="I46" s="265">
        <f t="shared" si="4"/>
        <v>4.843764705882352E-06</v>
      </c>
    </row>
    <row r="47" spans="1:9" ht="12.75">
      <c r="A47" s="62" t="s">
        <v>188</v>
      </c>
      <c r="B47" s="74" t="s">
        <v>45</v>
      </c>
      <c r="C47" s="269">
        <v>0.0023</v>
      </c>
      <c r="D47" s="73" t="s">
        <v>84</v>
      </c>
      <c r="E47" s="77">
        <f t="shared" si="5"/>
        <v>2.2549019607843137E-06</v>
      </c>
      <c r="F47" s="271">
        <f t="shared" si="0"/>
        <v>0.00010598039215686274</v>
      </c>
      <c r="G47" s="264">
        <f t="shared" si="1"/>
        <v>0.0025435294117647058</v>
      </c>
      <c r="H47" s="264">
        <f t="shared" si="3"/>
        <v>0.9283882352941176</v>
      </c>
      <c r="I47" s="265">
        <f t="shared" si="4"/>
        <v>0.00046419411764705884</v>
      </c>
    </row>
    <row r="48" spans="1:9" ht="13.5" thickBot="1">
      <c r="A48" s="78" t="s">
        <v>170</v>
      </c>
      <c r="B48" s="79" t="s">
        <v>45</v>
      </c>
      <c r="C48" s="270">
        <v>0.029</v>
      </c>
      <c r="D48" s="80" t="s">
        <v>84</v>
      </c>
      <c r="E48" s="146">
        <f t="shared" si="5"/>
        <v>2.8431372549019608E-05</v>
      </c>
      <c r="F48" s="272">
        <f t="shared" si="0"/>
        <v>0.0013362745098039217</v>
      </c>
      <c r="G48" s="267">
        <f t="shared" si="1"/>
        <v>0.03207058823529412</v>
      </c>
      <c r="H48" s="267">
        <f t="shared" si="3"/>
        <v>11.705764705882354</v>
      </c>
      <c r="I48" s="268">
        <f t="shared" si="4"/>
        <v>0.0058528823529411765</v>
      </c>
    </row>
    <row r="49" spans="1:9" ht="12.75">
      <c r="A49" s="94"/>
      <c r="B49" s="95"/>
      <c r="C49" s="258"/>
      <c r="D49" s="95"/>
      <c r="E49" s="236"/>
      <c r="F49" s="105"/>
      <c r="G49" s="105"/>
      <c r="H49" s="105"/>
      <c r="I49" s="104"/>
    </row>
    <row r="50" spans="1:9" s="12" customFormat="1" ht="12.75">
      <c r="A50" s="94"/>
      <c r="B50" s="95"/>
      <c r="C50" s="258"/>
      <c r="D50" s="95"/>
      <c r="E50" s="236"/>
      <c r="F50" s="105"/>
      <c r="G50" s="105"/>
      <c r="H50" s="105"/>
      <c r="I50" s="104"/>
    </row>
    <row r="51" spans="1:9" s="12" customFormat="1" ht="12.75">
      <c r="A51" s="257" t="s">
        <v>193</v>
      </c>
      <c r="B51" s="1"/>
      <c r="C51" s="1"/>
      <c r="D51" s="95"/>
      <c r="E51" s="236"/>
      <c r="F51" s="105"/>
      <c r="G51" s="105"/>
      <c r="H51" s="105"/>
      <c r="I51" s="104"/>
    </row>
    <row r="52" spans="1:9" s="12" customFormat="1" ht="12.75">
      <c r="A52" s="257"/>
      <c r="B52" s="1"/>
      <c r="C52" s="1"/>
      <c r="D52" s="95"/>
      <c r="E52" s="236"/>
      <c r="F52" s="105"/>
      <c r="G52" s="105"/>
      <c r="H52" s="105"/>
      <c r="I52" s="104"/>
    </row>
    <row r="53" spans="1:9" s="12" customFormat="1" ht="12.75">
      <c r="A53" s="161" t="s">
        <v>149</v>
      </c>
      <c r="B53" s="278">
        <v>35</v>
      </c>
      <c r="C53" s="1"/>
      <c r="D53" s="95"/>
      <c r="E53" s="236"/>
      <c r="F53" s="105"/>
      <c r="G53" s="105"/>
      <c r="H53" s="105"/>
      <c r="I53" s="104"/>
    </row>
    <row r="54" spans="1:9" s="12" customFormat="1" ht="12.75">
      <c r="A54" s="274" t="s">
        <v>172</v>
      </c>
      <c r="B54" s="280" t="s">
        <v>173</v>
      </c>
      <c r="C54" s="1"/>
      <c r="D54" s="95"/>
      <c r="E54" s="236"/>
      <c r="F54" s="105"/>
      <c r="G54" s="105"/>
      <c r="H54" s="105"/>
      <c r="I54" s="104"/>
    </row>
    <row r="55" spans="1:9" s="12" customFormat="1" ht="13.5" thickBot="1">
      <c r="A55" s="94"/>
      <c r="B55" s="95"/>
      <c r="C55" s="258"/>
      <c r="D55" s="95"/>
      <c r="E55" s="236"/>
      <c r="F55" s="105"/>
      <c r="G55" s="105"/>
      <c r="H55" s="105"/>
      <c r="I55" s="104"/>
    </row>
    <row r="56" spans="1:9" ht="12.75">
      <c r="A56" s="135"/>
      <c r="B56" s="136" t="s">
        <v>17</v>
      </c>
      <c r="C56" s="137"/>
      <c r="D56" s="136"/>
      <c r="E56" s="135" t="s">
        <v>17</v>
      </c>
      <c r="F56" s="138" t="s">
        <v>110</v>
      </c>
      <c r="G56" s="139"/>
      <c r="H56" s="139"/>
      <c r="I56" s="140"/>
    </row>
    <row r="57" spans="1:9" ht="13.5" thickBot="1">
      <c r="A57" s="143" t="s">
        <v>0</v>
      </c>
      <c r="B57" s="141" t="s">
        <v>18</v>
      </c>
      <c r="C57" s="141" t="s">
        <v>85</v>
      </c>
      <c r="D57" s="142" t="s">
        <v>83</v>
      </c>
      <c r="E57" s="143" t="s">
        <v>111</v>
      </c>
      <c r="F57" s="115" t="s">
        <v>1</v>
      </c>
      <c r="G57" s="144" t="s">
        <v>14</v>
      </c>
      <c r="H57" s="144" t="s">
        <v>15</v>
      </c>
      <c r="I57" s="145" t="s">
        <v>2</v>
      </c>
    </row>
    <row r="58" spans="1:9" ht="12.75">
      <c r="A58" s="55" t="s">
        <v>108</v>
      </c>
      <c r="B58" s="56" t="s">
        <v>154</v>
      </c>
      <c r="C58" s="56">
        <v>20</v>
      </c>
      <c r="D58" s="57" t="s">
        <v>82</v>
      </c>
      <c r="E58" s="58">
        <f>C58*1.194*10^-7*$B$6*(20.9/(20.9-3))</f>
        <v>0.02428542636871508</v>
      </c>
      <c r="F58" s="59">
        <f aca="true" t="shared" si="6" ref="F58:F89">E58*$B$53</f>
        <v>0.8499899229050278</v>
      </c>
      <c r="G58" s="60">
        <f t="shared" si="1"/>
        <v>20.399758149720668</v>
      </c>
      <c r="H58" s="60">
        <f>G58*365</f>
        <v>7445.911724648044</v>
      </c>
      <c r="I58" s="162">
        <f>H58/2000</f>
        <v>3.7229558623240218</v>
      </c>
    </row>
    <row r="59" spans="1:9" ht="12.75">
      <c r="A59" s="62" t="s">
        <v>109</v>
      </c>
      <c r="B59" s="63" t="s">
        <v>155</v>
      </c>
      <c r="C59" s="64" t="s">
        <v>123</v>
      </c>
      <c r="D59" s="65"/>
      <c r="E59" s="66">
        <f>$B$7/$B$5/379.4*64.0588</f>
        <v>0.01407019855912845</v>
      </c>
      <c r="F59" s="67">
        <f t="shared" si="6"/>
        <v>0.4924569495694957</v>
      </c>
      <c r="G59" s="68">
        <f t="shared" si="1"/>
        <v>11.818966789667897</v>
      </c>
      <c r="H59" s="68">
        <f>G59*365</f>
        <v>4313.922878228783</v>
      </c>
      <c r="I59" s="163">
        <f>H59/2000</f>
        <v>2.1569614391143914</v>
      </c>
    </row>
    <row r="60" spans="1:9" ht="12.75">
      <c r="A60" s="62" t="s">
        <v>16</v>
      </c>
      <c r="B60" s="63" t="s">
        <v>154</v>
      </c>
      <c r="C60" s="71">
        <f>IF($B$53&lt;=50,50,10)</f>
        <v>50</v>
      </c>
      <c r="D60" s="72" t="s">
        <v>82</v>
      </c>
      <c r="E60" s="66">
        <f>C60*((1.194*10^-7)/46.0055*28.0104)*$B$6*(20.9/(20.9-3))</f>
        <v>0.03696539037496913</v>
      </c>
      <c r="F60" s="67">
        <f t="shared" si="6"/>
        <v>1.2937886631239197</v>
      </c>
      <c r="G60" s="68">
        <f t="shared" si="1"/>
        <v>31.050927914974075</v>
      </c>
      <c r="H60" s="68">
        <f>G60*365</f>
        <v>11333.588688965538</v>
      </c>
      <c r="I60" s="163">
        <f>H60/2000</f>
        <v>5.666794344482769</v>
      </c>
    </row>
    <row r="61" spans="1:9" ht="12.75">
      <c r="A61" s="62" t="s">
        <v>3</v>
      </c>
      <c r="B61" s="74" t="s">
        <v>45</v>
      </c>
      <c r="C61" s="74">
        <v>5.5</v>
      </c>
      <c r="D61" s="73" t="s">
        <v>84</v>
      </c>
      <c r="E61" s="70">
        <f aca="true" t="shared" si="7" ref="E61:E73">C61/$B$4</f>
        <v>0.005392156862745098</v>
      </c>
      <c r="F61" s="75">
        <f t="shared" si="6"/>
        <v>0.18872549019607843</v>
      </c>
      <c r="G61" s="68">
        <f t="shared" si="1"/>
        <v>4.529411764705882</v>
      </c>
      <c r="H61" s="68">
        <f>G61*365</f>
        <v>1653.235294117647</v>
      </c>
      <c r="I61" s="163">
        <f>H61/2000</f>
        <v>0.8266176470588236</v>
      </c>
    </row>
    <row r="62" spans="1:9" ht="15.75">
      <c r="A62" s="62" t="s">
        <v>151</v>
      </c>
      <c r="B62" s="74" t="s">
        <v>45</v>
      </c>
      <c r="C62" s="74">
        <v>7.6</v>
      </c>
      <c r="D62" s="73" t="s">
        <v>84</v>
      </c>
      <c r="E62" s="70">
        <f t="shared" si="7"/>
        <v>0.007450980392156863</v>
      </c>
      <c r="F62" s="67">
        <f t="shared" si="6"/>
        <v>0.2607843137254902</v>
      </c>
      <c r="G62" s="68">
        <f t="shared" si="1"/>
        <v>6.258823529411766</v>
      </c>
      <c r="H62" s="68">
        <f>G62*365</f>
        <v>2284.4705882352946</v>
      </c>
      <c r="I62" s="163">
        <f>H62/2000</f>
        <v>1.1422352941176472</v>
      </c>
    </row>
    <row r="63" spans="1:9" ht="12.75">
      <c r="A63" s="62" t="s">
        <v>34</v>
      </c>
      <c r="B63" s="74" t="s">
        <v>44</v>
      </c>
      <c r="C63" s="76">
        <v>0.0058</v>
      </c>
      <c r="D63" s="73" t="s">
        <v>84</v>
      </c>
      <c r="E63" s="77">
        <f t="shared" si="7"/>
        <v>5.686274509803921E-06</v>
      </c>
      <c r="F63" s="271">
        <f t="shared" si="6"/>
        <v>0.00019901960784313725</v>
      </c>
      <c r="G63" s="264">
        <f t="shared" si="1"/>
        <v>0.0047764705882352935</v>
      </c>
      <c r="H63" s="264">
        <f aca="true" t="shared" si="8" ref="H63:H89">G63*365</f>
        <v>1.7434117647058822</v>
      </c>
      <c r="I63" s="265">
        <f aca="true" t="shared" si="9" ref="I63:I89">H63/2000</f>
        <v>0.0008717058823529411</v>
      </c>
    </row>
    <row r="64" spans="1:9" ht="12.75">
      <c r="A64" s="62" t="s">
        <v>35</v>
      </c>
      <c r="B64" s="74" t="s">
        <v>44</v>
      </c>
      <c r="C64" s="76">
        <v>0.0123</v>
      </c>
      <c r="D64" s="73" t="s">
        <v>84</v>
      </c>
      <c r="E64" s="77">
        <f t="shared" si="7"/>
        <v>1.2058823529411765E-05</v>
      </c>
      <c r="F64" s="271">
        <f t="shared" si="6"/>
        <v>0.00042205882352941177</v>
      </c>
      <c r="G64" s="264">
        <f t="shared" si="1"/>
        <v>0.010129411764705883</v>
      </c>
      <c r="H64" s="264">
        <f t="shared" si="8"/>
        <v>3.6972352941176476</v>
      </c>
      <c r="I64" s="265">
        <f t="shared" si="9"/>
        <v>0.0018486176470588237</v>
      </c>
    </row>
    <row r="65" spans="1:9" ht="12.75">
      <c r="A65" s="54" t="s">
        <v>36</v>
      </c>
      <c r="B65" s="74" t="s">
        <v>44</v>
      </c>
      <c r="C65" s="76">
        <f>0.0004-C66</f>
        <v>0.00010000000000000005</v>
      </c>
      <c r="D65" s="73" t="s">
        <v>84</v>
      </c>
      <c r="E65" s="77">
        <f t="shared" si="7"/>
        <v>9.803921568627456E-08</v>
      </c>
      <c r="F65" s="271">
        <f t="shared" si="6"/>
        <v>3.4313725490196094E-06</v>
      </c>
      <c r="G65" s="264">
        <f t="shared" si="1"/>
        <v>8.235294117647062E-05</v>
      </c>
      <c r="H65" s="264">
        <f t="shared" si="8"/>
        <v>0.030058823529411777</v>
      </c>
      <c r="I65" s="265">
        <f t="shared" si="9"/>
        <v>1.5029411764705889E-05</v>
      </c>
    </row>
    <row r="66" spans="1:9" ht="12.75">
      <c r="A66" s="62" t="s">
        <v>37</v>
      </c>
      <c r="B66" s="74" t="s">
        <v>44</v>
      </c>
      <c r="C66" s="76">
        <v>0.0003</v>
      </c>
      <c r="D66" s="73" t="s">
        <v>84</v>
      </c>
      <c r="E66" s="77">
        <f t="shared" si="7"/>
        <v>2.941176470588235E-07</v>
      </c>
      <c r="F66" s="271">
        <f t="shared" si="6"/>
        <v>1.0294117647058823E-05</v>
      </c>
      <c r="G66" s="264">
        <f t="shared" si="1"/>
        <v>0.00024705882352941174</v>
      </c>
      <c r="H66" s="264">
        <f t="shared" si="8"/>
        <v>0.09017647058823529</v>
      </c>
      <c r="I66" s="265">
        <f t="shared" si="9"/>
        <v>4.5088235294117644E-05</v>
      </c>
    </row>
    <row r="67" spans="1:9" ht="12.75">
      <c r="A67" s="62" t="s">
        <v>38</v>
      </c>
      <c r="B67" s="74" t="s">
        <v>44</v>
      </c>
      <c r="C67" s="76">
        <v>0.0031</v>
      </c>
      <c r="D67" s="73" t="s">
        <v>84</v>
      </c>
      <c r="E67" s="77">
        <f t="shared" si="7"/>
        <v>3.03921568627451E-06</v>
      </c>
      <c r="F67" s="271">
        <f t="shared" si="6"/>
        <v>0.00010637254901960784</v>
      </c>
      <c r="G67" s="264">
        <f t="shared" si="1"/>
        <v>0.002552941176470588</v>
      </c>
      <c r="H67" s="264">
        <f t="shared" si="8"/>
        <v>0.9318235294117647</v>
      </c>
      <c r="I67" s="265">
        <f t="shared" si="9"/>
        <v>0.00046591176470588234</v>
      </c>
    </row>
    <row r="68" spans="1:9" ht="12.75">
      <c r="A68" s="62" t="s">
        <v>39</v>
      </c>
      <c r="B68" s="74" t="s">
        <v>44</v>
      </c>
      <c r="C68" s="76">
        <v>0.0027</v>
      </c>
      <c r="D68" s="73" t="s">
        <v>84</v>
      </c>
      <c r="E68" s="77">
        <f t="shared" si="7"/>
        <v>2.647058823529412E-06</v>
      </c>
      <c r="F68" s="271">
        <f t="shared" si="6"/>
        <v>9.264705882352942E-05</v>
      </c>
      <c r="G68" s="264">
        <f t="shared" si="1"/>
        <v>0.002223529411764706</v>
      </c>
      <c r="H68" s="264">
        <f t="shared" si="8"/>
        <v>0.8115882352941176</v>
      </c>
      <c r="I68" s="265">
        <f t="shared" si="9"/>
        <v>0.00040579411764705883</v>
      </c>
    </row>
    <row r="69" spans="1:9" ht="12.75">
      <c r="A69" s="62" t="s">
        <v>40</v>
      </c>
      <c r="B69" s="74" t="s">
        <v>44</v>
      </c>
      <c r="C69" s="76">
        <v>0.53</v>
      </c>
      <c r="D69" s="73" t="s">
        <v>84</v>
      </c>
      <c r="E69" s="77">
        <f t="shared" si="7"/>
        <v>0.000519607843137255</v>
      </c>
      <c r="F69" s="271">
        <f t="shared" si="6"/>
        <v>0.018186274509803924</v>
      </c>
      <c r="G69" s="264">
        <f t="shared" si="1"/>
        <v>0.43647058823529417</v>
      </c>
      <c r="H69" s="264">
        <f t="shared" si="8"/>
        <v>159.31176470588238</v>
      </c>
      <c r="I69" s="265">
        <f t="shared" si="9"/>
        <v>0.07965588235294119</v>
      </c>
    </row>
    <row r="70" spans="1:9" ht="12.75">
      <c r="A70" s="62" t="s">
        <v>41</v>
      </c>
      <c r="B70" s="74" t="s">
        <v>44</v>
      </c>
      <c r="C70" s="76">
        <v>0.0265</v>
      </c>
      <c r="D70" s="73" t="s">
        <v>84</v>
      </c>
      <c r="E70" s="77">
        <f t="shared" si="7"/>
        <v>2.5980392156862744E-05</v>
      </c>
      <c r="F70" s="271">
        <f t="shared" si="6"/>
        <v>0.000909313725490196</v>
      </c>
      <c r="G70" s="264">
        <f t="shared" si="1"/>
        <v>0.021823529411764707</v>
      </c>
      <c r="H70" s="264">
        <f t="shared" si="8"/>
        <v>7.965588235294118</v>
      </c>
      <c r="I70" s="265">
        <f t="shared" si="9"/>
        <v>0.003982794117647059</v>
      </c>
    </row>
    <row r="71" spans="1:9" ht="12.75">
      <c r="A71" s="62" t="s">
        <v>42</v>
      </c>
      <c r="B71" s="74" t="s">
        <v>44</v>
      </c>
      <c r="C71" s="76">
        <v>0.0197</v>
      </c>
      <c r="D71" s="73" t="s">
        <v>84</v>
      </c>
      <c r="E71" s="77">
        <f t="shared" si="7"/>
        <v>1.9313725490196076E-05</v>
      </c>
      <c r="F71" s="271">
        <f t="shared" si="6"/>
        <v>0.0006759803921568626</v>
      </c>
      <c r="G71" s="264">
        <f t="shared" si="1"/>
        <v>0.016223529411764703</v>
      </c>
      <c r="H71" s="264">
        <f t="shared" si="8"/>
        <v>5.9215882352941165</v>
      </c>
      <c r="I71" s="265">
        <f t="shared" si="9"/>
        <v>0.0029607941176470584</v>
      </c>
    </row>
    <row r="72" spans="1:9" ht="12.75">
      <c r="A72" s="62" t="s">
        <v>43</v>
      </c>
      <c r="B72" s="74" t="s">
        <v>44</v>
      </c>
      <c r="C72" s="76">
        <v>0.0069</v>
      </c>
      <c r="D72" s="73" t="s">
        <v>84</v>
      </c>
      <c r="E72" s="77">
        <f t="shared" si="7"/>
        <v>6.7647058823529414E-06</v>
      </c>
      <c r="F72" s="271">
        <f t="shared" si="6"/>
        <v>0.00023676470588235296</v>
      </c>
      <c r="G72" s="264">
        <f t="shared" si="1"/>
        <v>0.005682352941176471</v>
      </c>
      <c r="H72" s="264">
        <f t="shared" si="8"/>
        <v>2.0740588235294117</v>
      </c>
      <c r="I72" s="265">
        <f t="shared" si="9"/>
        <v>0.001037029411764706</v>
      </c>
    </row>
    <row r="73" spans="1:9" ht="12.75">
      <c r="A73" s="62" t="s">
        <v>139</v>
      </c>
      <c r="B73" s="74" t="s">
        <v>44</v>
      </c>
      <c r="C73" s="76">
        <v>0.0046</v>
      </c>
      <c r="D73" s="73" t="s">
        <v>84</v>
      </c>
      <c r="E73" s="77">
        <f t="shared" si="7"/>
        <v>4.509803921568627E-06</v>
      </c>
      <c r="F73" s="271">
        <f t="shared" si="6"/>
        <v>0.00015784313725490196</v>
      </c>
      <c r="G73" s="264">
        <f t="shared" si="1"/>
        <v>0.003788235294117647</v>
      </c>
      <c r="H73" s="264">
        <f t="shared" si="8"/>
        <v>1.3827058823529412</v>
      </c>
      <c r="I73" s="265">
        <f t="shared" si="9"/>
        <v>0.0006913529411764706</v>
      </c>
    </row>
    <row r="74" spans="1:9" ht="12.75">
      <c r="A74" s="62" t="s">
        <v>118</v>
      </c>
      <c r="B74" s="74" t="s">
        <v>45</v>
      </c>
      <c r="C74" s="269">
        <v>0.0002</v>
      </c>
      <c r="D74" s="73" t="s">
        <v>84</v>
      </c>
      <c r="E74" s="77">
        <f aca="true" t="shared" si="10" ref="E74:E89">C74/$B$4</f>
        <v>1.9607843137254904E-07</v>
      </c>
      <c r="F74" s="271">
        <f t="shared" si="6"/>
        <v>6.862745098039216E-06</v>
      </c>
      <c r="G74" s="264">
        <f t="shared" si="1"/>
        <v>0.0001647058823529412</v>
      </c>
      <c r="H74" s="264">
        <f t="shared" si="8"/>
        <v>0.06011764705882353</v>
      </c>
      <c r="I74" s="265">
        <f t="shared" si="9"/>
        <v>3.0058823529411767E-05</v>
      </c>
    </row>
    <row r="75" spans="1:9" ht="12.75">
      <c r="A75" s="62" t="s">
        <v>184</v>
      </c>
      <c r="B75" s="74" t="s">
        <v>45</v>
      </c>
      <c r="C75" s="269">
        <v>0.0044</v>
      </c>
      <c r="D75" s="73" t="s">
        <v>84</v>
      </c>
      <c r="E75" s="77">
        <f t="shared" si="10"/>
        <v>4.313725490196079E-06</v>
      </c>
      <c r="F75" s="271">
        <f t="shared" si="6"/>
        <v>0.00015098039215686275</v>
      </c>
      <c r="G75" s="264">
        <f t="shared" si="1"/>
        <v>0.003623529411764706</v>
      </c>
      <c r="H75" s="264">
        <f t="shared" si="8"/>
        <v>1.3225882352941176</v>
      </c>
      <c r="I75" s="265">
        <f t="shared" si="9"/>
        <v>0.0006612941176470589</v>
      </c>
    </row>
    <row r="76" spans="1:9" ht="12.75">
      <c r="A76" s="62" t="s">
        <v>185</v>
      </c>
      <c r="B76" s="74" t="s">
        <v>45</v>
      </c>
      <c r="C76" s="269">
        <v>1.2E-05</v>
      </c>
      <c r="D76" s="73" t="s">
        <v>84</v>
      </c>
      <c r="E76" s="77">
        <f t="shared" si="10"/>
        <v>1.176470588235294E-08</v>
      </c>
      <c r="F76" s="271">
        <f t="shared" si="6"/>
        <v>4.1176470588235295E-07</v>
      </c>
      <c r="G76" s="264">
        <f t="shared" si="1"/>
        <v>9.88235294117647E-06</v>
      </c>
      <c r="H76" s="264">
        <f t="shared" si="8"/>
        <v>0.003607058823529412</v>
      </c>
      <c r="I76" s="265">
        <f t="shared" si="9"/>
        <v>1.803529411764706E-06</v>
      </c>
    </row>
    <row r="77" spans="1:9" ht="12.75">
      <c r="A77" s="62" t="s">
        <v>165</v>
      </c>
      <c r="B77" s="74" t="s">
        <v>45</v>
      </c>
      <c r="C77" s="269">
        <v>0.0011</v>
      </c>
      <c r="D77" s="73" t="s">
        <v>84</v>
      </c>
      <c r="E77" s="77">
        <f t="shared" si="10"/>
        <v>1.0784313725490197E-06</v>
      </c>
      <c r="F77" s="271">
        <f t="shared" si="6"/>
        <v>3.774509803921569E-05</v>
      </c>
      <c r="G77" s="264">
        <f t="shared" si="1"/>
        <v>0.0009058823529411765</v>
      </c>
      <c r="H77" s="264">
        <f t="shared" si="8"/>
        <v>0.3306470588235294</v>
      </c>
      <c r="I77" s="265">
        <f t="shared" si="9"/>
        <v>0.00016532352941176471</v>
      </c>
    </row>
    <row r="78" spans="1:9" ht="12.75">
      <c r="A78" s="62" t="s">
        <v>166</v>
      </c>
      <c r="B78" s="74" t="s">
        <v>272</v>
      </c>
      <c r="C78" s="269">
        <f>0.0014*95%</f>
        <v>0.00133</v>
      </c>
      <c r="D78" s="73" t="s">
        <v>84</v>
      </c>
      <c r="E78" s="77">
        <f t="shared" si="10"/>
        <v>1.303921568627451E-06</v>
      </c>
      <c r="F78" s="271">
        <f t="shared" si="6"/>
        <v>4.563725490196078E-05</v>
      </c>
      <c r="G78" s="264">
        <f t="shared" si="1"/>
        <v>0.0010952941176470589</v>
      </c>
      <c r="H78" s="264">
        <f t="shared" si="8"/>
        <v>0.3997823529411765</v>
      </c>
      <c r="I78" s="265">
        <f t="shared" si="9"/>
        <v>0.00019989117647058825</v>
      </c>
    </row>
    <row r="79" spans="1:9" ht="12.75">
      <c r="A79" s="62" t="s">
        <v>195</v>
      </c>
      <c r="B79" s="74" t="s">
        <v>273</v>
      </c>
      <c r="C79" s="269">
        <f>0.0014*5%</f>
        <v>7.000000000000001E-05</v>
      </c>
      <c r="D79" s="73" t="s">
        <v>84</v>
      </c>
      <c r="E79" s="77">
        <f>C79/$B$4</f>
        <v>6.862745098039216E-08</v>
      </c>
      <c r="F79" s="271">
        <f t="shared" si="6"/>
        <v>2.4019607843137254E-06</v>
      </c>
      <c r="G79" s="264">
        <f t="shared" si="1"/>
        <v>5.764705882352941E-05</v>
      </c>
      <c r="H79" s="264">
        <f t="shared" si="8"/>
        <v>0.021041176470588233</v>
      </c>
      <c r="I79" s="265">
        <f t="shared" si="9"/>
        <v>1.0520588235294117E-05</v>
      </c>
    </row>
    <row r="80" spans="1:9" ht="12.75">
      <c r="A80" s="62" t="s">
        <v>186</v>
      </c>
      <c r="B80" s="74" t="s">
        <v>45</v>
      </c>
      <c r="C80" s="269">
        <v>8.4E-05</v>
      </c>
      <c r="D80" s="73" t="s">
        <v>84</v>
      </c>
      <c r="E80" s="77">
        <f t="shared" si="10"/>
        <v>8.235294117647059E-08</v>
      </c>
      <c r="F80" s="271">
        <f t="shared" si="6"/>
        <v>2.8823529411764704E-06</v>
      </c>
      <c r="G80" s="264">
        <f t="shared" si="1"/>
        <v>6.91764705882353E-05</v>
      </c>
      <c r="H80" s="264">
        <f t="shared" si="8"/>
        <v>0.02524941176470588</v>
      </c>
      <c r="I80" s="265">
        <f t="shared" si="9"/>
        <v>1.262470588235294E-05</v>
      </c>
    </row>
    <row r="81" spans="1:9" ht="12.75">
      <c r="A81" s="62" t="s">
        <v>119</v>
      </c>
      <c r="B81" s="74" t="s">
        <v>45</v>
      </c>
      <c r="C81" s="269">
        <v>0.00085</v>
      </c>
      <c r="D81" s="73" t="s">
        <v>84</v>
      </c>
      <c r="E81" s="77">
        <f t="shared" si="10"/>
        <v>8.333333333333333E-07</v>
      </c>
      <c r="F81" s="271">
        <f>E81*$B$53</f>
        <v>2.9166666666666666E-05</v>
      </c>
      <c r="G81" s="264">
        <f t="shared" si="1"/>
        <v>0.0007</v>
      </c>
      <c r="H81" s="264">
        <f t="shared" si="8"/>
        <v>0.2555</v>
      </c>
      <c r="I81" s="265">
        <f t="shared" si="9"/>
        <v>0.00012775000000000002</v>
      </c>
    </row>
    <row r="82" spans="1:9" ht="12.75">
      <c r="A82" s="62" t="s">
        <v>120</v>
      </c>
      <c r="B82" s="74" t="s">
        <v>45</v>
      </c>
      <c r="C82" s="269">
        <v>0.0005</v>
      </c>
      <c r="D82" s="73" t="s">
        <v>84</v>
      </c>
      <c r="E82" s="77">
        <f>C82/$B$4</f>
        <v>4.901960784313725E-07</v>
      </c>
      <c r="F82" s="271">
        <f t="shared" si="6"/>
        <v>1.715686274509804E-05</v>
      </c>
      <c r="G82" s="264">
        <f t="shared" si="1"/>
        <v>0.0004117647058823529</v>
      </c>
      <c r="H82" s="264">
        <f t="shared" si="8"/>
        <v>0.1502941176470588</v>
      </c>
      <c r="I82" s="265">
        <f t="shared" si="9"/>
        <v>7.51470588235294E-05</v>
      </c>
    </row>
    <row r="83" spans="1:9" ht="12.75">
      <c r="A83" s="62" t="s">
        <v>167</v>
      </c>
      <c r="B83" s="74" t="s">
        <v>45</v>
      </c>
      <c r="C83" s="269">
        <v>0.00038</v>
      </c>
      <c r="D83" s="73" t="s">
        <v>84</v>
      </c>
      <c r="E83" s="77">
        <f t="shared" si="10"/>
        <v>3.7254901960784315E-07</v>
      </c>
      <c r="F83" s="271">
        <f t="shared" si="6"/>
        <v>1.303921568627451E-05</v>
      </c>
      <c r="G83" s="264">
        <f t="shared" si="1"/>
        <v>0.0003129411764705882</v>
      </c>
      <c r="H83" s="264">
        <f t="shared" si="8"/>
        <v>0.1142235294117647</v>
      </c>
      <c r="I83" s="265">
        <f t="shared" si="9"/>
        <v>5.7111764705882346E-05</v>
      </c>
    </row>
    <row r="84" spans="1:9" ht="12.75">
      <c r="A84" s="62" t="s">
        <v>168</v>
      </c>
      <c r="B84" s="74" t="s">
        <v>45</v>
      </c>
      <c r="C84" s="269">
        <v>0.00026</v>
      </c>
      <c r="D84" s="73" t="s">
        <v>84</v>
      </c>
      <c r="E84" s="77">
        <f t="shared" si="10"/>
        <v>2.549019607843137E-07</v>
      </c>
      <c r="F84" s="271">
        <f t="shared" si="6"/>
        <v>8.921568627450979E-06</v>
      </c>
      <c r="G84" s="264">
        <f t="shared" si="1"/>
        <v>0.0002141176470588235</v>
      </c>
      <c r="H84" s="264">
        <f t="shared" si="8"/>
        <v>0.07815294117647058</v>
      </c>
      <c r="I84" s="265">
        <f t="shared" si="9"/>
        <v>3.907647058823529E-05</v>
      </c>
    </row>
    <row r="85" spans="1:9" ht="12.75">
      <c r="A85" s="62" t="s">
        <v>187</v>
      </c>
      <c r="B85" s="74" t="s">
        <v>45</v>
      </c>
      <c r="C85" s="269">
        <v>0.0011</v>
      </c>
      <c r="D85" s="73" t="s">
        <v>84</v>
      </c>
      <c r="E85" s="77">
        <f t="shared" si="10"/>
        <v>1.0784313725490197E-06</v>
      </c>
      <c r="F85" s="271">
        <f t="shared" si="6"/>
        <v>3.774509803921569E-05</v>
      </c>
      <c r="G85" s="264">
        <f>F85*24</f>
        <v>0.0009058823529411765</v>
      </c>
      <c r="H85" s="264">
        <f t="shared" si="8"/>
        <v>0.3306470588235294</v>
      </c>
      <c r="I85" s="265">
        <f t="shared" si="9"/>
        <v>0.00016532352941176471</v>
      </c>
    </row>
    <row r="86" spans="1:9" ht="12.75">
      <c r="A86" s="62" t="s">
        <v>117</v>
      </c>
      <c r="B86" s="74" t="s">
        <v>45</v>
      </c>
      <c r="C86" s="269">
        <v>0.0021</v>
      </c>
      <c r="D86" s="73" t="s">
        <v>84</v>
      </c>
      <c r="E86" s="77">
        <f t="shared" si="10"/>
        <v>2.0588235294117645E-06</v>
      </c>
      <c r="F86" s="271">
        <f t="shared" si="6"/>
        <v>7.205882352941176E-05</v>
      </c>
      <c r="G86" s="264">
        <f>F86*24</f>
        <v>0.001729411764705882</v>
      </c>
      <c r="H86" s="264">
        <f t="shared" si="8"/>
        <v>0.631235294117647</v>
      </c>
      <c r="I86" s="265">
        <f t="shared" si="9"/>
        <v>0.0003156176470588235</v>
      </c>
    </row>
    <row r="87" spans="1:9" ht="12.75">
      <c r="A87" s="62" t="s">
        <v>169</v>
      </c>
      <c r="B87" s="74" t="s">
        <v>45</v>
      </c>
      <c r="C87" s="269">
        <v>2.4E-05</v>
      </c>
      <c r="D87" s="73" t="s">
        <v>84</v>
      </c>
      <c r="E87" s="77">
        <f t="shared" si="10"/>
        <v>2.352941176470588E-08</v>
      </c>
      <c r="F87" s="271">
        <f t="shared" si="6"/>
        <v>8.235294117647059E-07</v>
      </c>
      <c r="G87" s="264">
        <f>F87*24</f>
        <v>1.976470588235294E-05</v>
      </c>
      <c r="H87" s="264">
        <f t="shared" si="8"/>
        <v>0.007214117647058824</v>
      </c>
      <c r="I87" s="265">
        <f t="shared" si="9"/>
        <v>3.607058823529412E-06</v>
      </c>
    </row>
    <row r="88" spans="1:9" ht="12.75">
      <c r="A88" s="62" t="s">
        <v>188</v>
      </c>
      <c r="B88" s="74" t="s">
        <v>45</v>
      </c>
      <c r="C88" s="269">
        <v>0.0023</v>
      </c>
      <c r="D88" s="73" t="s">
        <v>84</v>
      </c>
      <c r="E88" s="77">
        <f t="shared" si="10"/>
        <v>2.2549019607843137E-06</v>
      </c>
      <c r="F88" s="271">
        <f t="shared" si="6"/>
        <v>7.892156862745098E-05</v>
      </c>
      <c r="G88" s="264">
        <f>F88*24</f>
        <v>0.0018941176470588235</v>
      </c>
      <c r="H88" s="264">
        <f t="shared" si="8"/>
        <v>0.6913529411764706</v>
      </c>
      <c r="I88" s="265">
        <f t="shared" si="9"/>
        <v>0.0003456764705882353</v>
      </c>
    </row>
    <row r="89" spans="1:9" ht="13.5" thickBot="1">
      <c r="A89" s="78" t="s">
        <v>170</v>
      </c>
      <c r="B89" s="79" t="s">
        <v>45</v>
      </c>
      <c r="C89" s="270">
        <v>0.029</v>
      </c>
      <c r="D89" s="80" t="s">
        <v>84</v>
      </c>
      <c r="E89" s="146">
        <f t="shared" si="10"/>
        <v>2.8431372549019608E-05</v>
      </c>
      <c r="F89" s="272">
        <f t="shared" si="6"/>
        <v>0.0009950980392156863</v>
      </c>
      <c r="G89" s="267">
        <f>F89*24</f>
        <v>0.023882352941176473</v>
      </c>
      <c r="H89" s="267">
        <f t="shared" si="8"/>
        <v>8.717058823529413</v>
      </c>
      <c r="I89" s="268">
        <f t="shared" si="9"/>
        <v>0.004358529411764706</v>
      </c>
    </row>
    <row r="90" spans="1:9" s="12" customFormat="1" ht="12.75">
      <c r="A90" s="94"/>
      <c r="B90" s="95"/>
      <c r="C90" s="258"/>
      <c r="D90" s="95"/>
      <c r="E90" s="236"/>
      <c r="F90" s="105"/>
      <c r="G90" s="105"/>
      <c r="H90" s="105"/>
      <c r="I90" s="104"/>
    </row>
    <row r="91" spans="1:9" s="12" customFormat="1" ht="12.75">
      <c r="A91" s="94"/>
      <c r="B91" s="95"/>
      <c r="C91" s="258"/>
      <c r="D91" s="95"/>
      <c r="E91" s="236"/>
      <c r="F91" s="105"/>
      <c r="G91" s="105"/>
      <c r="H91" s="105"/>
      <c r="I91" s="104"/>
    </row>
    <row r="92" spans="1:9" s="12" customFormat="1" ht="12.75">
      <c r="A92" s="261" t="s">
        <v>4</v>
      </c>
      <c r="B92" s="95"/>
      <c r="C92" s="258"/>
      <c r="D92" s="95"/>
      <c r="E92" s="236"/>
      <c r="F92" s="105"/>
      <c r="G92" s="105"/>
      <c r="H92" s="105"/>
      <c r="I92" s="104"/>
    </row>
    <row r="93" spans="1:9" s="12" customFormat="1" ht="12.75">
      <c r="A93" s="261"/>
      <c r="B93" s="95"/>
      <c r="C93" s="258"/>
      <c r="D93" s="95"/>
      <c r="E93" s="236"/>
      <c r="F93" s="105"/>
      <c r="G93" s="105"/>
      <c r="H93" s="105"/>
      <c r="I93" s="104"/>
    </row>
    <row r="94" spans="1:9" s="12" customFormat="1" ht="12.75">
      <c r="A94" s="161" t="s">
        <v>149</v>
      </c>
      <c r="B94" s="278">
        <v>641</v>
      </c>
      <c r="C94" s="258"/>
      <c r="D94" s="95"/>
      <c r="E94" s="236"/>
      <c r="F94" s="105"/>
      <c r="G94" s="105"/>
      <c r="H94" s="105"/>
      <c r="I94" s="104"/>
    </row>
    <row r="95" spans="1:9" s="12" customFormat="1" ht="12.75">
      <c r="A95" s="274" t="s">
        <v>177</v>
      </c>
      <c r="B95" s="281">
        <v>50</v>
      </c>
      <c r="C95" s="258"/>
      <c r="D95" s="95"/>
      <c r="E95" s="236"/>
      <c r="F95" s="105"/>
      <c r="G95" s="105"/>
      <c r="H95" s="105"/>
      <c r="I95" s="104"/>
    </row>
    <row r="96" spans="1:9" s="12" customFormat="1" ht="12.75">
      <c r="A96" s="274" t="s">
        <v>172</v>
      </c>
      <c r="B96" s="237" t="s">
        <v>192</v>
      </c>
      <c r="C96" s="258"/>
      <c r="D96" s="95"/>
      <c r="E96" s="236"/>
      <c r="F96" s="105"/>
      <c r="G96" s="105"/>
      <c r="H96" s="105"/>
      <c r="I96" s="104"/>
    </row>
    <row r="97" spans="1:9" s="12" customFormat="1" ht="13.5" thickBot="1">
      <c r="A97" s="94"/>
      <c r="B97" s="95"/>
      <c r="C97" s="258"/>
      <c r="D97" s="95"/>
      <c r="E97" s="236"/>
      <c r="F97" s="105"/>
      <c r="G97" s="105"/>
      <c r="H97" s="105"/>
      <c r="I97" s="104"/>
    </row>
    <row r="98" spans="1:9" ht="12.75">
      <c r="A98" s="135"/>
      <c r="B98" s="136" t="s">
        <v>17</v>
      </c>
      <c r="C98" s="137"/>
      <c r="D98" s="136"/>
      <c r="E98" s="135" t="s">
        <v>17</v>
      </c>
      <c r="F98" s="138" t="s">
        <v>110</v>
      </c>
      <c r="G98" s="139"/>
      <c r="H98" s="139"/>
      <c r="I98" s="140"/>
    </row>
    <row r="99" spans="1:9" ht="13.5" thickBot="1">
      <c r="A99" s="143" t="s">
        <v>0</v>
      </c>
      <c r="B99" s="141" t="s">
        <v>18</v>
      </c>
      <c r="C99" s="141" t="s">
        <v>85</v>
      </c>
      <c r="D99" s="142" t="s">
        <v>83</v>
      </c>
      <c r="E99" s="143" t="s">
        <v>111</v>
      </c>
      <c r="F99" s="115" t="s">
        <v>1</v>
      </c>
      <c r="G99" s="144" t="s">
        <v>14</v>
      </c>
      <c r="H99" s="144" t="s">
        <v>15</v>
      </c>
      <c r="I99" s="145" t="s">
        <v>2</v>
      </c>
    </row>
    <row r="100" spans="1:9" ht="12.75">
      <c r="A100" s="55" t="s">
        <v>108</v>
      </c>
      <c r="B100" s="56" t="s">
        <v>154</v>
      </c>
      <c r="C100" s="56">
        <v>5</v>
      </c>
      <c r="D100" s="57" t="s">
        <v>82</v>
      </c>
      <c r="E100" s="58">
        <f>C100*1.194*10^-7*$B$6*(20.9/(20.9-3))</f>
        <v>0.00607135659217877</v>
      </c>
      <c r="F100" s="59">
        <f aca="true" t="shared" si="11" ref="F100:F116">E100*$B$94</f>
        <v>3.891739575586592</v>
      </c>
      <c r="G100" s="60">
        <f aca="true" t="shared" si="12" ref="G100:G132">F100*24</f>
        <v>93.40174981407822</v>
      </c>
      <c r="H100" s="60">
        <f aca="true" t="shared" si="13" ref="H100:H105">G100*365</f>
        <v>34091.638682138546</v>
      </c>
      <c r="I100" s="162">
        <f aca="true" t="shared" si="14" ref="I100:I105">H100/2000</f>
        <v>17.045819341069272</v>
      </c>
    </row>
    <row r="101" spans="1:9" ht="12.75">
      <c r="A101" s="62" t="s">
        <v>109</v>
      </c>
      <c r="B101" s="63" t="s">
        <v>155</v>
      </c>
      <c r="C101" s="64" t="s">
        <v>123</v>
      </c>
      <c r="D101" s="65"/>
      <c r="E101" s="66">
        <f>$B$7/$B$5/379.4*64.0588</f>
        <v>0.01407019855912845</v>
      </c>
      <c r="F101" s="67">
        <f t="shared" si="11"/>
        <v>9.018997276401336</v>
      </c>
      <c r="G101" s="68">
        <f t="shared" si="12"/>
        <v>216.45593463363207</v>
      </c>
      <c r="H101" s="68">
        <f t="shared" si="13"/>
        <v>79006.41614127571</v>
      </c>
      <c r="I101" s="163">
        <f t="shared" si="14"/>
        <v>39.503208070637854</v>
      </c>
    </row>
    <row r="102" spans="1:9" ht="12.75">
      <c r="A102" s="62" t="s">
        <v>16</v>
      </c>
      <c r="B102" s="63" t="s">
        <v>154</v>
      </c>
      <c r="C102" s="71">
        <f>IF(B94&lt;=50,50,10)</f>
        <v>10</v>
      </c>
      <c r="D102" s="72" t="s">
        <v>82</v>
      </c>
      <c r="E102" s="66">
        <f>C102*((1.194*10^-7)/46.0055*28.0104)*$B$6*(20.9/(20.9-3))</f>
        <v>0.007393078074993827</v>
      </c>
      <c r="F102" s="67">
        <f t="shared" si="11"/>
        <v>4.738963046071043</v>
      </c>
      <c r="G102" s="68">
        <f t="shared" si="12"/>
        <v>113.73511310570504</v>
      </c>
      <c r="H102" s="68">
        <f t="shared" si="13"/>
        <v>41513.31628358234</v>
      </c>
      <c r="I102" s="163">
        <f t="shared" si="14"/>
        <v>20.75665814179117</v>
      </c>
    </row>
    <row r="103" spans="1:9" ht="12.75">
      <c r="A103" s="62" t="s">
        <v>3</v>
      </c>
      <c r="B103" s="74" t="s">
        <v>45</v>
      </c>
      <c r="C103" s="74">
        <v>5.5</v>
      </c>
      <c r="D103" s="73" t="s">
        <v>84</v>
      </c>
      <c r="E103" s="70">
        <f aca="true" t="shared" si="15" ref="E103:E116">C103/$B$4</f>
        <v>0.005392156862745098</v>
      </c>
      <c r="F103" s="67">
        <f t="shared" si="11"/>
        <v>3.456372549019608</v>
      </c>
      <c r="G103" s="68">
        <f t="shared" si="12"/>
        <v>82.95294117647059</v>
      </c>
      <c r="H103" s="68">
        <f t="shared" si="13"/>
        <v>30277.823529411766</v>
      </c>
      <c r="I103" s="163">
        <f t="shared" si="14"/>
        <v>15.138911764705883</v>
      </c>
    </row>
    <row r="104" spans="1:9" ht="15.75">
      <c r="A104" s="62" t="s">
        <v>151</v>
      </c>
      <c r="B104" s="74" t="s">
        <v>45</v>
      </c>
      <c r="C104" s="74">
        <v>7.6</v>
      </c>
      <c r="D104" s="73" t="s">
        <v>84</v>
      </c>
      <c r="E104" s="70">
        <f t="shared" si="15"/>
        <v>0.007450980392156863</v>
      </c>
      <c r="F104" s="67">
        <f t="shared" si="11"/>
        <v>4.776078431372549</v>
      </c>
      <c r="G104" s="68">
        <f t="shared" si="12"/>
        <v>114.62588235294118</v>
      </c>
      <c r="H104" s="68">
        <f t="shared" si="13"/>
        <v>41838.44705882353</v>
      </c>
      <c r="I104" s="163">
        <f t="shared" si="14"/>
        <v>20.919223529411763</v>
      </c>
    </row>
    <row r="105" spans="1:9" ht="12.75">
      <c r="A105" s="62" t="s">
        <v>112</v>
      </c>
      <c r="B105" s="74" t="s">
        <v>124</v>
      </c>
      <c r="C105" s="74">
        <v>10</v>
      </c>
      <c r="D105" s="73" t="s">
        <v>82</v>
      </c>
      <c r="E105" s="70">
        <f>C105*((1.194*10^-7)/46.0055*17.0304)*$B$6*(20.9/(20.9-3))</f>
        <v>0.004495011740224162</v>
      </c>
      <c r="F105" s="67">
        <f t="shared" si="11"/>
        <v>2.8813025254836875</v>
      </c>
      <c r="G105" s="68">
        <f t="shared" si="12"/>
        <v>69.1512606116085</v>
      </c>
      <c r="H105" s="68">
        <f t="shared" si="13"/>
        <v>25240.210123237106</v>
      </c>
      <c r="I105" s="163">
        <f t="shared" si="14"/>
        <v>12.620105061618553</v>
      </c>
    </row>
    <row r="106" spans="1:9" ht="12.75">
      <c r="A106" s="62" t="s">
        <v>34</v>
      </c>
      <c r="B106" s="74" t="s">
        <v>44</v>
      </c>
      <c r="C106" s="76">
        <v>0.0017</v>
      </c>
      <c r="D106" s="73" t="s">
        <v>84</v>
      </c>
      <c r="E106" s="77">
        <f t="shared" si="15"/>
        <v>1.6666666666666667E-06</v>
      </c>
      <c r="F106" s="271">
        <f t="shared" si="11"/>
        <v>0.0010683333333333332</v>
      </c>
      <c r="G106" s="264">
        <f t="shared" si="12"/>
        <v>0.025639999999999996</v>
      </c>
      <c r="H106" s="264">
        <f aca="true" t="shared" si="16" ref="H106:H132">G106*365</f>
        <v>9.3586</v>
      </c>
      <c r="I106" s="265">
        <f aca="true" t="shared" si="17" ref="I106:I132">H106/2000</f>
        <v>0.0046793</v>
      </c>
    </row>
    <row r="107" spans="1:9" ht="12.75">
      <c r="A107" s="62" t="s">
        <v>35</v>
      </c>
      <c r="B107" s="74" t="s">
        <v>44</v>
      </c>
      <c r="C107" s="76">
        <v>0.0036</v>
      </c>
      <c r="D107" s="73" t="s">
        <v>84</v>
      </c>
      <c r="E107" s="77">
        <f t="shared" si="15"/>
        <v>3.5294117647058825E-06</v>
      </c>
      <c r="F107" s="271">
        <f t="shared" si="11"/>
        <v>0.0022623529411764706</v>
      </c>
      <c r="G107" s="264">
        <f t="shared" si="12"/>
        <v>0.05429647058823529</v>
      </c>
      <c r="H107" s="264">
        <f t="shared" si="16"/>
        <v>19.818211764705882</v>
      </c>
      <c r="I107" s="265">
        <f t="shared" si="17"/>
        <v>0.00990910588235294</v>
      </c>
    </row>
    <row r="108" spans="1:9" ht="12.75">
      <c r="A108" s="54" t="s">
        <v>36</v>
      </c>
      <c r="B108" s="74" t="s">
        <v>44</v>
      </c>
      <c r="C108" s="76">
        <f>0.0004-C109</f>
        <v>0.00010000000000000005</v>
      </c>
      <c r="D108" s="73" t="s">
        <v>84</v>
      </c>
      <c r="E108" s="77">
        <f t="shared" si="15"/>
        <v>9.803921568627456E-08</v>
      </c>
      <c r="F108" s="271">
        <f t="shared" si="11"/>
        <v>6.284313725490199E-05</v>
      </c>
      <c r="G108" s="264">
        <f t="shared" si="12"/>
        <v>0.001508235294117648</v>
      </c>
      <c r="H108" s="264">
        <f t="shared" si="16"/>
        <v>0.5505058823529415</v>
      </c>
      <c r="I108" s="265">
        <f t="shared" si="17"/>
        <v>0.00027525294117647077</v>
      </c>
    </row>
    <row r="109" spans="1:9" ht="12.75">
      <c r="A109" s="62" t="s">
        <v>37</v>
      </c>
      <c r="B109" s="74" t="s">
        <v>44</v>
      </c>
      <c r="C109" s="76">
        <v>0.0003</v>
      </c>
      <c r="D109" s="73" t="s">
        <v>84</v>
      </c>
      <c r="E109" s="77">
        <f t="shared" si="15"/>
        <v>2.941176470588235E-07</v>
      </c>
      <c r="F109" s="271">
        <f t="shared" si="11"/>
        <v>0.00018852941176470588</v>
      </c>
      <c r="G109" s="264">
        <f t="shared" si="12"/>
        <v>0.004524705882352941</v>
      </c>
      <c r="H109" s="264">
        <f t="shared" si="16"/>
        <v>1.6515176470588235</v>
      </c>
      <c r="I109" s="265">
        <f t="shared" si="17"/>
        <v>0.0008257588235294118</v>
      </c>
    </row>
    <row r="110" spans="1:9" ht="12.75">
      <c r="A110" s="62" t="s">
        <v>38</v>
      </c>
      <c r="B110" s="74" t="s">
        <v>44</v>
      </c>
      <c r="C110" s="76">
        <v>0.0009</v>
      </c>
      <c r="D110" s="73" t="s">
        <v>84</v>
      </c>
      <c r="E110" s="77">
        <f t="shared" si="15"/>
        <v>8.823529411764706E-07</v>
      </c>
      <c r="F110" s="271">
        <f t="shared" si="11"/>
        <v>0.0005655882352941176</v>
      </c>
      <c r="G110" s="264">
        <f t="shared" si="12"/>
        <v>0.013574117647058823</v>
      </c>
      <c r="H110" s="264">
        <f t="shared" si="16"/>
        <v>4.954552941176471</v>
      </c>
      <c r="I110" s="265">
        <f t="shared" si="17"/>
        <v>0.002477276470588235</v>
      </c>
    </row>
    <row r="111" spans="1:9" ht="12.75">
      <c r="A111" s="62" t="s">
        <v>39</v>
      </c>
      <c r="B111" s="74" t="s">
        <v>44</v>
      </c>
      <c r="C111" s="76">
        <v>0.0008</v>
      </c>
      <c r="D111" s="73" t="s">
        <v>84</v>
      </c>
      <c r="E111" s="77">
        <f t="shared" si="15"/>
        <v>7.843137254901962E-07</v>
      </c>
      <c r="F111" s="271">
        <f t="shared" si="11"/>
        <v>0.0005027450980392157</v>
      </c>
      <c r="G111" s="264">
        <f t="shared" si="12"/>
        <v>0.012065882352941176</v>
      </c>
      <c r="H111" s="264">
        <f t="shared" si="16"/>
        <v>4.404047058823529</v>
      </c>
      <c r="I111" s="265">
        <f t="shared" si="17"/>
        <v>0.002202023529411765</v>
      </c>
    </row>
    <row r="112" spans="1:9" ht="12.75">
      <c r="A112" s="62" t="s">
        <v>40</v>
      </c>
      <c r="B112" s="74" t="s">
        <v>44</v>
      </c>
      <c r="C112" s="76">
        <v>0.01553</v>
      </c>
      <c r="D112" s="73" t="s">
        <v>84</v>
      </c>
      <c r="E112" s="77">
        <f t="shared" si="15"/>
        <v>1.5225490196078432E-05</v>
      </c>
      <c r="F112" s="271">
        <f t="shared" si="11"/>
        <v>0.009759539215686275</v>
      </c>
      <c r="G112" s="264">
        <f t="shared" si="12"/>
        <v>0.2342289411764706</v>
      </c>
      <c r="H112" s="264">
        <f t="shared" si="16"/>
        <v>85.49356352941177</v>
      </c>
      <c r="I112" s="265">
        <f t="shared" si="17"/>
        <v>0.042746781764705886</v>
      </c>
    </row>
    <row r="113" spans="1:9" ht="12.75">
      <c r="A113" s="62" t="s">
        <v>41</v>
      </c>
      <c r="B113" s="74" t="s">
        <v>44</v>
      </c>
      <c r="C113" s="76">
        <v>0.0078</v>
      </c>
      <c r="D113" s="73" t="s">
        <v>84</v>
      </c>
      <c r="E113" s="77">
        <f t="shared" si="15"/>
        <v>7.647058823529411E-06</v>
      </c>
      <c r="F113" s="271">
        <f t="shared" si="11"/>
        <v>0.004901764705882353</v>
      </c>
      <c r="G113" s="264">
        <f t="shared" si="12"/>
        <v>0.11764235294117648</v>
      </c>
      <c r="H113" s="264">
        <f t="shared" si="16"/>
        <v>42.939458823529414</v>
      </c>
      <c r="I113" s="265">
        <f t="shared" si="17"/>
        <v>0.021469729411764706</v>
      </c>
    </row>
    <row r="114" spans="1:9" ht="12.75">
      <c r="A114" s="62" t="s">
        <v>42</v>
      </c>
      <c r="B114" s="74" t="s">
        <v>44</v>
      </c>
      <c r="C114" s="76">
        <v>0.0058</v>
      </c>
      <c r="D114" s="73" t="s">
        <v>84</v>
      </c>
      <c r="E114" s="77">
        <f t="shared" si="15"/>
        <v>5.686274509803921E-06</v>
      </c>
      <c r="F114" s="271">
        <f t="shared" si="11"/>
        <v>0.0036449019607843135</v>
      </c>
      <c r="G114" s="264">
        <f t="shared" si="12"/>
        <v>0.08747764705882352</v>
      </c>
      <c r="H114" s="264">
        <f t="shared" si="16"/>
        <v>31.929341176470587</v>
      </c>
      <c r="I114" s="265">
        <f t="shared" si="17"/>
        <v>0.015964670588235294</v>
      </c>
    </row>
    <row r="115" spans="1:9" ht="12.75">
      <c r="A115" s="62" t="s">
        <v>43</v>
      </c>
      <c r="B115" s="74" t="s">
        <v>44</v>
      </c>
      <c r="C115" s="76">
        <v>0.002</v>
      </c>
      <c r="D115" s="73" t="s">
        <v>84</v>
      </c>
      <c r="E115" s="77">
        <f t="shared" si="15"/>
        <v>1.96078431372549E-06</v>
      </c>
      <c r="F115" s="271">
        <f t="shared" si="11"/>
        <v>0.0012568627450980391</v>
      </c>
      <c r="G115" s="264">
        <f t="shared" si="12"/>
        <v>0.03016470588235294</v>
      </c>
      <c r="H115" s="264">
        <f t="shared" si="16"/>
        <v>11.010117647058824</v>
      </c>
      <c r="I115" s="265">
        <f t="shared" si="17"/>
        <v>0.0055050588235294115</v>
      </c>
    </row>
    <row r="116" spans="1:9" ht="12.75">
      <c r="A116" s="62" t="s">
        <v>139</v>
      </c>
      <c r="B116" s="74" t="s">
        <v>44</v>
      </c>
      <c r="C116" s="76">
        <v>0.0013</v>
      </c>
      <c r="D116" s="73" t="s">
        <v>84</v>
      </c>
      <c r="E116" s="77">
        <f t="shared" si="15"/>
        <v>1.2745098039215686E-06</v>
      </c>
      <c r="F116" s="271">
        <f t="shared" si="11"/>
        <v>0.0008169607843137254</v>
      </c>
      <c r="G116" s="264">
        <f t="shared" si="12"/>
        <v>0.01960705882352941</v>
      </c>
      <c r="H116" s="264">
        <f t="shared" si="16"/>
        <v>7.156576470588235</v>
      </c>
      <c r="I116" s="265">
        <f t="shared" si="17"/>
        <v>0.0035782882352941177</v>
      </c>
    </row>
    <row r="117" spans="1:9" ht="12.75">
      <c r="A117" s="62" t="s">
        <v>118</v>
      </c>
      <c r="B117" s="74" t="s">
        <v>45</v>
      </c>
      <c r="C117" s="269">
        <v>0.0002</v>
      </c>
      <c r="D117" s="73" t="s">
        <v>84</v>
      </c>
      <c r="E117" s="77">
        <f aca="true" t="shared" si="18" ref="E117:E132">C117/$B$4</f>
        <v>1.9607843137254904E-07</v>
      </c>
      <c r="F117" s="271">
        <f aca="true" t="shared" si="19" ref="F117:F132">E117*$B$94</f>
        <v>0.00012568627450980393</v>
      </c>
      <c r="G117" s="264">
        <f t="shared" si="12"/>
        <v>0.003016470588235294</v>
      </c>
      <c r="H117" s="264">
        <f t="shared" si="16"/>
        <v>1.1010117647058824</v>
      </c>
      <c r="I117" s="265">
        <f t="shared" si="17"/>
        <v>0.0005505058823529412</v>
      </c>
    </row>
    <row r="118" spans="1:9" ht="12.75">
      <c r="A118" s="62" t="s">
        <v>184</v>
      </c>
      <c r="B118" s="74" t="s">
        <v>45</v>
      </c>
      <c r="C118" s="269">
        <v>0.0044</v>
      </c>
      <c r="D118" s="73" t="s">
        <v>84</v>
      </c>
      <c r="E118" s="77">
        <f t="shared" si="18"/>
        <v>4.313725490196079E-06</v>
      </c>
      <c r="F118" s="271">
        <f t="shared" si="19"/>
        <v>0.0027650980392156864</v>
      </c>
      <c r="G118" s="264">
        <f t="shared" si="12"/>
        <v>0.06636235294117647</v>
      </c>
      <c r="H118" s="264">
        <f t="shared" si="16"/>
        <v>24.222258823529412</v>
      </c>
      <c r="I118" s="265">
        <f t="shared" si="17"/>
        <v>0.012111129411764706</v>
      </c>
    </row>
    <row r="119" spans="1:9" ht="12.75">
      <c r="A119" s="62" t="s">
        <v>185</v>
      </c>
      <c r="B119" s="74" t="s">
        <v>45</v>
      </c>
      <c r="C119" s="269">
        <v>1.2E-05</v>
      </c>
      <c r="D119" s="73" t="s">
        <v>84</v>
      </c>
      <c r="E119" s="77">
        <f t="shared" si="18"/>
        <v>1.176470588235294E-08</v>
      </c>
      <c r="F119" s="271">
        <f t="shared" si="19"/>
        <v>7.541176470588235E-06</v>
      </c>
      <c r="G119" s="264">
        <f t="shared" si="12"/>
        <v>0.00018098823529411764</v>
      </c>
      <c r="H119" s="264">
        <f t="shared" si="16"/>
        <v>0.06606070588235294</v>
      </c>
      <c r="I119" s="265">
        <f t="shared" si="17"/>
        <v>3.303035294117647E-05</v>
      </c>
    </row>
    <row r="120" spans="1:9" ht="12.75">
      <c r="A120" s="62" t="s">
        <v>165</v>
      </c>
      <c r="B120" s="74" t="s">
        <v>45</v>
      </c>
      <c r="C120" s="269">
        <v>0.0011</v>
      </c>
      <c r="D120" s="73" t="s">
        <v>84</v>
      </c>
      <c r="E120" s="77">
        <f t="shared" si="18"/>
        <v>1.0784313725490197E-06</v>
      </c>
      <c r="F120" s="271">
        <f t="shared" si="19"/>
        <v>0.0006912745098039216</v>
      </c>
      <c r="G120" s="264">
        <f t="shared" si="12"/>
        <v>0.016590588235294117</v>
      </c>
      <c r="H120" s="264">
        <f t="shared" si="16"/>
        <v>6.055564705882353</v>
      </c>
      <c r="I120" s="265">
        <f t="shared" si="17"/>
        <v>0.0030277823529411764</v>
      </c>
    </row>
    <row r="121" spans="1:9" ht="12.75">
      <c r="A121" s="62" t="s">
        <v>166</v>
      </c>
      <c r="B121" s="74" t="s">
        <v>272</v>
      </c>
      <c r="C121" s="269">
        <f>0.0014*95%</f>
        <v>0.00133</v>
      </c>
      <c r="D121" s="73" t="s">
        <v>84</v>
      </c>
      <c r="E121" s="77">
        <f t="shared" si="18"/>
        <v>1.303921568627451E-06</v>
      </c>
      <c r="F121" s="271">
        <f t="shared" si="19"/>
        <v>0.000835813725490196</v>
      </c>
      <c r="G121" s="264">
        <f t="shared" si="12"/>
        <v>0.020059529411764705</v>
      </c>
      <c r="H121" s="264">
        <f t="shared" si="16"/>
        <v>7.321728235294118</v>
      </c>
      <c r="I121" s="265">
        <f t="shared" si="17"/>
        <v>0.003660864117647059</v>
      </c>
    </row>
    <row r="122" spans="1:9" ht="12.75">
      <c r="A122" s="62" t="s">
        <v>195</v>
      </c>
      <c r="B122" s="74" t="s">
        <v>273</v>
      </c>
      <c r="C122" s="269">
        <f>0.0014*5%</f>
        <v>7.000000000000001E-05</v>
      </c>
      <c r="D122" s="73" t="s">
        <v>84</v>
      </c>
      <c r="E122" s="77">
        <f>C122/$B$4</f>
        <v>6.862745098039216E-08</v>
      </c>
      <c r="F122" s="271">
        <f t="shared" si="19"/>
        <v>4.3990196078431375E-05</v>
      </c>
      <c r="G122" s="264">
        <f t="shared" si="12"/>
        <v>0.001055764705882353</v>
      </c>
      <c r="H122" s="264">
        <f t="shared" si="16"/>
        <v>0.38535411764705885</v>
      </c>
      <c r="I122" s="265">
        <f t="shared" si="17"/>
        <v>0.00019267705882352942</v>
      </c>
    </row>
    <row r="123" spans="1:9" ht="12.75">
      <c r="A123" s="62" t="s">
        <v>186</v>
      </c>
      <c r="B123" s="74" t="s">
        <v>45</v>
      </c>
      <c r="C123" s="269">
        <v>8.4E-05</v>
      </c>
      <c r="D123" s="73" t="s">
        <v>84</v>
      </c>
      <c r="E123" s="77">
        <f t="shared" si="18"/>
        <v>8.235294117647059E-08</v>
      </c>
      <c r="F123" s="271">
        <f t="shared" si="19"/>
        <v>5.278823529411765E-05</v>
      </c>
      <c r="G123" s="264">
        <f t="shared" si="12"/>
        <v>0.0012669176470588236</v>
      </c>
      <c r="H123" s="264">
        <f t="shared" si="16"/>
        <v>0.46242494117647065</v>
      </c>
      <c r="I123" s="265">
        <f t="shared" si="17"/>
        <v>0.00023121247058823533</v>
      </c>
    </row>
    <row r="124" spans="1:9" ht="12.75">
      <c r="A124" s="62" t="s">
        <v>119</v>
      </c>
      <c r="B124" s="74" t="s">
        <v>45</v>
      </c>
      <c r="C124" s="269">
        <v>0.00085</v>
      </c>
      <c r="D124" s="73" t="s">
        <v>84</v>
      </c>
      <c r="E124" s="77">
        <f t="shared" si="18"/>
        <v>8.333333333333333E-07</v>
      </c>
      <c r="F124" s="271">
        <f>E124*$B$94</f>
        <v>0.0005341666666666666</v>
      </c>
      <c r="G124" s="264">
        <f t="shared" si="12"/>
        <v>0.012819999999999998</v>
      </c>
      <c r="H124" s="264">
        <f t="shared" si="16"/>
        <v>4.6793</v>
      </c>
      <c r="I124" s="265">
        <f t="shared" si="17"/>
        <v>0.00233965</v>
      </c>
    </row>
    <row r="125" spans="1:9" ht="12.75">
      <c r="A125" s="62" t="s">
        <v>120</v>
      </c>
      <c r="B125" s="74" t="s">
        <v>45</v>
      </c>
      <c r="C125" s="269">
        <v>0.0005</v>
      </c>
      <c r="D125" s="73" t="s">
        <v>84</v>
      </c>
      <c r="E125" s="77">
        <f>C125/$B$4</f>
        <v>4.901960784313725E-07</v>
      </c>
      <c r="F125" s="271">
        <f t="shared" si="19"/>
        <v>0.0003142156862745098</v>
      </c>
      <c r="G125" s="264">
        <f t="shared" si="12"/>
        <v>0.007541176470588235</v>
      </c>
      <c r="H125" s="264">
        <f t="shared" si="16"/>
        <v>2.752529411764706</v>
      </c>
      <c r="I125" s="265">
        <f t="shared" si="17"/>
        <v>0.0013762647058823529</v>
      </c>
    </row>
    <row r="126" spans="1:9" ht="12.75">
      <c r="A126" s="62" t="s">
        <v>167</v>
      </c>
      <c r="B126" s="74" t="s">
        <v>45</v>
      </c>
      <c r="C126" s="269">
        <v>0.00038</v>
      </c>
      <c r="D126" s="73" t="s">
        <v>84</v>
      </c>
      <c r="E126" s="77">
        <f t="shared" si="18"/>
        <v>3.7254901960784315E-07</v>
      </c>
      <c r="F126" s="271">
        <f t="shared" si="19"/>
        <v>0.00023880392156862745</v>
      </c>
      <c r="G126" s="264">
        <f t="shared" si="12"/>
        <v>0.005731294117647058</v>
      </c>
      <c r="H126" s="264">
        <f t="shared" si="16"/>
        <v>2.091922352941176</v>
      </c>
      <c r="I126" s="265">
        <f t="shared" si="17"/>
        <v>0.0010459611764705881</v>
      </c>
    </row>
    <row r="127" spans="1:9" ht="12.75">
      <c r="A127" s="62" t="s">
        <v>168</v>
      </c>
      <c r="B127" s="74" t="s">
        <v>45</v>
      </c>
      <c r="C127" s="269">
        <v>0.00026</v>
      </c>
      <c r="D127" s="73" t="s">
        <v>84</v>
      </c>
      <c r="E127" s="77">
        <f t="shared" si="18"/>
        <v>2.549019607843137E-07</v>
      </c>
      <c r="F127" s="271">
        <f t="shared" si="19"/>
        <v>0.0001633921568627451</v>
      </c>
      <c r="G127" s="264">
        <f t="shared" si="12"/>
        <v>0.0039214117647058825</v>
      </c>
      <c r="H127" s="264">
        <f t="shared" si="16"/>
        <v>1.431315294117647</v>
      </c>
      <c r="I127" s="265">
        <f t="shared" si="17"/>
        <v>0.0007156576470588235</v>
      </c>
    </row>
    <row r="128" spans="1:9" ht="12.75">
      <c r="A128" s="62" t="s">
        <v>187</v>
      </c>
      <c r="B128" s="74" t="s">
        <v>45</v>
      </c>
      <c r="C128" s="269">
        <v>0.0011</v>
      </c>
      <c r="D128" s="73" t="s">
        <v>84</v>
      </c>
      <c r="E128" s="77">
        <f t="shared" si="18"/>
        <v>1.0784313725490197E-06</v>
      </c>
      <c r="F128" s="271">
        <f t="shared" si="19"/>
        <v>0.0006912745098039216</v>
      </c>
      <c r="G128" s="264">
        <f t="shared" si="12"/>
        <v>0.016590588235294117</v>
      </c>
      <c r="H128" s="264">
        <f t="shared" si="16"/>
        <v>6.055564705882353</v>
      </c>
      <c r="I128" s="265">
        <f t="shared" si="17"/>
        <v>0.0030277823529411764</v>
      </c>
    </row>
    <row r="129" spans="1:9" ht="12.75">
      <c r="A129" s="62" t="s">
        <v>117</v>
      </c>
      <c r="B129" s="74" t="s">
        <v>45</v>
      </c>
      <c r="C129" s="269">
        <v>0.0021</v>
      </c>
      <c r="D129" s="73" t="s">
        <v>84</v>
      </c>
      <c r="E129" s="77">
        <f t="shared" si="18"/>
        <v>2.0588235294117645E-06</v>
      </c>
      <c r="F129" s="271">
        <f t="shared" si="19"/>
        <v>0.0013197058823529412</v>
      </c>
      <c r="G129" s="264">
        <f t="shared" si="12"/>
        <v>0.031672941176470584</v>
      </c>
      <c r="H129" s="264">
        <f t="shared" si="16"/>
        <v>11.560623529411764</v>
      </c>
      <c r="I129" s="265">
        <f t="shared" si="17"/>
        <v>0.005780311764705882</v>
      </c>
    </row>
    <row r="130" spans="1:9" ht="12.75">
      <c r="A130" s="62" t="s">
        <v>169</v>
      </c>
      <c r="B130" s="74" t="s">
        <v>45</v>
      </c>
      <c r="C130" s="269">
        <v>2.4E-05</v>
      </c>
      <c r="D130" s="73" t="s">
        <v>84</v>
      </c>
      <c r="E130" s="77">
        <f t="shared" si="18"/>
        <v>2.352941176470588E-08</v>
      </c>
      <c r="F130" s="271">
        <f t="shared" si="19"/>
        <v>1.508235294117647E-05</v>
      </c>
      <c r="G130" s="264">
        <f t="shared" si="12"/>
        <v>0.0003619764705882353</v>
      </c>
      <c r="H130" s="264">
        <f t="shared" si="16"/>
        <v>0.13212141176470588</v>
      </c>
      <c r="I130" s="265">
        <f t="shared" si="17"/>
        <v>6.606070588235294E-05</v>
      </c>
    </row>
    <row r="131" spans="1:9" ht="12.75">
      <c r="A131" s="62" t="s">
        <v>188</v>
      </c>
      <c r="B131" s="74" t="s">
        <v>45</v>
      </c>
      <c r="C131" s="269">
        <v>0.0023</v>
      </c>
      <c r="D131" s="73" t="s">
        <v>84</v>
      </c>
      <c r="E131" s="77">
        <f t="shared" si="18"/>
        <v>2.2549019607843137E-06</v>
      </c>
      <c r="F131" s="271">
        <f t="shared" si="19"/>
        <v>0.001445392156862745</v>
      </c>
      <c r="G131" s="264">
        <f t="shared" si="12"/>
        <v>0.03468941176470588</v>
      </c>
      <c r="H131" s="264">
        <f t="shared" si="16"/>
        <v>12.661635294117646</v>
      </c>
      <c r="I131" s="265">
        <f t="shared" si="17"/>
        <v>0.006330817647058823</v>
      </c>
    </row>
    <row r="132" spans="1:9" ht="13.5" thickBot="1">
      <c r="A132" s="78" t="s">
        <v>170</v>
      </c>
      <c r="B132" s="79" t="s">
        <v>45</v>
      </c>
      <c r="C132" s="270">
        <v>0.029</v>
      </c>
      <c r="D132" s="80" t="s">
        <v>84</v>
      </c>
      <c r="E132" s="146">
        <f t="shared" si="18"/>
        <v>2.8431372549019608E-05</v>
      </c>
      <c r="F132" s="272">
        <f t="shared" si="19"/>
        <v>0.018224509803921568</v>
      </c>
      <c r="G132" s="267">
        <f t="shared" si="12"/>
        <v>0.43738823529411763</v>
      </c>
      <c r="H132" s="267">
        <f t="shared" si="16"/>
        <v>159.64670588235293</v>
      </c>
      <c r="I132" s="268">
        <f t="shared" si="17"/>
        <v>0.07982335294117647</v>
      </c>
    </row>
    <row r="133" spans="1:9" s="12" customFormat="1" ht="12.75">
      <c r="A133" s="94"/>
      <c r="B133" s="95"/>
      <c r="C133" s="258"/>
      <c r="D133" s="95"/>
      <c r="E133" s="236"/>
      <c r="F133" s="105"/>
      <c r="G133" s="105"/>
      <c r="H133" s="105"/>
      <c r="I133" s="104"/>
    </row>
    <row r="134" spans="1:9" s="12" customFormat="1" ht="12.75">
      <c r="A134" s="94"/>
      <c r="B134" s="95"/>
      <c r="C134" s="258"/>
      <c r="D134" s="95"/>
      <c r="E134" s="236"/>
      <c r="F134" s="105"/>
      <c r="G134" s="105"/>
      <c r="H134" s="105"/>
      <c r="I134" s="104"/>
    </row>
    <row r="135" spans="1:9" s="12" customFormat="1" ht="12.75">
      <c r="A135" s="261" t="s">
        <v>9</v>
      </c>
      <c r="B135" s="95"/>
      <c r="C135" s="258"/>
      <c r="D135" s="95"/>
      <c r="E135" s="236"/>
      <c r="F135" s="105"/>
      <c r="G135" s="105"/>
      <c r="H135" s="105"/>
      <c r="I135" s="104"/>
    </row>
    <row r="136" spans="1:9" s="12" customFormat="1" ht="12.75">
      <c r="A136" s="261"/>
      <c r="B136" s="95"/>
      <c r="C136" s="258"/>
      <c r="D136" s="95"/>
      <c r="E136" s="236"/>
      <c r="F136" s="105"/>
      <c r="G136" s="105"/>
      <c r="H136" s="105"/>
      <c r="I136" s="104"/>
    </row>
    <row r="137" spans="1:9" s="12" customFormat="1" ht="12.75">
      <c r="A137" s="274" t="s">
        <v>178</v>
      </c>
      <c r="B137" s="282">
        <v>9146.8</v>
      </c>
      <c r="C137" s="258"/>
      <c r="D137" s="95"/>
      <c r="E137" s="236"/>
      <c r="F137" s="105"/>
      <c r="G137" s="105"/>
      <c r="H137" s="105"/>
      <c r="I137" s="104"/>
    </row>
    <row r="138" spans="1:9" s="12" customFormat="1" ht="12.75">
      <c r="A138" s="274" t="s">
        <v>178</v>
      </c>
      <c r="B138" s="283">
        <v>273345</v>
      </c>
      <c r="C138" s="258"/>
      <c r="D138" s="95"/>
      <c r="E138" s="236"/>
      <c r="F138" s="105"/>
      <c r="G138" s="105"/>
      <c r="H138" s="105"/>
      <c r="I138" s="104"/>
    </row>
    <row r="139" spans="1:9" s="12" customFormat="1" ht="12.75">
      <c r="A139" s="274" t="s">
        <v>179</v>
      </c>
      <c r="B139" s="284">
        <v>30000</v>
      </c>
      <c r="C139" s="258"/>
      <c r="D139" s="95"/>
      <c r="E139" s="236"/>
      <c r="F139" s="105"/>
      <c r="G139" s="105"/>
      <c r="H139" s="105"/>
      <c r="I139" s="104"/>
    </row>
    <row r="140" spans="1:9" s="12" customFormat="1" ht="12.75">
      <c r="A140" s="274" t="s">
        <v>240</v>
      </c>
      <c r="B140" s="283">
        <v>18487</v>
      </c>
      <c r="C140" s="258"/>
      <c r="D140" s="95"/>
      <c r="E140" s="236"/>
      <c r="F140" s="105"/>
      <c r="G140" s="105"/>
      <c r="H140" s="105"/>
      <c r="I140" s="104"/>
    </row>
    <row r="141" spans="1:9" s="12" customFormat="1" ht="12.75">
      <c r="A141" s="274" t="s">
        <v>172</v>
      </c>
      <c r="B141" s="237" t="s">
        <v>192</v>
      </c>
      <c r="C141" s="258"/>
      <c r="D141" s="95"/>
      <c r="E141" s="236"/>
      <c r="F141" s="105"/>
      <c r="G141" s="105"/>
      <c r="H141" s="105"/>
      <c r="I141" s="104"/>
    </row>
    <row r="142" spans="1:9" s="12" customFormat="1" ht="13.5" thickBot="1">
      <c r="A142" s="94"/>
      <c r="B142" s="95"/>
      <c r="C142" s="258"/>
      <c r="D142" s="95"/>
      <c r="E142" s="236"/>
      <c r="F142" s="105"/>
      <c r="G142" s="105"/>
      <c r="H142" s="105"/>
      <c r="I142" s="104"/>
    </row>
    <row r="143" spans="1:9" ht="12.75">
      <c r="A143" s="135"/>
      <c r="B143" s="136" t="s">
        <v>17</v>
      </c>
      <c r="C143" s="137"/>
      <c r="D143" s="136"/>
      <c r="E143" s="135" t="s">
        <v>17</v>
      </c>
      <c r="F143" s="138" t="s">
        <v>110</v>
      </c>
      <c r="G143" s="139"/>
      <c r="H143" s="139"/>
      <c r="I143" s="140"/>
    </row>
    <row r="144" spans="1:9" ht="13.5" thickBot="1">
      <c r="A144" s="143" t="s">
        <v>0</v>
      </c>
      <c r="B144" s="141" t="s">
        <v>18</v>
      </c>
      <c r="C144" s="141" t="s">
        <v>85</v>
      </c>
      <c r="D144" s="142" t="s">
        <v>83</v>
      </c>
      <c r="E144" s="143" t="s">
        <v>111</v>
      </c>
      <c r="F144" s="115" t="s">
        <v>1</v>
      </c>
      <c r="G144" s="144" t="s">
        <v>14</v>
      </c>
      <c r="H144" s="144" t="s">
        <v>15</v>
      </c>
      <c r="I144" s="145" t="s">
        <v>2</v>
      </c>
    </row>
    <row r="145" spans="1:9" ht="12.75">
      <c r="A145" s="55" t="s">
        <v>259</v>
      </c>
      <c r="B145" s="56" t="s">
        <v>260</v>
      </c>
      <c r="C145" s="56">
        <v>40</v>
      </c>
      <c r="D145" s="81" t="s">
        <v>82</v>
      </c>
      <c r="E145" s="56" t="s">
        <v>89</v>
      </c>
      <c r="F145" s="59">
        <f>(C145/10^6)*$B$137*46.0055</f>
        <v>16.832124295999996</v>
      </c>
      <c r="G145" s="60">
        <f aca="true" t="shared" si="20" ref="G145:G160">F145*24</f>
        <v>403.9709831039999</v>
      </c>
      <c r="H145" s="60"/>
      <c r="I145" s="162"/>
    </row>
    <row r="146" spans="1:9" ht="12.75">
      <c r="A146" s="331" t="s">
        <v>242</v>
      </c>
      <c r="B146" s="350" t="s">
        <v>154</v>
      </c>
      <c r="C146" s="350">
        <v>20</v>
      </c>
      <c r="D146" s="351" t="s">
        <v>82</v>
      </c>
      <c r="E146" s="350" t="s">
        <v>89</v>
      </c>
      <c r="F146" s="352"/>
      <c r="G146" s="353"/>
      <c r="H146" s="353">
        <f>(C146/10^6)*$B$137*46.0055*8760</f>
        <v>73724.70441647999</v>
      </c>
      <c r="I146" s="354">
        <f>H146/2000</f>
        <v>36.86235220824</v>
      </c>
    </row>
    <row r="147" spans="1:9" s="1" customFormat="1" ht="12.75">
      <c r="A147" s="331" t="s">
        <v>108</v>
      </c>
      <c r="B147" s="350" t="s">
        <v>234</v>
      </c>
      <c r="C147" s="355" t="s">
        <v>234</v>
      </c>
      <c r="D147" s="356"/>
      <c r="E147" s="350" t="s">
        <v>89</v>
      </c>
      <c r="F147" s="352">
        <f>F145</f>
        <v>16.832124295999996</v>
      </c>
      <c r="G147" s="353">
        <f>G145</f>
        <v>403.9709831039999</v>
      </c>
      <c r="H147" s="353">
        <f>H146</f>
        <v>73724.70441647999</v>
      </c>
      <c r="I147" s="354">
        <f>I146</f>
        <v>36.86235220824</v>
      </c>
    </row>
    <row r="148" spans="1:9" ht="12.75">
      <c r="A148" s="331" t="s">
        <v>258</v>
      </c>
      <c r="B148" s="350" t="s">
        <v>260</v>
      </c>
      <c r="C148" s="355">
        <v>50</v>
      </c>
      <c r="D148" s="356" t="s">
        <v>82</v>
      </c>
      <c r="E148" s="74" t="s">
        <v>89</v>
      </c>
      <c r="F148" s="67">
        <f>(C148/10^6)*$B$137*64.0588</f>
        <v>29.296651592</v>
      </c>
      <c r="G148" s="68">
        <f t="shared" si="20"/>
        <v>703.119638208</v>
      </c>
      <c r="H148" s="68"/>
      <c r="I148" s="163"/>
    </row>
    <row r="149" spans="1:9" ht="12.75">
      <c r="A149" s="331" t="s">
        <v>243</v>
      </c>
      <c r="B149" s="350" t="s">
        <v>154</v>
      </c>
      <c r="C149" s="355">
        <v>20</v>
      </c>
      <c r="D149" s="356" t="s">
        <v>82</v>
      </c>
      <c r="E149" s="74" t="s">
        <v>89</v>
      </c>
      <c r="F149" s="67"/>
      <c r="G149" s="68"/>
      <c r="H149" s="68">
        <f>(C149/10^6)*$B$137*64.0588*8760</f>
        <v>102655.467178368</v>
      </c>
      <c r="I149" s="163">
        <f aca="true" t="shared" si="21" ref="I149:I160">H149/2000</f>
        <v>51.327733589184</v>
      </c>
    </row>
    <row r="150" spans="1:9" ht="12.75">
      <c r="A150" s="62" t="s">
        <v>109</v>
      </c>
      <c r="B150" s="63" t="s">
        <v>234</v>
      </c>
      <c r="C150" s="71">
        <v>20</v>
      </c>
      <c r="D150" s="229" t="s">
        <v>82</v>
      </c>
      <c r="E150" s="74" t="s">
        <v>89</v>
      </c>
      <c r="F150" s="67">
        <f>F148</f>
        <v>29.296651592</v>
      </c>
      <c r="G150" s="68">
        <f>G148</f>
        <v>703.119638208</v>
      </c>
      <c r="H150" s="68">
        <f>H149</f>
        <v>102655.467178368</v>
      </c>
      <c r="I150" s="163">
        <f>I149</f>
        <v>51.327733589184</v>
      </c>
    </row>
    <row r="151" spans="1:9" ht="12.75">
      <c r="A151" s="62" t="s">
        <v>232</v>
      </c>
      <c r="B151" s="63" t="s">
        <v>154</v>
      </c>
      <c r="C151" s="82">
        <v>500</v>
      </c>
      <c r="D151" s="83" t="s">
        <v>82</v>
      </c>
      <c r="E151" s="74" t="s">
        <v>89</v>
      </c>
      <c r="F151" s="67">
        <f>(C151/10^6)*$B$137*28.0104</f>
        <v>128.10276335999998</v>
      </c>
      <c r="G151" s="68">
        <f t="shared" si="20"/>
        <v>3074.4663206399996</v>
      </c>
      <c r="H151" s="68"/>
      <c r="I151" s="163"/>
    </row>
    <row r="152" spans="1:9" ht="12.75">
      <c r="A152" s="62" t="s">
        <v>233</v>
      </c>
      <c r="B152" s="63" t="s">
        <v>154</v>
      </c>
      <c r="C152" s="82">
        <v>59</v>
      </c>
      <c r="D152" s="83" t="s">
        <v>82</v>
      </c>
      <c r="E152" s="74" t="s">
        <v>89</v>
      </c>
      <c r="F152" s="67"/>
      <c r="G152" s="68"/>
      <c r="H152" s="68">
        <f>(C152/10^6)*$B$137*28.0104*8760</f>
        <v>132417.2644299648</v>
      </c>
      <c r="I152" s="163">
        <f t="shared" si="21"/>
        <v>66.2086322149824</v>
      </c>
    </row>
    <row r="153" spans="1:9" ht="12.75">
      <c r="A153" s="62" t="s">
        <v>16</v>
      </c>
      <c r="B153" s="63" t="s">
        <v>234</v>
      </c>
      <c r="C153" s="347" t="s">
        <v>234</v>
      </c>
      <c r="D153" s="348"/>
      <c r="E153" s="74" t="s">
        <v>89</v>
      </c>
      <c r="F153" s="67">
        <f>F151</f>
        <v>128.10276335999998</v>
      </c>
      <c r="G153" s="68">
        <f>G151</f>
        <v>3074.4663206399996</v>
      </c>
      <c r="H153" s="68">
        <f>H152</f>
        <v>132417.2644299648</v>
      </c>
      <c r="I153" s="163">
        <f>I152</f>
        <v>66.2086322149824</v>
      </c>
    </row>
    <row r="154" spans="1:9" ht="12.75">
      <c r="A154" s="62" t="s">
        <v>3</v>
      </c>
      <c r="B154" s="107" t="s">
        <v>121</v>
      </c>
      <c r="C154" s="74">
        <v>10</v>
      </c>
      <c r="D154" s="86" t="s">
        <v>116</v>
      </c>
      <c r="E154" s="106" t="s">
        <v>89</v>
      </c>
      <c r="F154" s="67">
        <f>$B$138*(C154/1000000)</f>
        <v>2.7334500000000004</v>
      </c>
      <c r="G154" s="68">
        <f t="shared" si="20"/>
        <v>65.6028</v>
      </c>
      <c r="H154" s="68">
        <f aca="true" t="shared" si="22" ref="H154:H160">G154*365</f>
        <v>23945.022</v>
      </c>
      <c r="I154" s="163">
        <f t="shared" si="21"/>
        <v>11.972511</v>
      </c>
    </row>
    <row r="155" spans="1:9" ht="25.5">
      <c r="A155" s="62" t="s">
        <v>151</v>
      </c>
      <c r="B155" s="63" t="s">
        <v>154</v>
      </c>
      <c r="C155" s="82">
        <v>0.5</v>
      </c>
      <c r="D155" s="349" t="s">
        <v>241</v>
      </c>
      <c r="E155" s="74" t="s">
        <v>89</v>
      </c>
      <c r="F155" s="67">
        <f>C155*(B140/1000)</f>
        <v>9.2435</v>
      </c>
      <c r="G155" s="68">
        <f t="shared" si="20"/>
        <v>221.844</v>
      </c>
      <c r="H155" s="68">
        <f t="shared" si="22"/>
        <v>80973.06</v>
      </c>
      <c r="I155" s="163">
        <f t="shared" si="21"/>
        <v>40.48653</v>
      </c>
    </row>
    <row r="156" spans="1:9" ht="12.75">
      <c r="A156" s="62" t="s">
        <v>112</v>
      </c>
      <c r="B156" s="74" t="s">
        <v>124</v>
      </c>
      <c r="C156" s="74">
        <v>10</v>
      </c>
      <c r="D156" s="86" t="s">
        <v>82</v>
      </c>
      <c r="E156" s="74" t="s">
        <v>89</v>
      </c>
      <c r="F156" s="271">
        <f>(C156/10^6)*$B$137*17.0304</f>
        <v>1.5577366272</v>
      </c>
      <c r="G156" s="264">
        <f t="shared" si="20"/>
        <v>37.3856790528</v>
      </c>
      <c r="H156" s="264">
        <f t="shared" si="22"/>
        <v>13645.772854272</v>
      </c>
      <c r="I156" s="265">
        <f t="shared" si="21"/>
        <v>6.822886427136</v>
      </c>
    </row>
    <row r="157" spans="1:9" ht="12.75">
      <c r="A157" s="62" t="s">
        <v>115</v>
      </c>
      <c r="B157" s="74" t="s">
        <v>121</v>
      </c>
      <c r="C157" s="74">
        <v>5</v>
      </c>
      <c r="D157" s="86" t="s">
        <v>116</v>
      </c>
      <c r="E157" s="74" t="s">
        <v>89</v>
      </c>
      <c r="F157" s="271">
        <f>$B$138*(C157/1000000)</f>
        <v>1.3667250000000002</v>
      </c>
      <c r="G157" s="264">
        <f t="shared" si="20"/>
        <v>32.8014</v>
      </c>
      <c r="H157" s="264">
        <f>G157*365</f>
        <v>11972.511</v>
      </c>
      <c r="I157" s="265">
        <f t="shared" si="21"/>
        <v>5.9862555</v>
      </c>
    </row>
    <row r="158" spans="1:9" ht="12.75">
      <c r="A158" s="62" t="s">
        <v>88</v>
      </c>
      <c r="B158" s="74" t="s">
        <v>121</v>
      </c>
      <c r="C158" s="74">
        <v>1</v>
      </c>
      <c r="D158" s="86" t="s">
        <v>116</v>
      </c>
      <c r="E158" s="74" t="s">
        <v>89</v>
      </c>
      <c r="F158" s="271">
        <f>$B$138*(C158/1000000)</f>
        <v>0.273345</v>
      </c>
      <c r="G158" s="264">
        <f t="shared" si="20"/>
        <v>6.5602800000000006</v>
      </c>
      <c r="H158" s="264">
        <f t="shared" si="22"/>
        <v>2394.5022000000004</v>
      </c>
      <c r="I158" s="265">
        <f t="shared" si="21"/>
        <v>1.1972511000000001</v>
      </c>
    </row>
    <row r="159" spans="1:9" ht="12.75">
      <c r="A159" s="62" t="s">
        <v>35</v>
      </c>
      <c r="B159" s="74" t="s">
        <v>121</v>
      </c>
      <c r="C159" s="74">
        <v>1</v>
      </c>
      <c r="D159" s="86" t="s">
        <v>116</v>
      </c>
      <c r="E159" s="74" t="s">
        <v>89</v>
      </c>
      <c r="F159" s="271">
        <f>$B$138*(C159/1000000)</f>
        <v>0.273345</v>
      </c>
      <c r="G159" s="264">
        <f t="shared" si="20"/>
        <v>6.5602800000000006</v>
      </c>
      <c r="H159" s="264">
        <f t="shared" si="22"/>
        <v>2394.5022000000004</v>
      </c>
      <c r="I159" s="265">
        <f t="shared" si="21"/>
        <v>1.1972511000000001</v>
      </c>
    </row>
    <row r="160" spans="1:9" ht="15.75">
      <c r="A160" s="62" t="s">
        <v>150</v>
      </c>
      <c r="B160" s="74" t="s">
        <v>121</v>
      </c>
      <c r="C160" s="74">
        <v>1</v>
      </c>
      <c r="D160" s="86" t="s">
        <v>116</v>
      </c>
      <c r="E160" s="74" t="s">
        <v>89</v>
      </c>
      <c r="F160" s="271">
        <f>$B$138*(C160/1000000)</f>
        <v>0.273345</v>
      </c>
      <c r="G160" s="264">
        <f t="shared" si="20"/>
        <v>6.5602800000000006</v>
      </c>
      <c r="H160" s="264">
        <f t="shared" si="22"/>
        <v>2394.5022000000004</v>
      </c>
      <c r="I160" s="265">
        <f t="shared" si="21"/>
        <v>1.1972511000000001</v>
      </c>
    </row>
    <row r="161" spans="1:9" ht="12.75">
      <c r="A161" s="62" t="s">
        <v>117</v>
      </c>
      <c r="B161" s="74" t="s">
        <v>121</v>
      </c>
      <c r="C161" s="74">
        <v>500</v>
      </c>
      <c r="D161" s="86" t="s">
        <v>152</v>
      </c>
      <c r="E161" s="74" t="s">
        <v>89</v>
      </c>
      <c r="F161" s="271">
        <f>F$155*(C161/1000000)</f>
        <v>0.00462175</v>
      </c>
      <c r="G161" s="264">
        <f>F161*24</f>
        <v>0.11092199999999999</v>
      </c>
      <c r="H161" s="264">
        <f>G161*365</f>
        <v>40.486529999999995</v>
      </c>
      <c r="I161" s="265">
        <f aca="true" t="shared" si="23" ref="I161:I178">H161/2000</f>
        <v>0.020243264999999996</v>
      </c>
    </row>
    <row r="162" spans="1:9" ht="12.75">
      <c r="A162" s="62" t="s">
        <v>118</v>
      </c>
      <c r="B162" s="74" t="s">
        <v>121</v>
      </c>
      <c r="C162" s="74">
        <v>100</v>
      </c>
      <c r="D162" s="86" t="s">
        <v>152</v>
      </c>
      <c r="E162" s="74" t="s">
        <v>89</v>
      </c>
      <c r="F162" s="271">
        <f>F$155*(C162/1000000)</f>
        <v>0.00092435</v>
      </c>
      <c r="G162" s="264">
        <f>F162*24</f>
        <v>0.0221844</v>
      </c>
      <c r="H162" s="264">
        <f>G162*365</f>
        <v>8.097306</v>
      </c>
      <c r="I162" s="265">
        <f t="shared" si="23"/>
        <v>0.004048653</v>
      </c>
    </row>
    <row r="163" spans="1:9" ht="12.75">
      <c r="A163" s="62" t="s">
        <v>119</v>
      </c>
      <c r="B163" s="74" t="s">
        <v>121</v>
      </c>
      <c r="C163" s="74">
        <v>100</v>
      </c>
      <c r="D163" s="86" t="s">
        <v>152</v>
      </c>
      <c r="E163" s="74" t="s">
        <v>89</v>
      </c>
      <c r="F163" s="271">
        <f>F$155*(C163/1000000)</f>
        <v>0.00092435</v>
      </c>
      <c r="G163" s="264">
        <f>F163*24</f>
        <v>0.0221844</v>
      </c>
      <c r="H163" s="264">
        <f>G163*365</f>
        <v>8.097306</v>
      </c>
      <c r="I163" s="265">
        <f t="shared" si="23"/>
        <v>0.004048653</v>
      </c>
    </row>
    <row r="164" spans="1:9" ht="13.5" thickBot="1">
      <c r="A164" s="78" t="s">
        <v>120</v>
      </c>
      <c r="B164" s="79" t="s">
        <v>121</v>
      </c>
      <c r="C164" s="79">
        <v>100</v>
      </c>
      <c r="D164" s="90" t="s">
        <v>152</v>
      </c>
      <c r="E164" s="79" t="s">
        <v>89</v>
      </c>
      <c r="F164" s="272">
        <f>F$155*(C164/1000000)</f>
        <v>0.00092435</v>
      </c>
      <c r="G164" s="267">
        <f>F164*24</f>
        <v>0.0221844</v>
      </c>
      <c r="H164" s="267">
        <f>G164*365</f>
        <v>8.097306</v>
      </c>
      <c r="I164" s="268">
        <f t="shared" si="23"/>
        <v>0.004048653</v>
      </c>
    </row>
    <row r="165" spans="1:9" s="12" customFormat="1" ht="12.75">
      <c r="A165" s="94"/>
      <c r="B165" s="95"/>
      <c r="C165" s="95"/>
      <c r="D165" s="95"/>
      <c r="E165" s="95"/>
      <c r="F165" s="262"/>
      <c r="G165" s="105"/>
      <c r="H165" s="105"/>
      <c r="I165" s="104"/>
    </row>
    <row r="166" spans="1:9" s="12" customFormat="1" ht="12.75">
      <c r="A166" s="94"/>
      <c r="B166" s="95"/>
      <c r="C166" s="95"/>
      <c r="D166" s="95"/>
      <c r="E166" s="95"/>
      <c r="F166" s="262"/>
      <c r="G166" s="105"/>
      <c r="H166" s="105"/>
      <c r="I166" s="104"/>
    </row>
    <row r="167" spans="1:9" s="12" customFormat="1" ht="12.75">
      <c r="A167" s="261" t="s">
        <v>180</v>
      </c>
      <c r="B167" s="95"/>
      <c r="C167" s="95"/>
      <c r="D167" s="95"/>
      <c r="E167" s="95"/>
      <c r="F167" s="262"/>
      <c r="G167" s="105"/>
      <c r="H167" s="105"/>
      <c r="I167" s="104"/>
    </row>
    <row r="168" spans="1:9" s="12" customFormat="1" ht="12.75">
      <c r="A168" s="261"/>
      <c r="B168" s="95"/>
      <c r="C168" s="95"/>
      <c r="D168" s="95"/>
      <c r="E168" s="95"/>
      <c r="F168" s="262"/>
      <c r="G168" s="105"/>
      <c r="H168" s="105"/>
      <c r="I168" s="104"/>
    </row>
    <row r="169" spans="1:9" s="12" customFormat="1" ht="12.75">
      <c r="A169" s="161" t="s">
        <v>149</v>
      </c>
      <c r="B169" s="278">
        <v>89</v>
      </c>
      <c r="C169" s="258"/>
      <c r="D169" s="95"/>
      <c r="E169" s="95"/>
      <c r="F169" s="262"/>
      <c r="G169" s="105"/>
      <c r="H169" s="105"/>
      <c r="I169" s="104"/>
    </row>
    <row r="170" spans="1:9" s="12" customFormat="1" ht="12.75">
      <c r="A170" s="274" t="s">
        <v>264</v>
      </c>
      <c r="B170" s="237">
        <v>8</v>
      </c>
      <c r="C170" s="95"/>
      <c r="D170" s="95"/>
      <c r="E170" s="95"/>
      <c r="F170" s="262"/>
      <c r="G170" s="105"/>
      <c r="H170" s="105"/>
      <c r="I170" s="104"/>
    </row>
    <row r="171" spans="1:9" s="12" customFormat="1" ht="13.5" thickBot="1">
      <c r="A171" s="94"/>
      <c r="B171" s="95"/>
      <c r="C171" s="95"/>
      <c r="D171" s="95"/>
      <c r="E171" s="95"/>
      <c r="F171" s="262"/>
      <c r="G171" s="105"/>
      <c r="H171" s="105"/>
      <c r="I171" s="104"/>
    </row>
    <row r="172" spans="1:9" ht="12.75">
      <c r="A172" s="135"/>
      <c r="B172" s="136" t="s">
        <v>17</v>
      </c>
      <c r="C172" s="137"/>
      <c r="D172" s="136"/>
      <c r="E172" s="135" t="s">
        <v>17</v>
      </c>
      <c r="F172" s="138" t="s">
        <v>110</v>
      </c>
      <c r="G172" s="139"/>
      <c r="H172" s="139"/>
      <c r="I172" s="140"/>
    </row>
    <row r="173" spans="1:9" ht="13.5" thickBot="1">
      <c r="A173" s="143" t="s">
        <v>0</v>
      </c>
      <c r="B173" s="141" t="s">
        <v>18</v>
      </c>
      <c r="C173" s="141" t="s">
        <v>85</v>
      </c>
      <c r="D173" s="142" t="s">
        <v>83</v>
      </c>
      <c r="E173" s="143" t="s">
        <v>111</v>
      </c>
      <c r="F173" s="115" t="s">
        <v>1</v>
      </c>
      <c r="G173" s="144" t="s">
        <v>14</v>
      </c>
      <c r="H173" s="144" t="s">
        <v>15</v>
      </c>
      <c r="I173" s="145" t="s">
        <v>2</v>
      </c>
    </row>
    <row r="174" spans="1:9" ht="12.75">
      <c r="A174" s="55" t="s">
        <v>108</v>
      </c>
      <c r="B174" s="56" t="s">
        <v>160</v>
      </c>
      <c r="C174" s="56">
        <v>100</v>
      </c>
      <c r="D174" s="57" t="s">
        <v>82</v>
      </c>
      <c r="E174" s="84">
        <f>C174*1.194*10^-7*$B$6*(20.9/(20.9-3))</f>
        <v>0.1214271318435754</v>
      </c>
      <c r="F174" s="61">
        <f aca="true" t="shared" si="24" ref="F174:F189">E174*$B$169</f>
        <v>10.80701473407821</v>
      </c>
      <c r="G174" s="60">
        <f>F174*$B$170</f>
        <v>86.45611787262568</v>
      </c>
      <c r="H174" s="60">
        <f>G174</f>
        <v>86.45611787262568</v>
      </c>
      <c r="I174" s="162">
        <f t="shared" si="23"/>
        <v>0.04322805893631284</v>
      </c>
    </row>
    <row r="175" spans="1:9" ht="12.75">
      <c r="A175" s="62" t="s">
        <v>109</v>
      </c>
      <c r="B175" s="63" t="s">
        <v>155</v>
      </c>
      <c r="C175" s="64" t="s">
        <v>123</v>
      </c>
      <c r="D175" s="65"/>
      <c r="E175" s="85">
        <f>$B$7/$B$5/379.4*64.0588</f>
        <v>0.01407019855912845</v>
      </c>
      <c r="F175" s="69">
        <f t="shared" si="24"/>
        <v>1.252247671762432</v>
      </c>
      <c r="G175" s="68">
        <f aca="true" t="shared" si="25" ref="G175:G205">F175*$B$170</f>
        <v>10.017981374099456</v>
      </c>
      <c r="H175" s="68">
        <f aca="true" t="shared" si="26" ref="H175:H205">G175</f>
        <v>10.017981374099456</v>
      </c>
      <c r="I175" s="163">
        <f t="shared" si="23"/>
        <v>0.005008990687049728</v>
      </c>
    </row>
    <row r="176" spans="1:9" ht="12.75">
      <c r="A176" s="62" t="s">
        <v>16</v>
      </c>
      <c r="B176" s="74" t="s">
        <v>160</v>
      </c>
      <c r="C176" s="71">
        <v>100</v>
      </c>
      <c r="D176" s="72" t="s">
        <v>82</v>
      </c>
      <c r="E176" s="85">
        <f>C176*((1.194*10^-7)/46.0055*28.0104)*$B$6*(20.9/(20.9-3))</f>
        <v>0.07393078074993827</v>
      </c>
      <c r="F176" s="69">
        <f t="shared" si="24"/>
        <v>6.579839486744506</v>
      </c>
      <c r="G176" s="68">
        <f t="shared" si="25"/>
        <v>52.638715893956046</v>
      </c>
      <c r="H176" s="68">
        <f t="shared" si="26"/>
        <v>52.638715893956046</v>
      </c>
      <c r="I176" s="163">
        <f t="shared" si="23"/>
        <v>0.026319357946978022</v>
      </c>
    </row>
    <row r="177" spans="1:9" ht="12.75">
      <c r="A177" s="62" t="s">
        <v>3</v>
      </c>
      <c r="B177" s="74" t="s">
        <v>45</v>
      </c>
      <c r="C177" s="74">
        <v>5.5</v>
      </c>
      <c r="D177" s="73" t="s">
        <v>84</v>
      </c>
      <c r="E177" s="87">
        <f aca="true" t="shared" si="27" ref="E177:E189">C177/$B$4</f>
        <v>0.005392156862745098</v>
      </c>
      <c r="F177" s="226">
        <f t="shared" si="24"/>
        <v>0.47990196078431374</v>
      </c>
      <c r="G177" s="68">
        <f t="shared" si="25"/>
        <v>3.83921568627451</v>
      </c>
      <c r="H177" s="68">
        <f t="shared" si="26"/>
        <v>3.83921568627451</v>
      </c>
      <c r="I177" s="163">
        <f t="shared" si="23"/>
        <v>0.001919607843137255</v>
      </c>
    </row>
    <row r="178" spans="1:9" ht="15.75">
      <c r="A178" s="62" t="s">
        <v>151</v>
      </c>
      <c r="B178" s="74" t="s">
        <v>45</v>
      </c>
      <c r="C178" s="74">
        <v>7.6</v>
      </c>
      <c r="D178" s="73" t="s">
        <v>84</v>
      </c>
      <c r="E178" s="87">
        <f t="shared" si="27"/>
        <v>0.007450980392156863</v>
      </c>
      <c r="F178" s="226">
        <f t="shared" si="24"/>
        <v>0.6631372549019607</v>
      </c>
      <c r="G178" s="68">
        <f t="shared" si="25"/>
        <v>5.305098039215686</v>
      </c>
      <c r="H178" s="68">
        <f t="shared" si="26"/>
        <v>5.305098039215686</v>
      </c>
      <c r="I178" s="163">
        <f t="shared" si="23"/>
        <v>0.002652549019607843</v>
      </c>
    </row>
    <row r="179" spans="1:9" ht="12.75">
      <c r="A179" s="62" t="s">
        <v>34</v>
      </c>
      <c r="B179" s="74" t="s">
        <v>44</v>
      </c>
      <c r="C179" s="76">
        <v>0.0058</v>
      </c>
      <c r="D179" s="73" t="s">
        <v>84</v>
      </c>
      <c r="E179" s="88">
        <f t="shared" si="27"/>
        <v>5.686274509803921E-06</v>
      </c>
      <c r="F179" s="263">
        <f t="shared" si="24"/>
        <v>0.000506078431372549</v>
      </c>
      <c r="G179" s="264">
        <f t="shared" si="25"/>
        <v>0.004048627450980392</v>
      </c>
      <c r="H179" s="264">
        <f t="shared" si="26"/>
        <v>0.004048627450980392</v>
      </c>
      <c r="I179" s="265">
        <f aca="true" t="shared" si="28" ref="I179:I205">H179/2000</f>
        <v>2.024313725490196E-06</v>
      </c>
    </row>
    <row r="180" spans="1:9" ht="12.75">
      <c r="A180" s="62" t="s">
        <v>35</v>
      </c>
      <c r="B180" s="74" t="s">
        <v>44</v>
      </c>
      <c r="C180" s="76">
        <v>0.0123</v>
      </c>
      <c r="D180" s="73" t="s">
        <v>84</v>
      </c>
      <c r="E180" s="88">
        <f t="shared" si="27"/>
        <v>1.2058823529411765E-05</v>
      </c>
      <c r="F180" s="263">
        <f t="shared" si="24"/>
        <v>0.0010732352941176472</v>
      </c>
      <c r="G180" s="264">
        <f t="shared" si="25"/>
        <v>0.008585882352941178</v>
      </c>
      <c r="H180" s="264">
        <f t="shared" si="26"/>
        <v>0.008585882352941178</v>
      </c>
      <c r="I180" s="265">
        <f t="shared" si="28"/>
        <v>4.292941176470589E-06</v>
      </c>
    </row>
    <row r="181" spans="1:9" ht="12.75">
      <c r="A181" s="54" t="s">
        <v>36</v>
      </c>
      <c r="B181" s="74" t="s">
        <v>44</v>
      </c>
      <c r="C181" s="76">
        <f>0.0004-C182</f>
        <v>0.00010000000000000005</v>
      </c>
      <c r="D181" s="73" t="s">
        <v>84</v>
      </c>
      <c r="E181" s="88">
        <f t="shared" si="27"/>
        <v>9.803921568627456E-08</v>
      </c>
      <c r="F181" s="263">
        <f t="shared" si="24"/>
        <v>8.725490196078436E-06</v>
      </c>
      <c r="G181" s="264">
        <f t="shared" si="25"/>
        <v>6.980392156862749E-05</v>
      </c>
      <c r="H181" s="264">
        <f t="shared" si="26"/>
        <v>6.980392156862749E-05</v>
      </c>
      <c r="I181" s="265">
        <f t="shared" si="28"/>
        <v>3.490196078431374E-08</v>
      </c>
    </row>
    <row r="182" spans="1:9" ht="12.75">
      <c r="A182" s="62" t="s">
        <v>37</v>
      </c>
      <c r="B182" s="74" t="s">
        <v>44</v>
      </c>
      <c r="C182" s="76">
        <v>0.0003</v>
      </c>
      <c r="D182" s="73" t="s">
        <v>84</v>
      </c>
      <c r="E182" s="88">
        <f t="shared" si="27"/>
        <v>2.941176470588235E-07</v>
      </c>
      <c r="F182" s="263">
        <f t="shared" si="24"/>
        <v>2.6176470588235292E-05</v>
      </c>
      <c r="G182" s="264">
        <f t="shared" si="25"/>
        <v>0.00020941176470588233</v>
      </c>
      <c r="H182" s="264">
        <f t="shared" si="26"/>
        <v>0.00020941176470588233</v>
      </c>
      <c r="I182" s="265">
        <f t="shared" si="28"/>
        <v>1.0470588235294117E-07</v>
      </c>
    </row>
    <row r="183" spans="1:9" ht="12.75">
      <c r="A183" s="62" t="s">
        <v>38</v>
      </c>
      <c r="B183" s="74" t="s">
        <v>44</v>
      </c>
      <c r="C183" s="76">
        <v>0.0031</v>
      </c>
      <c r="D183" s="73" t="s">
        <v>84</v>
      </c>
      <c r="E183" s="88">
        <f t="shared" si="27"/>
        <v>3.03921568627451E-06</v>
      </c>
      <c r="F183" s="263">
        <f t="shared" si="24"/>
        <v>0.0002704901960784314</v>
      </c>
      <c r="G183" s="264">
        <f t="shared" si="25"/>
        <v>0.002163921568627451</v>
      </c>
      <c r="H183" s="264">
        <f t="shared" si="26"/>
        <v>0.002163921568627451</v>
      </c>
      <c r="I183" s="265">
        <f t="shared" si="28"/>
        <v>1.0819607843137256E-06</v>
      </c>
    </row>
    <row r="184" spans="1:9" ht="12.75">
      <c r="A184" s="62" t="s">
        <v>39</v>
      </c>
      <c r="B184" s="74" t="s">
        <v>44</v>
      </c>
      <c r="C184" s="76">
        <v>0.0027</v>
      </c>
      <c r="D184" s="73" t="s">
        <v>84</v>
      </c>
      <c r="E184" s="88">
        <f t="shared" si="27"/>
        <v>2.647058823529412E-06</v>
      </c>
      <c r="F184" s="263">
        <f t="shared" si="24"/>
        <v>0.00023558823529411767</v>
      </c>
      <c r="G184" s="264">
        <f t="shared" si="25"/>
        <v>0.0018847058823529413</v>
      </c>
      <c r="H184" s="264">
        <f t="shared" si="26"/>
        <v>0.0018847058823529413</v>
      </c>
      <c r="I184" s="265">
        <f t="shared" si="28"/>
        <v>9.423529411764707E-07</v>
      </c>
    </row>
    <row r="185" spans="1:9" ht="12.75">
      <c r="A185" s="62" t="s">
        <v>40</v>
      </c>
      <c r="B185" s="74" t="s">
        <v>44</v>
      </c>
      <c r="C185" s="76">
        <v>0.53</v>
      </c>
      <c r="D185" s="73" t="s">
        <v>84</v>
      </c>
      <c r="E185" s="88">
        <f t="shared" si="27"/>
        <v>0.000519607843137255</v>
      </c>
      <c r="F185" s="263">
        <f t="shared" si="24"/>
        <v>0.04624509803921569</v>
      </c>
      <c r="G185" s="264">
        <f t="shared" si="25"/>
        <v>0.36996078431372553</v>
      </c>
      <c r="H185" s="264">
        <f t="shared" si="26"/>
        <v>0.36996078431372553</v>
      </c>
      <c r="I185" s="265">
        <f t="shared" si="28"/>
        <v>0.00018498039215686276</v>
      </c>
    </row>
    <row r="186" spans="1:9" ht="12.75">
      <c r="A186" s="62" t="s">
        <v>41</v>
      </c>
      <c r="B186" s="74" t="s">
        <v>44</v>
      </c>
      <c r="C186" s="76">
        <v>0.0265</v>
      </c>
      <c r="D186" s="73" t="s">
        <v>84</v>
      </c>
      <c r="E186" s="88">
        <f t="shared" si="27"/>
        <v>2.5980392156862744E-05</v>
      </c>
      <c r="F186" s="263">
        <f t="shared" si="24"/>
        <v>0.0023122549019607844</v>
      </c>
      <c r="G186" s="264">
        <f t="shared" si="25"/>
        <v>0.018498039215686275</v>
      </c>
      <c r="H186" s="264">
        <f t="shared" si="26"/>
        <v>0.018498039215686275</v>
      </c>
      <c r="I186" s="265">
        <f t="shared" si="28"/>
        <v>9.249019607843138E-06</v>
      </c>
    </row>
    <row r="187" spans="1:9" ht="12.75">
      <c r="A187" s="62" t="s">
        <v>42</v>
      </c>
      <c r="B187" s="74" t="s">
        <v>44</v>
      </c>
      <c r="C187" s="76">
        <v>0.0197</v>
      </c>
      <c r="D187" s="73" t="s">
        <v>84</v>
      </c>
      <c r="E187" s="88">
        <f t="shared" si="27"/>
        <v>1.9313725490196076E-05</v>
      </c>
      <c r="F187" s="263">
        <f t="shared" si="24"/>
        <v>0.0017189215686274507</v>
      </c>
      <c r="G187" s="264">
        <f t="shared" si="25"/>
        <v>0.013751372549019605</v>
      </c>
      <c r="H187" s="264">
        <f t="shared" si="26"/>
        <v>0.013751372549019605</v>
      </c>
      <c r="I187" s="265">
        <f t="shared" si="28"/>
        <v>6.875686274509803E-06</v>
      </c>
    </row>
    <row r="188" spans="1:9" ht="12.75">
      <c r="A188" s="62" t="s">
        <v>43</v>
      </c>
      <c r="B188" s="74" t="s">
        <v>44</v>
      </c>
      <c r="C188" s="76">
        <v>0.0069</v>
      </c>
      <c r="D188" s="73" t="s">
        <v>84</v>
      </c>
      <c r="E188" s="88">
        <f t="shared" si="27"/>
        <v>6.7647058823529414E-06</v>
      </c>
      <c r="F188" s="263">
        <f t="shared" si="24"/>
        <v>0.0006020588235294118</v>
      </c>
      <c r="G188" s="264">
        <f t="shared" si="25"/>
        <v>0.0048164705882352945</v>
      </c>
      <c r="H188" s="264">
        <f t="shared" si="26"/>
        <v>0.0048164705882352945</v>
      </c>
      <c r="I188" s="265">
        <f t="shared" si="28"/>
        <v>2.4082352941176474E-06</v>
      </c>
    </row>
    <row r="189" spans="1:9" ht="12.75">
      <c r="A189" s="62" t="s">
        <v>139</v>
      </c>
      <c r="B189" s="74" t="s">
        <v>44</v>
      </c>
      <c r="C189" s="76">
        <v>0.0046</v>
      </c>
      <c r="D189" s="73" t="s">
        <v>84</v>
      </c>
      <c r="E189" s="88">
        <f t="shared" si="27"/>
        <v>4.509803921568627E-06</v>
      </c>
      <c r="F189" s="263">
        <f t="shared" si="24"/>
        <v>0.0004013725490196078</v>
      </c>
      <c r="G189" s="264">
        <f t="shared" si="25"/>
        <v>0.0032109803921568625</v>
      </c>
      <c r="H189" s="264">
        <f t="shared" si="26"/>
        <v>0.0032109803921568625</v>
      </c>
      <c r="I189" s="265">
        <f t="shared" si="28"/>
        <v>1.6054901960784314E-06</v>
      </c>
    </row>
    <row r="190" spans="1:9" ht="12.75">
      <c r="A190" s="62" t="s">
        <v>118</v>
      </c>
      <c r="B190" s="74" t="s">
        <v>45</v>
      </c>
      <c r="C190" s="269">
        <v>0.0002</v>
      </c>
      <c r="D190" s="73" t="s">
        <v>84</v>
      </c>
      <c r="E190" s="88">
        <f aca="true" t="shared" si="29" ref="E190:E205">C190/$B$4</f>
        <v>1.9607843137254904E-07</v>
      </c>
      <c r="F190" s="263">
        <f aca="true" t="shared" si="30" ref="F190:F205">E190*$B$169</f>
        <v>1.7450980392156866E-05</v>
      </c>
      <c r="G190" s="264">
        <f t="shared" si="25"/>
        <v>0.00013960784313725493</v>
      </c>
      <c r="H190" s="264">
        <f t="shared" si="26"/>
        <v>0.00013960784313725493</v>
      </c>
      <c r="I190" s="265">
        <f t="shared" si="28"/>
        <v>6.980392156862746E-08</v>
      </c>
    </row>
    <row r="191" spans="1:9" ht="12.75">
      <c r="A191" s="62" t="s">
        <v>184</v>
      </c>
      <c r="B191" s="74" t="s">
        <v>45</v>
      </c>
      <c r="C191" s="269">
        <v>0.0044</v>
      </c>
      <c r="D191" s="73" t="s">
        <v>84</v>
      </c>
      <c r="E191" s="88">
        <f t="shared" si="29"/>
        <v>4.313725490196079E-06</v>
      </c>
      <c r="F191" s="263">
        <f t="shared" si="30"/>
        <v>0.000383921568627451</v>
      </c>
      <c r="G191" s="264">
        <f t="shared" si="25"/>
        <v>0.003071372549019608</v>
      </c>
      <c r="H191" s="264">
        <f t="shared" si="26"/>
        <v>0.003071372549019608</v>
      </c>
      <c r="I191" s="265">
        <f t="shared" si="28"/>
        <v>1.535686274509804E-06</v>
      </c>
    </row>
    <row r="192" spans="1:9" ht="12.75">
      <c r="A192" s="62" t="s">
        <v>185</v>
      </c>
      <c r="B192" s="74" t="s">
        <v>45</v>
      </c>
      <c r="C192" s="269">
        <v>1.2E-05</v>
      </c>
      <c r="D192" s="73" t="s">
        <v>84</v>
      </c>
      <c r="E192" s="88">
        <f t="shared" si="29"/>
        <v>1.176470588235294E-08</v>
      </c>
      <c r="F192" s="263">
        <f t="shared" si="30"/>
        <v>1.0470588235294118E-06</v>
      </c>
      <c r="G192" s="264">
        <f t="shared" si="25"/>
        <v>8.376470588235295E-06</v>
      </c>
      <c r="H192" s="264">
        <f t="shared" si="26"/>
        <v>8.376470588235295E-06</v>
      </c>
      <c r="I192" s="265">
        <f t="shared" si="28"/>
        <v>4.188235294117647E-09</v>
      </c>
    </row>
    <row r="193" spans="1:9" ht="12.75">
      <c r="A193" s="62" t="s">
        <v>165</v>
      </c>
      <c r="B193" s="74" t="s">
        <v>45</v>
      </c>
      <c r="C193" s="269">
        <v>0.0011</v>
      </c>
      <c r="D193" s="73" t="s">
        <v>84</v>
      </c>
      <c r="E193" s="88">
        <f t="shared" si="29"/>
        <v>1.0784313725490197E-06</v>
      </c>
      <c r="F193" s="263">
        <f t="shared" si="30"/>
        <v>9.598039215686275E-05</v>
      </c>
      <c r="G193" s="264">
        <f t="shared" si="25"/>
        <v>0.000767843137254902</v>
      </c>
      <c r="H193" s="264">
        <f t="shared" si="26"/>
        <v>0.000767843137254902</v>
      </c>
      <c r="I193" s="265">
        <f t="shared" si="28"/>
        <v>3.83921568627451E-07</v>
      </c>
    </row>
    <row r="194" spans="1:9" ht="12.75">
      <c r="A194" s="62" t="s">
        <v>166</v>
      </c>
      <c r="B194" s="74" t="s">
        <v>272</v>
      </c>
      <c r="C194" s="269">
        <f>0.0014*95%</f>
        <v>0.00133</v>
      </c>
      <c r="D194" s="73" t="s">
        <v>84</v>
      </c>
      <c r="E194" s="88">
        <f t="shared" si="29"/>
        <v>1.303921568627451E-06</v>
      </c>
      <c r="F194" s="263">
        <f t="shared" si="30"/>
        <v>0.00011604901960784313</v>
      </c>
      <c r="G194" s="264">
        <f t="shared" si="25"/>
        <v>0.000928392156862745</v>
      </c>
      <c r="H194" s="264">
        <f t="shared" si="26"/>
        <v>0.000928392156862745</v>
      </c>
      <c r="I194" s="265">
        <f t="shared" si="28"/>
        <v>4.641960784313725E-07</v>
      </c>
    </row>
    <row r="195" spans="1:9" ht="12.75">
      <c r="A195" s="62" t="s">
        <v>195</v>
      </c>
      <c r="B195" s="74" t="s">
        <v>273</v>
      </c>
      <c r="C195" s="269">
        <f>0.0014*5%</f>
        <v>7.000000000000001E-05</v>
      </c>
      <c r="D195" s="73" t="s">
        <v>84</v>
      </c>
      <c r="E195" s="88">
        <f>C195/$B$4</f>
        <v>6.862745098039216E-08</v>
      </c>
      <c r="F195" s="263">
        <f t="shared" si="30"/>
        <v>6.107843137254902E-06</v>
      </c>
      <c r="G195" s="264">
        <f t="shared" si="25"/>
        <v>4.886274509803922E-05</v>
      </c>
      <c r="H195" s="264">
        <f t="shared" si="26"/>
        <v>4.886274509803922E-05</v>
      </c>
      <c r="I195" s="265">
        <f t="shared" si="28"/>
        <v>2.443137254901961E-08</v>
      </c>
    </row>
    <row r="196" spans="1:9" ht="12.75">
      <c r="A196" s="62" t="s">
        <v>186</v>
      </c>
      <c r="B196" s="74" t="s">
        <v>45</v>
      </c>
      <c r="C196" s="269">
        <v>8.4E-05</v>
      </c>
      <c r="D196" s="73" t="s">
        <v>84</v>
      </c>
      <c r="E196" s="88">
        <f t="shared" si="29"/>
        <v>8.235294117647059E-08</v>
      </c>
      <c r="F196" s="263">
        <f t="shared" si="30"/>
        <v>7.329411764705882E-06</v>
      </c>
      <c r="G196" s="264">
        <f t="shared" si="25"/>
        <v>5.863529411764706E-05</v>
      </c>
      <c r="H196" s="264">
        <f t="shared" si="26"/>
        <v>5.863529411764706E-05</v>
      </c>
      <c r="I196" s="265">
        <f t="shared" si="28"/>
        <v>2.9317647058823528E-08</v>
      </c>
    </row>
    <row r="197" spans="1:9" ht="12.75">
      <c r="A197" s="62" t="s">
        <v>119</v>
      </c>
      <c r="B197" s="74" t="s">
        <v>45</v>
      </c>
      <c r="C197" s="269">
        <v>0.00085</v>
      </c>
      <c r="D197" s="73" t="s">
        <v>84</v>
      </c>
      <c r="E197" s="88">
        <f t="shared" si="29"/>
        <v>8.333333333333333E-07</v>
      </c>
      <c r="F197" s="263">
        <f>E197*$B$169</f>
        <v>7.416666666666666E-05</v>
      </c>
      <c r="G197" s="264">
        <f t="shared" si="25"/>
        <v>0.0005933333333333333</v>
      </c>
      <c r="H197" s="264">
        <f t="shared" si="26"/>
        <v>0.0005933333333333333</v>
      </c>
      <c r="I197" s="265">
        <f t="shared" si="28"/>
        <v>2.9666666666666665E-07</v>
      </c>
    </row>
    <row r="198" spans="1:9" ht="12.75">
      <c r="A198" s="62" t="s">
        <v>120</v>
      </c>
      <c r="B198" s="74" t="s">
        <v>45</v>
      </c>
      <c r="C198" s="269">
        <v>0.0005</v>
      </c>
      <c r="D198" s="73" t="s">
        <v>84</v>
      </c>
      <c r="E198" s="88">
        <f>C198/$B$4</f>
        <v>4.901960784313725E-07</v>
      </c>
      <c r="F198" s="263">
        <f t="shared" si="30"/>
        <v>4.362745098039216E-05</v>
      </c>
      <c r="G198" s="264">
        <f t="shared" si="25"/>
        <v>0.00034901960784313726</v>
      </c>
      <c r="H198" s="264">
        <f t="shared" si="26"/>
        <v>0.00034901960784313726</v>
      </c>
      <c r="I198" s="265">
        <f t="shared" si="28"/>
        <v>1.7450980392156864E-07</v>
      </c>
    </row>
    <row r="199" spans="1:9" ht="12.75">
      <c r="A199" s="62" t="s">
        <v>167</v>
      </c>
      <c r="B199" s="74" t="s">
        <v>45</v>
      </c>
      <c r="C199" s="269">
        <v>0.00038</v>
      </c>
      <c r="D199" s="73" t="s">
        <v>84</v>
      </c>
      <c r="E199" s="88">
        <f t="shared" si="29"/>
        <v>3.7254901960784315E-07</v>
      </c>
      <c r="F199" s="263">
        <f t="shared" si="30"/>
        <v>3.315686274509804E-05</v>
      </c>
      <c r="G199" s="264">
        <f t="shared" si="25"/>
        <v>0.0002652549019607843</v>
      </c>
      <c r="H199" s="264">
        <f t="shared" si="26"/>
        <v>0.0002652549019607843</v>
      </c>
      <c r="I199" s="265">
        <f t="shared" si="28"/>
        <v>1.3262745098039215E-07</v>
      </c>
    </row>
    <row r="200" spans="1:9" ht="12.75">
      <c r="A200" s="62" t="s">
        <v>168</v>
      </c>
      <c r="B200" s="74" t="s">
        <v>45</v>
      </c>
      <c r="C200" s="269">
        <v>0.00026</v>
      </c>
      <c r="D200" s="73" t="s">
        <v>84</v>
      </c>
      <c r="E200" s="88">
        <f t="shared" si="29"/>
        <v>2.549019607843137E-07</v>
      </c>
      <c r="F200" s="263">
        <f t="shared" si="30"/>
        <v>2.268627450980392E-05</v>
      </c>
      <c r="G200" s="264">
        <f t="shared" si="25"/>
        <v>0.00018149019607843135</v>
      </c>
      <c r="H200" s="264">
        <f t="shared" si="26"/>
        <v>0.00018149019607843135</v>
      </c>
      <c r="I200" s="265">
        <f t="shared" si="28"/>
        <v>9.074509803921567E-08</v>
      </c>
    </row>
    <row r="201" spans="1:9" ht="12.75">
      <c r="A201" s="62" t="s">
        <v>187</v>
      </c>
      <c r="B201" s="74" t="s">
        <v>45</v>
      </c>
      <c r="C201" s="269">
        <v>0.0011</v>
      </c>
      <c r="D201" s="73" t="s">
        <v>84</v>
      </c>
      <c r="E201" s="88">
        <f t="shared" si="29"/>
        <v>1.0784313725490197E-06</v>
      </c>
      <c r="F201" s="263">
        <f t="shared" si="30"/>
        <v>9.598039215686275E-05</v>
      </c>
      <c r="G201" s="264">
        <f t="shared" si="25"/>
        <v>0.000767843137254902</v>
      </c>
      <c r="H201" s="264">
        <f t="shared" si="26"/>
        <v>0.000767843137254902</v>
      </c>
      <c r="I201" s="265">
        <f t="shared" si="28"/>
        <v>3.83921568627451E-07</v>
      </c>
    </row>
    <row r="202" spans="1:9" ht="12.75">
      <c r="A202" s="62" t="s">
        <v>117</v>
      </c>
      <c r="B202" s="74" t="s">
        <v>45</v>
      </c>
      <c r="C202" s="269">
        <v>0.0021</v>
      </c>
      <c r="D202" s="73" t="s">
        <v>84</v>
      </c>
      <c r="E202" s="88">
        <f t="shared" si="29"/>
        <v>2.0588235294117645E-06</v>
      </c>
      <c r="F202" s="263">
        <f t="shared" si="30"/>
        <v>0.00018323529411764703</v>
      </c>
      <c r="G202" s="264">
        <f t="shared" si="25"/>
        <v>0.0014658823529411762</v>
      </c>
      <c r="H202" s="264">
        <f t="shared" si="26"/>
        <v>0.0014658823529411762</v>
      </c>
      <c r="I202" s="265">
        <f t="shared" si="28"/>
        <v>7.329411764705881E-07</v>
      </c>
    </row>
    <row r="203" spans="1:9" ht="12.75">
      <c r="A203" s="62" t="s">
        <v>169</v>
      </c>
      <c r="B203" s="74" t="s">
        <v>45</v>
      </c>
      <c r="C203" s="269">
        <v>2.4E-05</v>
      </c>
      <c r="D203" s="73" t="s">
        <v>84</v>
      </c>
      <c r="E203" s="88">
        <f t="shared" si="29"/>
        <v>2.352941176470588E-08</v>
      </c>
      <c r="F203" s="263">
        <f t="shared" si="30"/>
        <v>2.0941176470588236E-06</v>
      </c>
      <c r="G203" s="264">
        <f t="shared" si="25"/>
        <v>1.675294117647059E-05</v>
      </c>
      <c r="H203" s="264">
        <f t="shared" si="26"/>
        <v>1.675294117647059E-05</v>
      </c>
      <c r="I203" s="265">
        <f t="shared" si="28"/>
        <v>8.376470588235294E-09</v>
      </c>
    </row>
    <row r="204" spans="1:9" ht="12.75">
      <c r="A204" s="62" t="s">
        <v>188</v>
      </c>
      <c r="B204" s="74" t="s">
        <v>45</v>
      </c>
      <c r="C204" s="269">
        <v>0.0023</v>
      </c>
      <c r="D204" s="73" t="s">
        <v>84</v>
      </c>
      <c r="E204" s="88">
        <f t="shared" si="29"/>
        <v>2.2549019607843137E-06</v>
      </c>
      <c r="F204" s="263">
        <f t="shared" si="30"/>
        <v>0.0002006862745098039</v>
      </c>
      <c r="G204" s="264">
        <f t="shared" si="25"/>
        <v>0.0016054901960784313</v>
      </c>
      <c r="H204" s="264">
        <f t="shared" si="26"/>
        <v>0.0016054901960784313</v>
      </c>
      <c r="I204" s="265">
        <f t="shared" si="28"/>
        <v>8.027450980392157E-07</v>
      </c>
    </row>
    <row r="205" spans="1:9" ht="13.5" thickBot="1">
      <c r="A205" s="78" t="s">
        <v>170</v>
      </c>
      <c r="B205" s="79" t="s">
        <v>45</v>
      </c>
      <c r="C205" s="270">
        <v>0.029</v>
      </c>
      <c r="D205" s="80" t="s">
        <v>84</v>
      </c>
      <c r="E205" s="101">
        <f t="shared" si="29"/>
        <v>2.8431372549019608E-05</v>
      </c>
      <c r="F205" s="266">
        <f t="shared" si="30"/>
        <v>0.0025303921568627452</v>
      </c>
      <c r="G205" s="267">
        <f t="shared" si="25"/>
        <v>0.020243137254901962</v>
      </c>
      <c r="H205" s="267">
        <f t="shared" si="26"/>
        <v>0.020243137254901962</v>
      </c>
      <c r="I205" s="268">
        <f t="shared" si="28"/>
        <v>1.0121568627450981E-05</v>
      </c>
    </row>
    <row r="206" spans="1:9" s="12" customFormat="1" ht="12.75">
      <c r="A206" s="94"/>
      <c r="B206" s="95"/>
      <c r="C206" s="258"/>
      <c r="D206" s="95"/>
      <c r="E206" s="236"/>
      <c r="F206" s="262"/>
      <c r="G206" s="104"/>
      <c r="H206" s="262"/>
      <c r="I206" s="104"/>
    </row>
    <row r="207" spans="1:9" s="12" customFormat="1" ht="12.75">
      <c r="A207" s="94"/>
      <c r="B207" s="95"/>
      <c r="C207" s="258"/>
      <c r="D207" s="95"/>
      <c r="E207" s="236"/>
      <c r="F207" s="262"/>
      <c r="G207" s="104"/>
      <c r="H207" s="262"/>
      <c r="I207" s="104"/>
    </row>
    <row r="208" spans="1:9" s="12" customFormat="1" ht="12.75">
      <c r="A208" s="261" t="s">
        <v>125</v>
      </c>
      <c r="B208" s="95"/>
      <c r="C208" s="258"/>
      <c r="D208" s="95"/>
      <c r="E208" s="236"/>
      <c r="F208" s="262"/>
      <c r="G208" s="104"/>
      <c r="H208" s="262"/>
      <c r="I208" s="104"/>
    </row>
    <row r="209" spans="1:9" s="12" customFormat="1" ht="12.75">
      <c r="A209" s="261"/>
      <c r="B209" s="95"/>
      <c r="C209" s="258"/>
      <c r="D209" s="95"/>
      <c r="E209" s="236"/>
      <c r="F209" s="262"/>
      <c r="G209" s="104"/>
      <c r="H209" s="262"/>
      <c r="I209" s="104"/>
    </row>
    <row r="210" spans="1:9" s="12" customFormat="1" ht="12.75">
      <c r="A210" s="273" t="s">
        <v>149</v>
      </c>
      <c r="B210" s="278">
        <v>50</v>
      </c>
      <c r="C210" s="258"/>
      <c r="D210" s="95"/>
      <c r="E210" s="236"/>
      <c r="F210" s="262"/>
      <c r="G210" s="104"/>
      <c r="H210" s="262"/>
      <c r="I210" s="104"/>
    </row>
    <row r="211" spans="1:9" s="12" customFormat="1" ht="13.5" thickBot="1">
      <c r="A211" s="94"/>
      <c r="B211" s="95"/>
      <c r="C211" s="258"/>
      <c r="D211" s="95"/>
      <c r="E211" s="236"/>
      <c r="F211" s="262"/>
      <c r="G211" s="104"/>
      <c r="H211" s="262"/>
      <c r="I211" s="104"/>
    </row>
    <row r="212" spans="1:9" ht="12.75">
      <c r="A212" s="135"/>
      <c r="B212" s="136" t="s">
        <v>17</v>
      </c>
      <c r="C212" s="137"/>
      <c r="D212" s="136"/>
      <c r="E212" s="135" t="s">
        <v>17</v>
      </c>
      <c r="F212" s="138" t="s">
        <v>110</v>
      </c>
      <c r="G212" s="139"/>
      <c r="H212" s="139"/>
      <c r="I212" s="140"/>
    </row>
    <row r="213" spans="1:9" ht="13.5" thickBot="1">
      <c r="A213" s="143" t="s">
        <v>0</v>
      </c>
      <c r="B213" s="141" t="s">
        <v>18</v>
      </c>
      <c r="C213" s="141" t="s">
        <v>85</v>
      </c>
      <c r="D213" s="142" t="s">
        <v>83</v>
      </c>
      <c r="E213" s="143" t="s">
        <v>111</v>
      </c>
      <c r="F213" s="115" t="s">
        <v>1</v>
      </c>
      <c r="G213" s="144" t="s">
        <v>14</v>
      </c>
      <c r="H213" s="144" t="s">
        <v>15</v>
      </c>
      <c r="I213" s="145" t="s">
        <v>2</v>
      </c>
    </row>
    <row r="214" spans="1:9" ht="12.75">
      <c r="A214" s="55" t="s">
        <v>108</v>
      </c>
      <c r="B214" s="56" t="s">
        <v>127</v>
      </c>
      <c r="C214" s="56">
        <v>25</v>
      </c>
      <c r="D214" s="57" t="s">
        <v>82</v>
      </c>
      <c r="E214" s="84">
        <f>C214*1.194*10^-7*$B$6*(20.9/(20.9-3))</f>
        <v>0.03035678296089385</v>
      </c>
      <c r="F214" s="61">
        <f aca="true" t="shared" si="31" ref="F214:F229">E214*$B$210</f>
        <v>1.5178391480446924</v>
      </c>
      <c r="G214" s="60">
        <f aca="true" t="shared" si="32" ref="G214:G281">F214*24</f>
        <v>36.42813955307262</v>
      </c>
      <c r="H214" s="60">
        <f>G214*365</f>
        <v>13296.270936871506</v>
      </c>
      <c r="I214" s="162">
        <f>H214/2000</f>
        <v>6.648135468435753</v>
      </c>
    </row>
    <row r="215" spans="1:9" ht="12.75">
      <c r="A215" s="62" t="s">
        <v>109</v>
      </c>
      <c r="B215" s="63" t="s">
        <v>155</v>
      </c>
      <c r="C215" s="64" t="s">
        <v>123</v>
      </c>
      <c r="D215" s="65"/>
      <c r="E215" s="85">
        <f>$B$7/$B$5/379.4*64.0588</f>
        <v>0.01407019855912845</v>
      </c>
      <c r="F215" s="69">
        <f t="shared" si="31"/>
        <v>0.7035099279564224</v>
      </c>
      <c r="G215" s="68">
        <f t="shared" si="32"/>
        <v>16.88423827095414</v>
      </c>
      <c r="H215" s="68">
        <f>G215*365</f>
        <v>6162.746968898261</v>
      </c>
      <c r="I215" s="163">
        <f>H215/2000</f>
        <v>3.0813734844491303</v>
      </c>
    </row>
    <row r="216" spans="1:9" ht="12.75">
      <c r="A216" s="62" t="s">
        <v>16</v>
      </c>
      <c r="B216" s="74" t="s">
        <v>127</v>
      </c>
      <c r="C216" s="71">
        <v>240</v>
      </c>
      <c r="D216" s="72" t="s">
        <v>82</v>
      </c>
      <c r="E216" s="85">
        <f>C216*((1.194*10^-7)/46.0055*28.0104)*$B$6*(20.9/(20.9-3))</f>
        <v>0.17743387379985184</v>
      </c>
      <c r="F216" s="69">
        <f t="shared" si="31"/>
        <v>8.871693689992592</v>
      </c>
      <c r="G216" s="68">
        <f t="shared" si="32"/>
        <v>212.9206485598222</v>
      </c>
      <c r="H216" s="68">
        <f>G216*365</f>
        <v>77716.0367243351</v>
      </c>
      <c r="I216" s="163">
        <f>H216/2000</f>
        <v>38.858018362167556</v>
      </c>
    </row>
    <row r="217" spans="1:9" ht="12.75">
      <c r="A217" s="62" t="s">
        <v>3</v>
      </c>
      <c r="B217" s="74" t="s">
        <v>127</v>
      </c>
      <c r="C217" s="74">
        <v>0.005</v>
      </c>
      <c r="D217" s="73" t="s">
        <v>86</v>
      </c>
      <c r="E217" s="87">
        <f>C217</f>
        <v>0.005</v>
      </c>
      <c r="F217" s="69">
        <f t="shared" si="31"/>
        <v>0.25</v>
      </c>
      <c r="G217" s="68">
        <f t="shared" si="32"/>
        <v>6</v>
      </c>
      <c r="H217" s="68">
        <f>G217*365</f>
        <v>2190</v>
      </c>
      <c r="I217" s="163">
        <f>H217/2000</f>
        <v>1.095</v>
      </c>
    </row>
    <row r="218" spans="1:9" ht="15.75">
      <c r="A218" s="62" t="s">
        <v>151</v>
      </c>
      <c r="B218" s="74" t="s">
        <v>45</v>
      </c>
      <c r="C218" s="74">
        <v>7.6</v>
      </c>
      <c r="D218" s="73" t="s">
        <v>84</v>
      </c>
      <c r="E218" s="87">
        <f aca="true" t="shared" si="33" ref="E218:E229">C218/$B$4</f>
        <v>0.007450980392156863</v>
      </c>
      <c r="F218" s="69">
        <f t="shared" si="31"/>
        <v>0.37254901960784315</v>
      </c>
      <c r="G218" s="68">
        <f t="shared" si="32"/>
        <v>8.941176470588236</v>
      </c>
      <c r="H218" s="68">
        <f>G218*365</f>
        <v>3263.529411764706</v>
      </c>
      <c r="I218" s="163">
        <f>H218/2000</f>
        <v>1.631764705882353</v>
      </c>
    </row>
    <row r="219" spans="1:9" ht="12.75">
      <c r="A219" s="62" t="s">
        <v>34</v>
      </c>
      <c r="B219" s="74" t="s">
        <v>44</v>
      </c>
      <c r="C219" s="76">
        <v>0.0058</v>
      </c>
      <c r="D219" s="73" t="s">
        <v>84</v>
      </c>
      <c r="E219" s="88">
        <f t="shared" si="33"/>
        <v>5.686274509803921E-06</v>
      </c>
      <c r="F219" s="263">
        <f t="shared" si="31"/>
        <v>0.0002843137254901961</v>
      </c>
      <c r="G219" s="264">
        <f t="shared" si="32"/>
        <v>0.006823529411764706</v>
      </c>
      <c r="H219" s="264">
        <f aca="true" t="shared" si="34" ref="H219:H312">G219*365</f>
        <v>2.4905882352941178</v>
      </c>
      <c r="I219" s="265">
        <f aca="true" t="shared" si="35" ref="I219:I312">H219/2000</f>
        <v>0.0012452941176470588</v>
      </c>
    </row>
    <row r="220" spans="1:9" ht="12.75">
      <c r="A220" s="62" t="s">
        <v>35</v>
      </c>
      <c r="B220" s="74" t="s">
        <v>44</v>
      </c>
      <c r="C220" s="76">
        <v>0.0123</v>
      </c>
      <c r="D220" s="73" t="s">
        <v>84</v>
      </c>
      <c r="E220" s="88">
        <f t="shared" si="33"/>
        <v>1.2058823529411765E-05</v>
      </c>
      <c r="F220" s="263">
        <f t="shared" si="31"/>
        <v>0.0006029411764705883</v>
      </c>
      <c r="G220" s="264">
        <f t="shared" si="32"/>
        <v>0.01447058823529412</v>
      </c>
      <c r="H220" s="264">
        <f t="shared" si="34"/>
        <v>5.281764705882354</v>
      </c>
      <c r="I220" s="265">
        <f t="shared" si="35"/>
        <v>0.002640882352941177</v>
      </c>
    </row>
    <row r="221" spans="1:9" ht="12.75">
      <c r="A221" s="54" t="s">
        <v>36</v>
      </c>
      <c r="B221" s="74" t="s">
        <v>44</v>
      </c>
      <c r="C221" s="76">
        <f>0.0004-C222</f>
        <v>0.00010000000000000005</v>
      </c>
      <c r="D221" s="73" t="s">
        <v>84</v>
      </c>
      <c r="E221" s="88">
        <f t="shared" si="33"/>
        <v>9.803921568627456E-08</v>
      </c>
      <c r="F221" s="263">
        <f t="shared" si="31"/>
        <v>4.901960784313728E-06</v>
      </c>
      <c r="G221" s="264">
        <f t="shared" si="32"/>
        <v>0.00011764705882352948</v>
      </c>
      <c r="H221" s="264">
        <f t="shared" si="34"/>
        <v>0.04294117647058826</v>
      </c>
      <c r="I221" s="265">
        <f t="shared" si="35"/>
        <v>2.147058823529413E-05</v>
      </c>
    </row>
    <row r="222" spans="1:9" ht="12.75">
      <c r="A222" s="62" t="s">
        <v>37</v>
      </c>
      <c r="B222" s="74" t="s">
        <v>44</v>
      </c>
      <c r="C222" s="76">
        <v>0.0003</v>
      </c>
      <c r="D222" s="73" t="s">
        <v>84</v>
      </c>
      <c r="E222" s="88">
        <f t="shared" si="33"/>
        <v>2.941176470588235E-07</v>
      </c>
      <c r="F222" s="263">
        <f t="shared" si="31"/>
        <v>1.4705882352941175E-05</v>
      </c>
      <c r="G222" s="264">
        <f t="shared" si="32"/>
        <v>0.0003529411764705882</v>
      </c>
      <c r="H222" s="264">
        <f t="shared" si="34"/>
        <v>0.1288235294117647</v>
      </c>
      <c r="I222" s="265">
        <f t="shared" si="35"/>
        <v>6.441176470588235E-05</v>
      </c>
    </row>
    <row r="223" spans="1:9" ht="12.75">
      <c r="A223" s="62" t="s">
        <v>38</v>
      </c>
      <c r="B223" s="74" t="s">
        <v>44</v>
      </c>
      <c r="C223" s="76">
        <v>0.0031</v>
      </c>
      <c r="D223" s="73" t="s">
        <v>84</v>
      </c>
      <c r="E223" s="88">
        <f t="shared" si="33"/>
        <v>3.03921568627451E-06</v>
      </c>
      <c r="F223" s="263">
        <f t="shared" si="31"/>
        <v>0.00015196078431372549</v>
      </c>
      <c r="G223" s="264">
        <f t="shared" si="32"/>
        <v>0.0036470588235294117</v>
      </c>
      <c r="H223" s="264">
        <f t="shared" si="34"/>
        <v>1.3311764705882352</v>
      </c>
      <c r="I223" s="265">
        <f t="shared" si="35"/>
        <v>0.0006655882352941176</v>
      </c>
    </row>
    <row r="224" spans="1:9" ht="12.75">
      <c r="A224" s="62" t="s">
        <v>39</v>
      </c>
      <c r="B224" s="74" t="s">
        <v>44</v>
      </c>
      <c r="C224" s="76">
        <v>0.0027</v>
      </c>
      <c r="D224" s="73" t="s">
        <v>84</v>
      </c>
      <c r="E224" s="88">
        <f t="shared" si="33"/>
        <v>2.647058823529412E-06</v>
      </c>
      <c r="F224" s="263">
        <f t="shared" si="31"/>
        <v>0.0001323529411764706</v>
      </c>
      <c r="G224" s="264">
        <f t="shared" si="32"/>
        <v>0.0031764705882352945</v>
      </c>
      <c r="H224" s="264">
        <f t="shared" si="34"/>
        <v>1.1594117647058826</v>
      </c>
      <c r="I224" s="265">
        <f t="shared" si="35"/>
        <v>0.0005797058823529413</v>
      </c>
    </row>
    <row r="225" spans="1:9" ht="12.75">
      <c r="A225" s="62" t="s">
        <v>40</v>
      </c>
      <c r="B225" s="74" t="s">
        <v>44</v>
      </c>
      <c r="C225" s="76">
        <v>0.53</v>
      </c>
      <c r="D225" s="73" t="s">
        <v>84</v>
      </c>
      <c r="E225" s="88">
        <f t="shared" si="33"/>
        <v>0.000519607843137255</v>
      </c>
      <c r="F225" s="263">
        <f t="shared" si="31"/>
        <v>0.025980392156862746</v>
      </c>
      <c r="G225" s="264">
        <f t="shared" si="32"/>
        <v>0.6235294117647059</v>
      </c>
      <c r="H225" s="264">
        <f t="shared" si="34"/>
        <v>227.58823529411765</v>
      </c>
      <c r="I225" s="265">
        <f t="shared" si="35"/>
        <v>0.11379411764705882</v>
      </c>
    </row>
    <row r="226" spans="1:9" ht="12.75">
      <c r="A226" s="62" t="s">
        <v>41</v>
      </c>
      <c r="B226" s="74" t="s">
        <v>44</v>
      </c>
      <c r="C226" s="76">
        <v>0.0265</v>
      </c>
      <c r="D226" s="73" t="s">
        <v>84</v>
      </c>
      <c r="E226" s="88">
        <f t="shared" si="33"/>
        <v>2.5980392156862744E-05</v>
      </c>
      <c r="F226" s="263">
        <f t="shared" si="31"/>
        <v>0.0012990196078431372</v>
      </c>
      <c r="G226" s="264">
        <f t="shared" si="32"/>
        <v>0.03117647058823529</v>
      </c>
      <c r="H226" s="264">
        <f t="shared" si="34"/>
        <v>11.379411764705882</v>
      </c>
      <c r="I226" s="265">
        <f t="shared" si="35"/>
        <v>0.005689705882352941</v>
      </c>
    </row>
    <row r="227" spans="1:9" ht="12.75">
      <c r="A227" s="62" t="s">
        <v>42</v>
      </c>
      <c r="B227" s="74" t="s">
        <v>44</v>
      </c>
      <c r="C227" s="76">
        <v>0.0197</v>
      </c>
      <c r="D227" s="73" t="s">
        <v>84</v>
      </c>
      <c r="E227" s="88">
        <f t="shared" si="33"/>
        <v>1.9313725490196076E-05</v>
      </c>
      <c r="F227" s="263">
        <f t="shared" si="31"/>
        <v>0.0009656862745098038</v>
      </c>
      <c r="G227" s="264">
        <f t="shared" si="32"/>
        <v>0.02317647058823529</v>
      </c>
      <c r="H227" s="264">
        <f t="shared" si="34"/>
        <v>8.459411764705882</v>
      </c>
      <c r="I227" s="265">
        <f t="shared" si="35"/>
        <v>0.004229705882352941</v>
      </c>
    </row>
    <row r="228" spans="1:9" ht="12.75">
      <c r="A228" s="62" t="s">
        <v>43</v>
      </c>
      <c r="B228" s="74" t="s">
        <v>44</v>
      </c>
      <c r="C228" s="76">
        <v>0.0069</v>
      </c>
      <c r="D228" s="73" t="s">
        <v>84</v>
      </c>
      <c r="E228" s="88">
        <f t="shared" si="33"/>
        <v>6.7647058823529414E-06</v>
      </c>
      <c r="F228" s="263">
        <f t="shared" si="31"/>
        <v>0.00033823529411764706</v>
      </c>
      <c r="G228" s="264">
        <f t="shared" si="32"/>
        <v>0.00811764705882353</v>
      </c>
      <c r="H228" s="264">
        <f t="shared" si="34"/>
        <v>2.962941176470588</v>
      </c>
      <c r="I228" s="265">
        <f t="shared" si="35"/>
        <v>0.0014814705882352942</v>
      </c>
    </row>
    <row r="229" spans="1:9" ht="12.75">
      <c r="A229" s="62" t="s">
        <v>139</v>
      </c>
      <c r="B229" s="74" t="s">
        <v>44</v>
      </c>
      <c r="C229" s="76">
        <v>0.0046</v>
      </c>
      <c r="D229" s="73" t="s">
        <v>84</v>
      </c>
      <c r="E229" s="88">
        <f t="shared" si="33"/>
        <v>4.509803921568627E-06</v>
      </c>
      <c r="F229" s="263">
        <f t="shared" si="31"/>
        <v>0.00022549019607843136</v>
      </c>
      <c r="G229" s="264">
        <f t="shared" si="32"/>
        <v>0.005411764705882353</v>
      </c>
      <c r="H229" s="264">
        <f t="shared" si="34"/>
        <v>1.9752941176470589</v>
      </c>
      <c r="I229" s="265">
        <f t="shared" si="35"/>
        <v>0.0009876470588235295</v>
      </c>
    </row>
    <row r="230" spans="1:9" ht="12.75">
      <c r="A230" s="62" t="s">
        <v>118</v>
      </c>
      <c r="B230" s="74" t="s">
        <v>45</v>
      </c>
      <c r="C230" s="269">
        <v>0.0002</v>
      </c>
      <c r="D230" s="73" t="s">
        <v>84</v>
      </c>
      <c r="E230" s="88">
        <f aca="true" t="shared" si="36" ref="E230:E245">C230/$B$4</f>
        <v>1.9607843137254904E-07</v>
      </c>
      <c r="F230" s="263">
        <f aca="true" t="shared" si="37" ref="F230:F245">E230*$B$210</f>
        <v>9.803921568627451E-06</v>
      </c>
      <c r="G230" s="264">
        <f t="shared" si="32"/>
        <v>0.00023529411764705883</v>
      </c>
      <c r="H230" s="264">
        <f t="shared" si="34"/>
        <v>0.08588235294117648</v>
      </c>
      <c r="I230" s="265">
        <f t="shared" si="35"/>
        <v>4.294117647058824E-05</v>
      </c>
    </row>
    <row r="231" spans="1:9" ht="12.75">
      <c r="A231" s="62" t="s">
        <v>184</v>
      </c>
      <c r="B231" s="74" t="s">
        <v>45</v>
      </c>
      <c r="C231" s="269">
        <v>0.0044</v>
      </c>
      <c r="D231" s="73" t="s">
        <v>84</v>
      </c>
      <c r="E231" s="88">
        <f t="shared" si="36"/>
        <v>4.313725490196079E-06</v>
      </c>
      <c r="F231" s="263">
        <f t="shared" si="37"/>
        <v>0.00021568627450980392</v>
      </c>
      <c r="G231" s="264">
        <f t="shared" si="32"/>
        <v>0.0051764705882352945</v>
      </c>
      <c r="H231" s="264">
        <f t="shared" si="34"/>
        <v>1.8894117647058826</v>
      </c>
      <c r="I231" s="265">
        <f t="shared" si="35"/>
        <v>0.0009447058823529413</v>
      </c>
    </row>
    <row r="232" spans="1:9" ht="12.75">
      <c r="A232" s="62" t="s">
        <v>185</v>
      </c>
      <c r="B232" s="74" t="s">
        <v>45</v>
      </c>
      <c r="C232" s="269">
        <v>1.2E-05</v>
      </c>
      <c r="D232" s="73" t="s">
        <v>84</v>
      </c>
      <c r="E232" s="88">
        <f t="shared" si="36"/>
        <v>1.176470588235294E-08</v>
      </c>
      <c r="F232" s="263">
        <f t="shared" si="37"/>
        <v>5.88235294117647E-07</v>
      </c>
      <c r="G232" s="264">
        <f t="shared" si="32"/>
        <v>1.4117647058823528E-05</v>
      </c>
      <c r="H232" s="264">
        <f t="shared" si="34"/>
        <v>0.005152941176470588</v>
      </c>
      <c r="I232" s="265">
        <f t="shared" si="35"/>
        <v>2.5764705882352937E-06</v>
      </c>
    </row>
    <row r="233" spans="1:9" ht="12.75">
      <c r="A233" s="62" t="s">
        <v>165</v>
      </c>
      <c r="B233" s="74" t="s">
        <v>45</v>
      </c>
      <c r="C233" s="269">
        <v>0.0011</v>
      </c>
      <c r="D233" s="73" t="s">
        <v>84</v>
      </c>
      <c r="E233" s="88">
        <f t="shared" si="36"/>
        <v>1.0784313725490197E-06</v>
      </c>
      <c r="F233" s="263">
        <f t="shared" si="37"/>
        <v>5.392156862745098E-05</v>
      </c>
      <c r="G233" s="264">
        <f t="shared" si="32"/>
        <v>0.0012941176470588236</v>
      </c>
      <c r="H233" s="264">
        <f t="shared" si="34"/>
        <v>0.47235294117647064</v>
      </c>
      <c r="I233" s="265">
        <f t="shared" si="35"/>
        <v>0.00023617647058823531</v>
      </c>
    </row>
    <row r="234" spans="1:9" ht="12.75">
      <c r="A234" s="62" t="s">
        <v>166</v>
      </c>
      <c r="B234" s="74" t="s">
        <v>272</v>
      </c>
      <c r="C234" s="269">
        <f>0.0014*95%</f>
        <v>0.00133</v>
      </c>
      <c r="D234" s="73" t="s">
        <v>84</v>
      </c>
      <c r="E234" s="88">
        <f t="shared" si="36"/>
        <v>1.303921568627451E-06</v>
      </c>
      <c r="F234" s="263">
        <f t="shared" si="37"/>
        <v>6.519607843137254E-05</v>
      </c>
      <c r="G234" s="264">
        <f t="shared" si="32"/>
        <v>0.001564705882352941</v>
      </c>
      <c r="H234" s="264">
        <f t="shared" si="34"/>
        <v>0.5711176470588234</v>
      </c>
      <c r="I234" s="265">
        <f t="shared" si="35"/>
        <v>0.0002855588235294117</v>
      </c>
    </row>
    <row r="235" spans="1:9" ht="12.75">
      <c r="A235" s="62" t="s">
        <v>195</v>
      </c>
      <c r="B235" s="74" t="s">
        <v>273</v>
      </c>
      <c r="C235" s="269">
        <f>0.0014*5%</f>
        <v>7.000000000000001E-05</v>
      </c>
      <c r="D235" s="73" t="s">
        <v>84</v>
      </c>
      <c r="E235" s="88">
        <f>C235/$B$4</f>
        <v>6.862745098039216E-08</v>
      </c>
      <c r="F235" s="263">
        <f t="shared" si="37"/>
        <v>3.431372549019608E-06</v>
      </c>
      <c r="G235" s="264">
        <f t="shared" si="32"/>
        <v>8.23529411764706E-05</v>
      </c>
      <c r="H235" s="264">
        <f t="shared" si="34"/>
        <v>0.030058823529411766</v>
      </c>
      <c r="I235" s="265">
        <f t="shared" si="35"/>
        <v>1.5029411764705884E-05</v>
      </c>
    </row>
    <row r="236" spans="1:9" ht="12.75">
      <c r="A236" s="62" t="s">
        <v>186</v>
      </c>
      <c r="B236" s="74" t="s">
        <v>45</v>
      </c>
      <c r="C236" s="269">
        <v>8.4E-05</v>
      </c>
      <c r="D236" s="73" t="s">
        <v>84</v>
      </c>
      <c r="E236" s="88">
        <f t="shared" si="36"/>
        <v>8.235294117647059E-08</v>
      </c>
      <c r="F236" s="263">
        <f>E236*$B$210</f>
        <v>4.117647058823529E-06</v>
      </c>
      <c r="G236" s="264">
        <f t="shared" si="32"/>
        <v>9.88235294117647E-05</v>
      </c>
      <c r="H236" s="264">
        <f t="shared" si="34"/>
        <v>0.03607058823529411</v>
      </c>
      <c r="I236" s="265">
        <f t="shared" si="35"/>
        <v>1.8035294117647056E-05</v>
      </c>
    </row>
    <row r="237" spans="1:9" ht="12.75">
      <c r="A237" s="62" t="s">
        <v>119</v>
      </c>
      <c r="B237" s="74" t="s">
        <v>45</v>
      </c>
      <c r="C237" s="269">
        <v>0.00085</v>
      </c>
      <c r="D237" s="73" t="s">
        <v>84</v>
      </c>
      <c r="E237" s="88">
        <f t="shared" si="36"/>
        <v>8.333333333333333E-07</v>
      </c>
      <c r="F237" s="263">
        <f t="shared" si="37"/>
        <v>4.1666666666666665E-05</v>
      </c>
      <c r="G237" s="264">
        <f t="shared" si="32"/>
        <v>0.001</v>
      </c>
      <c r="H237" s="264">
        <f t="shared" si="34"/>
        <v>0.365</v>
      </c>
      <c r="I237" s="265">
        <f t="shared" si="35"/>
        <v>0.0001825</v>
      </c>
    </row>
    <row r="238" spans="1:9" ht="12.75">
      <c r="A238" s="62" t="s">
        <v>120</v>
      </c>
      <c r="B238" s="74" t="s">
        <v>45</v>
      </c>
      <c r="C238" s="269">
        <v>0.0005</v>
      </c>
      <c r="D238" s="73" t="s">
        <v>84</v>
      </c>
      <c r="E238" s="88">
        <f>C238/$B$4</f>
        <v>4.901960784313725E-07</v>
      </c>
      <c r="F238" s="263">
        <f t="shared" si="37"/>
        <v>2.4509803921568626E-05</v>
      </c>
      <c r="G238" s="264">
        <f t="shared" si="32"/>
        <v>0.000588235294117647</v>
      </c>
      <c r="H238" s="264">
        <f t="shared" si="34"/>
        <v>0.21470588235294116</v>
      </c>
      <c r="I238" s="265">
        <f t="shared" si="35"/>
        <v>0.00010735294117647058</v>
      </c>
    </row>
    <row r="239" spans="1:9" ht="12.75">
      <c r="A239" s="62" t="s">
        <v>167</v>
      </c>
      <c r="B239" s="74" t="s">
        <v>45</v>
      </c>
      <c r="C239" s="269">
        <v>0.00038</v>
      </c>
      <c r="D239" s="73" t="s">
        <v>84</v>
      </c>
      <c r="E239" s="88">
        <f t="shared" si="36"/>
        <v>3.7254901960784315E-07</v>
      </c>
      <c r="F239" s="263">
        <f t="shared" si="37"/>
        <v>1.8627450980392156E-05</v>
      </c>
      <c r="G239" s="264">
        <f t="shared" si="32"/>
        <v>0.0004470588235294117</v>
      </c>
      <c r="H239" s="264">
        <f t="shared" si="34"/>
        <v>0.16317647058823528</v>
      </c>
      <c r="I239" s="265">
        <f t="shared" si="35"/>
        <v>8.158823529411764E-05</v>
      </c>
    </row>
    <row r="240" spans="1:9" ht="12.75">
      <c r="A240" s="62" t="s">
        <v>168</v>
      </c>
      <c r="B240" s="74" t="s">
        <v>45</v>
      </c>
      <c r="C240" s="269">
        <v>0.00026</v>
      </c>
      <c r="D240" s="73" t="s">
        <v>84</v>
      </c>
      <c r="E240" s="88">
        <f t="shared" si="36"/>
        <v>2.549019607843137E-07</v>
      </c>
      <c r="F240" s="263">
        <f t="shared" si="37"/>
        <v>1.2745098039215685E-05</v>
      </c>
      <c r="G240" s="264">
        <f t="shared" si="32"/>
        <v>0.00030588235294117644</v>
      </c>
      <c r="H240" s="264">
        <f t="shared" si="34"/>
        <v>0.1116470588235294</v>
      </c>
      <c r="I240" s="265">
        <f t="shared" si="35"/>
        <v>5.58235294117647E-05</v>
      </c>
    </row>
    <row r="241" spans="1:9" ht="12.75">
      <c r="A241" s="62" t="s">
        <v>187</v>
      </c>
      <c r="B241" s="74" t="s">
        <v>45</v>
      </c>
      <c r="C241" s="269">
        <v>0.0011</v>
      </c>
      <c r="D241" s="73" t="s">
        <v>84</v>
      </c>
      <c r="E241" s="88">
        <f t="shared" si="36"/>
        <v>1.0784313725490197E-06</v>
      </c>
      <c r="F241" s="263">
        <f t="shared" si="37"/>
        <v>5.392156862745098E-05</v>
      </c>
      <c r="G241" s="264">
        <f t="shared" si="32"/>
        <v>0.0012941176470588236</v>
      </c>
      <c r="H241" s="264">
        <f t="shared" si="34"/>
        <v>0.47235294117647064</v>
      </c>
      <c r="I241" s="265">
        <f t="shared" si="35"/>
        <v>0.00023617647058823531</v>
      </c>
    </row>
    <row r="242" spans="1:9" ht="12.75">
      <c r="A242" s="62" t="s">
        <v>117</v>
      </c>
      <c r="B242" s="74" t="s">
        <v>45</v>
      </c>
      <c r="C242" s="269">
        <v>0.0021</v>
      </c>
      <c r="D242" s="73" t="s">
        <v>84</v>
      </c>
      <c r="E242" s="88">
        <f t="shared" si="36"/>
        <v>2.0588235294117645E-06</v>
      </c>
      <c r="F242" s="263">
        <f t="shared" si="37"/>
        <v>0.00010294117647058823</v>
      </c>
      <c r="G242" s="264">
        <f t="shared" si="32"/>
        <v>0.0024705882352941176</v>
      </c>
      <c r="H242" s="264">
        <f t="shared" si="34"/>
        <v>0.9017647058823529</v>
      </c>
      <c r="I242" s="265">
        <f t="shared" si="35"/>
        <v>0.00045088235294117644</v>
      </c>
    </row>
    <row r="243" spans="1:9" ht="12.75">
      <c r="A243" s="62" t="s">
        <v>169</v>
      </c>
      <c r="B243" s="74" t="s">
        <v>45</v>
      </c>
      <c r="C243" s="269">
        <v>2.4E-05</v>
      </c>
      <c r="D243" s="73" t="s">
        <v>84</v>
      </c>
      <c r="E243" s="88">
        <f t="shared" si="36"/>
        <v>2.352941176470588E-08</v>
      </c>
      <c r="F243" s="263">
        <f t="shared" si="37"/>
        <v>1.176470588235294E-06</v>
      </c>
      <c r="G243" s="264">
        <f t="shared" si="32"/>
        <v>2.8235294117647056E-05</v>
      </c>
      <c r="H243" s="264">
        <f t="shared" si="34"/>
        <v>0.010305882352941175</v>
      </c>
      <c r="I243" s="265">
        <f t="shared" si="35"/>
        <v>5.1529411764705875E-06</v>
      </c>
    </row>
    <row r="244" spans="1:9" ht="12.75">
      <c r="A244" s="62" t="s">
        <v>188</v>
      </c>
      <c r="B244" s="74" t="s">
        <v>45</v>
      </c>
      <c r="C244" s="269">
        <v>0.0023</v>
      </c>
      <c r="D244" s="73" t="s">
        <v>84</v>
      </c>
      <c r="E244" s="88">
        <f t="shared" si="36"/>
        <v>2.2549019607843137E-06</v>
      </c>
      <c r="F244" s="263">
        <f t="shared" si="37"/>
        <v>0.00011274509803921568</v>
      </c>
      <c r="G244" s="264">
        <f t="shared" si="32"/>
        <v>0.0027058823529411765</v>
      </c>
      <c r="H244" s="264">
        <f t="shared" si="34"/>
        <v>0.9876470588235294</v>
      </c>
      <c r="I244" s="265">
        <f t="shared" si="35"/>
        <v>0.0004938235294117648</v>
      </c>
    </row>
    <row r="245" spans="1:9" ht="13.5" thickBot="1">
      <c r="A245" s="78" t="s">
        <v>170</v>
      </c>
      <c r="B245" s="79" t="s">
        <v>45</v>
      </c>
      <c r="C245" s="270">
        <v>0.029</v>
      </c>
      <c r="D245" s="80" t="s">
        <v>84</v>
      </c>
      <c r="E245" s="101">
        <f t="shared" si="36"/>
        <v>2.8431372549019608E-05</v>
      </c>
      <c r="F245" s="266">
        <f t="shared" si="37"/>
        <v>0.0014215686274509803</v>
      </c>
      <c r="G245" s="267">
        <f t="shared" si="32"/>
        <v>0.03411764705882353</v>
      </c>
      <c r="H245" s="267">
        <f t="shared" si="34"/>
        <v>12.452941176470588</v>
      </c>
      <c r="I245" s="268">
        <f t="shared" si="35"/>
        <v>0.006226470588235294</v>
      </c>
    </row>
    <row r="246" spans="1:9" s="12" customFormat="1" ht="12.75">
      <c r="A246" s="94"/>
      <c r="B246" s="95"/>
      <c r="C246" s="258"/>
      <c r="D246" s="95"/>
      <c r="E246" s="236"/>
      <c r="F246" s="105"/>
      <c r="G246" s="105"/>
      <c r="H246" s="105"/>
      <c r="I246" s="104"/>
    </row>
    <row r="247" spans="1:9" s="12" customFormat="1" ht="12.75">
      <c r="A247" s="94"/>
      <c r="B247" s="95"/>
      <c r="C247" s="258"/>
      <c r="D247" s="95"/>
      <c r="E247" s="236"/>
      <c r="F247" s="105"/>
      <c r="G247" s="105"/>
      <c r="H247" s="105"/>
      <c r="I247" s="104"/>
    </row>
    <row r="248" spans="1:9" s="12" customFormat="1" ht="12.75">
      <c r="A248" s="261" t="s">
        <v>126</v>
      </c>
      <c r="B248" s="95"/>
      <c r="C248" s="258"/>
      <c r="D248" s="95"/>
      <c r="E248" s="236"/>
      <c r="F248" s="105"/>
      <c r="G248" s="105"/>
      <c r="H248" s="105"/>
      <c r="I248" s="104"/>
    </row>
    <row r="249" spans="1:9" s="12" customFormat="1" ht="12.75">
      <c r="A249" s="261"/>
      <c r="B249" s="95"/>
      <c r="C249" s="258"/>
      <c r="D249" s="95"/>
      <c r="E249" s="236"/>
      <c r="F249" s="105"/>
      <c r="G249" s="105"/>
      <c r="H249" s="105"/>
      <c r="I249" s="104"/>
    </row>
    <row r="250" spans="1:9" s="12" customFormat="1" ht="12.75">
      <c r="A250" s="273" t="s">
        <v>149</v>
      </c>
      <c r="B250" s="278">
        <v>40</v>
      </c>
      <c r="C250" s="258"/>
      <c r="D250" s="95"/>
      <c r="E250" s="236"/>
      <c r="F250" s="105"/>
      <c r="G250" s="105"/>
      <c r="H250" s="105"/>
      <c r="I250" s="104"/>
    </row>
    <row r="251" spans="1:9" s="12" customFormat="1" ht="13.5" thickBot="1">
      <c r="A251" s="94"/>
      <c r="B251" s="95"/>
      <c r="C251" s="258"/>
      <c r="D251" s="95"/>
      <c r="E251" s="236"/>
      <c r="F251" s="105"/>
      <c r="G251" s="105"/>
      <c r="H251" s="105"/>
      <c r="I251" s="104"/>
    </row>
    <row r="252" spans="1:9" ht="12.75">
      <c r="A252" s="135"/>
      <c r="B252" s="136" t="s">
        <v>17</v>
      </c>
      <c r="C252" s="137"/>
      <c r="D252" s="136"/>
      <c r="E252" s="135" t="s">
        <v>17</v>
      </c>
      <c r="F252" s="138" t="s">
        <v>110</v>
      </c>
      <c r="G252" s="139"/>
      <c r="H252" s="139"/>
      <c r="I252" s="140"/>
    </row>
    <row r="253" spans="1:9" ht="13.5" thickBot="1">
      <c r="A253" s="143" t="s">
        <v>0</v>
      </c>
      <c r="B253" s="141" t="s">
        <v>18</v>
      </c>
      <c r="C253" s="141" t="s">
        <v>85</v>
      </c>
      <c r="D253" s="142" t="s">
        <v>83</v>
      </c>
      <c r="E253" s="143" t="s">
        <v>111</v>
      </c>
      <c r="F253" s="115" t="s">
        <v>1</v>
      </c>
      <c r="G253" s="144" t="s">
        <v>14</v>
      </c>
      <c r="H253" s="144" t="s">
        <v>15</v>
      </c>
      <c r="I253" s="145" t="s">
        <v>2</v>
      </c>
    </row>
    <row r="254" spans="1:9" ht="12.75">
      <c r="A254" s="55" t="s">
        <v>108</v>
      </c>
      <c r="B254" s="56" t="s">
        <v>127</v>
      </c>
      <c r="C254" s="56">
        <v>30</v>
      </c>
      <c r="D254" s="57" t="s">
        <v>82</v>
      </c>
      <c r="E254" s="84">
        <f>C254*1.194*10^-7*$B$6*(20.9/(20.9-3))</f>
        <v>0.03642813955307262</v>
      </c>
      <c r="F254" s="61">
        <f aca="true" t="shared" si="38" ref="F254:F269">E254*$B$250</f>
        <v>1.4571255821229048</v>
      </c>
      <c r="G254" s="60">
        <f t="shared" si="32"/>
        <v>34.97101397094971</v>
      </c>
      <c r="H254" s="60">
        <f>G254*365</f>
        <v>12764.420099396646</v>
      </c>
      <c r="I254" s="162">
        <f>H254/2000</f>
        <v>6.382210049698323</v>
      </c>
    </row>
    <row r="255" spans="1:9" ht="12.75">
      <c r="A255" s="62" t="s">
        <v>109</v>
      </c>
      <c r="B255" s="63" t="s">
        <v>155</v>
      </c>
      <c r="C255" s="64" t="s">
        <v>123</v>
      </c>
      <c r="D255" s="65"/>
      <c r="E255" s="85">
        <f>$B$7/$B$5/379.4*64.0588</f>
        <v>0.01407019855912845</v>
      </c>
      <c r="F255" s="69">
        <f t="shared" si="38"/>
        <v>0.562807942365138</v>
      </c>
      <c r="G255" s="68">
        <f t="shared" si="32"/>
        <v>13.507390616763312</v>
      </c>
      <c r="H255" s="68">
        <f>G255*365</f>
        <v>4930.197575118609</v>
      </c>
      <c r="I255" s="163">
        <f>H255/2000</f>
        <v>2.4650987875593047</v>
      </c>
    </row>
    <row r="256" spans="1:9" ht="12.75">
      <c r="A256" s="62" t="s">
        <v>16</v>
      </c>
      <c r="B256" s="63" t="s">
        <v>127</v>
      </c>
      <c r="C256" s="71">
        <v>100</v>
      </c>
      <c r="D256" s="72" t="s">
        <v>82</v>
      </c>
      <c r="E256" s="85">
        <f>C256*((1.194*10^-7)/46.0055*28.0104)*$B$6*(20.9/(20.9-3))</f>
        <v>0.07393078074993827</v>
      </c>
      <c r="F256" s="69">
        <f t="shared" si="38"/>
        <v>2.9572312299975305</v>
      </c>
      <c r="G256" s="68">
        <f t="shared" si="32"/>
        <v>70.97354951994073</v>
      </c>
      <c r="H256" s="68">
        <f>G256*365</f>
        <v>25905.345574778366</v>
      </c>
      <c r="I256" s="163">
        <f>H256/2000</f>
        <v>12.952672787389183</v>
      </c>
    </row>
    <row r="257" spans="1:9" ht="12.75">
      <c r="A257" s="62" t="s">
        <v>3</v>
      </c>
      <c r="B257" s="74" t="s">
        <v>127</v>
      </c>
      <c r="C257" s="74">
        <v>0.0028</v>
      </c>
      <c r="D257" s="73" t="s">
        <v>86</v>
      </c>
      <c r="E257" s="87">
        <f>C257</f>
        <v>0.0028</v>
      </c>
      <c r="F257" s="69">
        <f t="shared" si="38"/>
        <v>0.112</v>
      </c>
      <c r="G257" s="68">
        <f t="shared" si="32"/>
        <v>2.688</v>
      </c>
      <c r="H257" s="68">
        <f>G257*365</f>
        <v>981.12</v>
      </c>
      <c r="I257" s="163">
        <f>H257/2000</f>
        <v>0.49056</v>
      </c>
    </row>
    <row r="258" spans="1:9" ht="15.75">
      <c r="A258" s="62" t="s">
        <v>151</v>
      </c>
      <c r="B258" s="74" t="s">
        <v>45</v>
      </c>
      <c r="C258" s="74">
        <v>7.6</v>
      </c>
      <c r="D258" s="73" t="s">
        <v>84</v>
      </c>
      <c r="E258" s="87">
        <f aca="true" t="shared" si="39" ref="E258:E269">C258/$B$4</f>
        <v>0.007450980392156863</v>
      </c>
      <c r="F258" s="69">
        <f t="shared" si="38"/>
        <v>0.2980392156862745</v>
      </c>
      <c r="G258" s="68">
        <f t="shared" si="32"/>
        <v>7.152941176470588</v>
      </c>
      <c r="H258" s="68">
        <f>G258*365</f>
        <v>2610.8235294117644</v>
      </c>
      <c r="I258" s="163">
        <f>H258/2000</f>
        <v>1.3054117647058823</v>
      </c>
    </row>
    <row r="259" spans="1:9" ht="12.75">
      <c r="A259" s="62" t="s">
        <v>34</v>
      </c>
      <c r="B259" s="74" t="s">
        <v>44</v>
      </c>
      <c r="C259" s="76">
        <v>0.0058</v>
      </c>
      <c r="D259" s="73" t="s">
        <v>84</v>
      </c>
      <c r="E259" s="88">
        <f t="shared" si="39"/>
        <v>5.686274509803921E-06</v>
      </c>
      <c r="F259" s="263">
        <f t="shared" si="38"/>
        <v>0.00022745098039215686</v>
      </c>
      <c r="G259" s="264">
        <f t="shared" si="32"/>
        <v>0.005458823529411764</v>
      </c>
      <c r="H259" s="264">
        <f t="shared" si="34"/>
        <v>1.992470588235294</v>
      </c>
      <c r="I259" s="265">
        <f t="shared" si="35"/>
        <v>0.000996235294117647</v>
      </c>
    </row>
    <row r="260" spans="1:9" ht="12.75">
      <c r="A260" s="62" t="s">
        <v>35</v>
      </c>
      <c r="B260" s="74" t="s">
        <v>44</v>
      </c>
      <c r="C260" s="76">
        <v>0.0123</v>
      </c>
      <c r="D260" s="73" t="s">
        <v>84</v>
      </c>
      <c r="E260" s="88">
        <f t="shared" si="39"/>
        <v>1.2058823529411765E-05</v>
      </c>
      <c r="F260" s="263">
        <f t="shared" si="38"/>
        <v>0.0004823529411764706</v>
      </c>
      <c r="G260" s="264">
        <f t="shared" si="32"/>
        <v>0.011576470588235294</v>
      </c>
      <c r="H260" s="264">
        <f t="shared" si="34"/>
        <v>4.225411764705882</v>
      </c>
      <c r="I260" s="265">
        <f t="shared" si="35"/>
        <v>0.002112705882352941</v>
      </c>
    </row>
    <row r="261" spans="1:9" ht="12.75">
      <c r="A261" s="54" t="s">
        <v>36</v>
      </c>
      <c r="B261" s="74" t="s">
        <v>44</v>
      </c>
      <c r="C261" s="76">
        <f>0.0004-C262</f>
        <v>0.00010000000000000005</v>
      </c>
      <c r="D261" s="73" t="s">
        <v>84</v>
      </c>
      <c r="E261" s="88">
        <f t="shared" si="39"/>
        <v>9.803921568627456E-08</v>
      </c>
      <c r="F261" s="263">
        <f t="shared" si="38"/>
        <v>3.921568627450982E-06</v>
      </c>
      <c r="G261" s="264">
        <f t="shared" si="32"/>
        <v>9.411764705882358E-05</v>
      </c>
      <c r="H261" s="264">
        <f t="shared" si="34"/>
        <v>0.03435294117647061</v>
      </c>
      <c r="I261" s="265">
        <f t="shared" si="35"/>
        <v>1.7176470588235303E-05</v>
      </c>
    </row>
    <row r="262" spans="1:9" ht="12.75">
      <c r="A262" s="62" t="s">
        <v>37</v>
      </c>
      <c r="B262" s="74" t="s">
        <v>44</v>
      </c>
      <c r="C262" s="76">
        <v>0.0003</v>
      </c>
      <c r="D262" s="73" t="s">
        <v>84</v>
      </c>
      <c r="E262" s="88">
        <f t="shared" si="39"/>
        <v>2.941176470588235E-07</v>
      </c>
      <c r="F262" s="263">
        <f t="shared" si="38"/>
        <v>1.176470588235294E-05</v>
      </c>
      <c r="G262" s="264">
        <f t="shared" si="32"/>
        <v>0.00028235294117647056</v>
      </c>
      <c r="H262" s="264">
        <f t="shared" si="34"/>
        <v>0.10305882352941176</v>
      </c>
      <c r="I262" s="265">
        <f t="shared" si="35"/>
        <v>5.1529411764705876E-05</v>
      </c>
    </row>
    <row r="263" spans="1:9" ht="12.75">
      <c r="A263" s="62" t="s">
        <v>38</v>
      </c>
      <c r="B263" s="74" t="s">
        <v>44</v>
      </c>
      <c r="C263" s="76">
        <v>0.0031</v>
      </c>
      <c r="D263" s="73" t="s">
        <v>84</v>
      </c>
      <c r="E263" s="88">
        <f t="shared" si="39"/>
        <v>3.03921568627451E-06</v>
      </c>
      <c r="F263" s="263">
        <f t="shared" si="38"/>
        <v>0.0001215686274509804</v>
      </c>
      <c r="G263" s="264">
        <f t="shared" si="32"/>
        <v>0.0029176470588235296</v>
      </c>
      <c r="H263" s="264">
        <f t="shared" si="34"/>
        <v>1.0649411764705883</v>
      </c>
      <c r="I263" s="265">
        <f t="shared" si="35"/>
        <v>0.0005324705882352942</v>
      </c>
    </row>
    <row r="264" spans="1:9" ht="12.75">
      <c r="A264" s="62" t="s">
        <v>39</v>
      </c>
      <c r="B264" s="74" t="s">
        <v>44</v>
      </c>
      <c r="C264" s="76">
        <v>0.0027</v>
      </c>
      <c r="D264" s="73" t="s">
        <v>84</v>
      </c>
      <c r="E264" s="88">
        <f t="shared" si="39"/>
        <v>2.647058823529412E-06</v>
      </c>
      <c r="F264" s="263">
        <f t="shared" si="38"/>
        <v>0.00010588235294117647</v>
      </c>
      <c r="G264" s="264">
        <f t="shared" si="32"/>
        <v>0.0025411764705882355</v>
      </c>
      <c r="H264" s="264">
        <f t="shared" si="34"/>
        <v>0.9275294117647059</v>
      </c>
      <c r="I264" s="265">
        <f t="shared" si="35"/>
        <v>0.000463764705882353</v>
      </c>
    </row>
    <row r="265" spans="1:9" ht="12.75">
      <c r="A265" s="62" t="s">
        <v>40</v>
      </c>
      <c r="B265" s="74" t="s">
        <v>44</v>
      </c>
      <c r="C265" s="76">
        <v>0.53</v>
      </c>
      <c r="D265" s="73" t="s">
        <v>84</v>
      </c>
      <c r="E265" s="88">
        <f t="shared" si="39"/>
        <v>0.000519607843137255</v>
      </c>
      <c r="F265" s="263">
        <f t="shared" si="38"/>
        <v>0.020784313725490198</v>
      </c>
      <c r="G265" s="264">
        <f t="shared" si="32"/>
        <v>0.4988235294117648</v>
      </c>
      <c r="H265" s="264">
        <f t="shared" si="34"/>
        <v>182.07058823529414</v>
      </c>
      <c r="I265" s="265">
        <f t="shared" si="35"/>
        <v>0.09103529411764708</v>
      </c>
    </row>
    <row r="266" spans="1:9" ht="12.75">
      <c r="A266" s="62" t="s">
        <v>41</v>
      </c>
      <c r="B266" s="74" t="s">
        <v>44</v>
      </c>
      <c r="C266" s="76">
        <v>0.0265</v>
      </c>
      <c r="D266" s="73" t="s">
        <v>84</v>
      </c>
      <c r="E266" s="88">
        <f t="shared" si="39"/>
        <v>2.5980392156862744E-05</v>
      </c>
      <c r="F266" s="263">
        <f t="shared" si="38"/>
        <v>0.0010392156862745097</v>
      </c>
      <c r="G266" s="264">
        <f t="shared" si="32"/>
        <v>0.02494117647058823</v>
      </c>
      <c r="H266" s="264">
        <f t="shared" si="34"/>
        <v>9.103529411764704</v>
      </c>
      <c r="I266" s="265">
        <f t="shared" si="35"/>
        <v>0.004551764705882352</v>
      </c>
    </row>
    <row r="267" spans="1:9" ht="12.75">
      <c r="A267" s="62" t="s">
        <v>42</v>
      </c>
      <c r="B267" s="74" t="s">
        <v>44</v>
      </c>
      <c r="C267" s="76">
        <v>0.0197</v>
      </c>
      <c r="D267" s="73" t="s">
        <v>84</v>
      </c>
      <c r="E267" s="88">
        <f t="shared" si="39"/>
        <v>1.9313725490196076E-05</v>
      </c>
      <c r="F267" s="263">
        <f t="shared" si="38"/>
        <v>0.000772549019607843</v>
      </c>
      <c r="G267" s="264">
        <f t="shared" si="32"/>
        <v>0.01854117647058823</v>
      </c>
      <c r="H267" s="264">
        <f t="shared" si="34"/>
        <v>6.767529411764705</v>
      </c>
      <c r="I267" s="265">
        <f t="shared" si="35"/>
        <v>0.003383764705882352</v>
      </c>
    </row>
    <row r="268" spans="1:9" ht="12.75">
      <c r="A268" s="62" t="s">
        <v>43</v>
      </c>
      <c r="B268" s="74" t="s">
        <v>44</v>
      </c>
      <c r="C268" s="76">
        <v>0.0069</v>
      </c>
      <c r="D268" s="73" t="s">
        <v>84</v>
      </c>
      <c r="E268" s="88">
        <f t="shared" si="39"/>
        <v>6.7647058823529414E-06</v>
      </c>
      <c r="F268" s="263">
        <f t="shared" si="38"/>
        <v>0.0002705882352941177</v>
      </c>
      <c r="G268" s="264">
        <f t="shared" si="32"/>
        <v>0.006494117647058824</v>
      </c>
      <c r="H268" s="264">
        <f t="shared" si="34"/>
        <v>2.3703529411764706</v>
      </c>
      <c r="I268" s="265">
        <f t="shared" si="35"/>
        <v>0.0011851764705882353</v>
      </c>
    </row>
    <row r="269" spans="1:9" ht="12.75">
      <c r="A269" s="62" t="s">
        <v>139</v>
      </c>
      <c r="B269" s="74" t="s">
        <v>44</v>
      </c>
      <c r="C269" s="76">
        <v>0.0046</v>
      </c>
      <c r="D269" s="73" t="s">
        <v>84</v>
      </c>
      <c r="E269" s="88">
        <f t="shared" si="39"/>
        <v>4.509803921568627E-06</v>
      </c>
      <c r="F269" s="263">
        <f t="shared" si="38"/>
        <v>0.0001803921568627451</v>
      </c>
      <c r="G269" s="264">
        <f t="shared" si="32"/>
        <v>0.004329411764705882</v>
      </c>
      <c r="H269" s="264">
        <f t="shared" si="34"/>
        <v>1.580235294117647</v>
      </c>
      <c r="I269" s="265">
        <f t="shared" si="35"/>
        <v>0.0007901176470588235</v>
      </c>
    </row>
    <row r="270" spans="1:9" ht="12.75">
      <c r="A270" s="62" t="s">
        <v>118</v>
      </c>
      <c r="B270" s="74" t="s">
        <v>45</v>
      </c>
      <c r="C270" s="269">
        <v>0.0002</v>
      </c>
      <c r="D270" s="73" t="s">
        <v>84</v>
      </c>
      <c r="E270" s="88">
        <f aca="true" t="shared" si="40" ref="E270:E285">C270/$B$4</f>
        <v>1.9607843137254904E-07</v>
      </c>
      <c r="F270" s="263">
        <f aca="true" t="shared" si="41" ref="F270:F285">E270*$B$250</f>
        <v>7.843137254901962E-06</v>
      </c>
      <c r="G270" s="264">
        <f t="shared" si="32"/>
        <v>0.0001882352941176471</v>
      </c>
      <c r="H270" s="264">
        <f t="shared" si="34"/>
        <v>0.06870588235294119</v>
      </c>
      <c r="I270" s="265">
        <f t="shared" si="35"/>
        <v>3.435294117647059E-05</v>
      </c>
    </row>
    <row r="271" spans="1:9" ht="12.75">
      <c r="A271" s="62" t="s">
        <v>184</v>
      </c>
      <c r="B271" s="74" t="s">
        <v>45</v>
      </c>
      <c r="C271" s="269">
        <v>0.0044</v>
      </c>
      <c r="D271" s="73" t="s">
        <v>84</v>
      </c>
      <c r="E271" s="88">
        <f t="shared" si="40"/>
        <v>4.313725490196079E-06</v>
      </c>
      <c r="F271" s="263">
        <f t="shared" si="41"/>
        <v>0.00017254901960784316</v>
      </c>
      <c r="G271" s="264">
        <f t="shared" si="32"/>
        <v>0.004141176470588236</v>
      </c>
      <c r="H271" s="264">
        <f t="shared" si="34"/>
        <v>1.511529411764706</v>
      </c>
      <c r="I271" s="265">
        <f t="shared" si="35"/>
        <v>0.000755764705882353</v>
      </c>
    </row>
    <row r="272" spans="1:9" ht="12.75">
      <c r="A272" s="62" t="s">
        <v>185</v>
      </c>
      <c r="B272" s="74" t="s">
        <v>45</v>
      </c>
      <c r="C272" s="269">
        <v>1.2E-05</v>
      </c>
      <c r="D272" s="73" t="s">
        <v>84</v>
      </c>
      <c r="E272" s="88">
        <f t="shared" si="40"/>
        <v>1.176470588235294E-08</v>
      </c>
      <c r="F272" s="263">
        <f t="shared" si="41"/>
        <v>4.705882352941176E-07</v>
      </c>
      <c r="G272" s="264">
        <f t="shared" si="32"/>
        <v>1.1294117647058823E-05</v>
      </c>
      <c r="H272" s="264">
        <f t="shared" si="34"/>
        <v>0.00412235294117647</v>
      </c>
      <c r="I272" s="265">
        <f t="shared" si="35"/>
        <v>2.061176470588235E-06</v>
      </c>
    </row>
    <row r="273" spans="1:9" ht="12.75">
      <c r="A273" s="62" t="s">
        <v>165</v>
      </c>
      <c r="B273" s="74" t="s">
        <v>45</v>
      </c>
      <c r="C273" s="269">
        <v>0.0011</v>
      </c>
      <c r="D273" s="73" t="s">
        <v>84</v>
      </c>
      <c r="E273" s="88">
        <f t="shared" si="40"/>
        <v>1.0784313725490197E-06</v>
      </c>
      <c r="F273" s="263">
        <f t="shared" si="41"/>
        <v>4.313725490196079E-05</v>
      </c>
      <c r="G273" s="264">
        <f t="shared" si="32"/>
        <v>0.001035294117647059</v>
      </c>
      <c r="H273" s="264">
        <f t="shared" si="34"/>
        <v>0.3778823529411765</v>
      </c>
      <c r="I273" s="265">
        <f t="shared" si="35"/>
        <v>0.00018894117647058826</v>
      </c>
    </row>
    <row r="274" spans="1:9" ht="12.75">
      <c r="A274" s="62" t="s">
        <v>166</v>
      </c>
      <c r="B274" s="74" t="s">
        <v>272</v>
      </c>
      <c r="C274" s="269">
        <f>0.0014*95%</f>
        <v>0.00133</v>
      </c>
      <c r="D274" s="73" t="s">
        <v>84</v>
      </c>
      <c r="E274" s="88">
        <f t="shared" si="40"/>
        <v>1.303921568627451E-06</v>
      </c>
      <c r="F274" s="263">
        <f t="shared" si="41"/>
        <v>5.215686274509804E-05</v>
      </c>
      <c r="G274" s="264">
        <f t="shared" si="32"/>
        <v>0.0012517647058823528</v>
      </c>
      <c r="H274" s="264">
        <f t="shared" si="34"/>
        <v>0.4568941176470588</v>
      </c>
      <c r="I274" s="265">
        <f t="shared" si="35"/>
        <v>0.00022844705882352938</v>
      </c>
    </row>
    <row r="275" spans="1:9" ht="12.75">
      <c r="A275" s="62" t="s">
        <v>195</v>
      </c>
      <c r="B275" s="74" t="s">
        <v>273</v>
      </c>
      <c r="C275" s="269">
        <f>0.0014*5%</f>
        <v>7.000000000000001E-05</v>
      </c>
      <c r="D275" s="73" t="s">
        <v>84</v>
      </c>
      <c r="E275" s="88">
        <f>C275/$B$4</f>
        <v>6.862745098039216E-08</v>
      </c>
      <c r="F275" s="263">
        <f t="shared" si="41"/>
        <v>2.7450980392156863E-06</v>
      </c>
      <c r="G275" s="264">
        <f t="shared" si="32"/>
        <v>6.588235294117646E-05</v>
      </c>
      <c r="H275" s="264">
        <f t="shared" si="34"/>
        <v>0.02404705882352941</v>
      </c>
      <c r="I275" s="265">
        <f t="shared" si="35"/>
        <v>1.2023529411764705E-05</v>
      </c>
    </row>
    <row r="276" spans="1:9" ht="12.75">
      <c r="A276" s="62" t="s">
        <v>186</v>
      </c>
      <c r="B276" s="74" t="s">
        <v>45</v>
      </c>
      <c r="C276" s="269">
        <v>8.4E-05</v>
      </c>
      <c r="D276" s="73" t="s">
        <v>84</v>
      </c>
      <c r="E276" s="88">
        <f t="shared" si="40"/>
        <v>8.235294117647059E-08</v>
      </c>
      <c r="F276" s="263">
        <f t="shared" si="41"/>
        <v>3.2941176470588236E-06</v>
      </c>
      <c r="G276" s="264">
        <f t="shared" si="32"/>
        <v>7.905882352941177E-05</v>
      </c>
      <c r="H276" s="264">
        <f t="shared" si="34"/>
        <v>0.028856470588235296</v>
      </c>
      <c r="I276" s="265">
        <f t="shared" si="35"/>
        <v>1.4428235294117648E-05</v>
      </c>
    </row>
    <row r="277" spans="1:9" ht="12.75">
      <c r="A277" s="62" t="s">
        <v>119</v>
      </c>
      <c r="B277" s="74" t="s">
        <v>45</v>
      </c>
      <c r="C277" s="269">
        <v>0.00085</v>
      </c>
      <c r="D277" s="73" t="s">
        <v>84</v>
      </c>
      <c r="E277" s="88">
        <f t="shared" si="40"/>
        <v>8.333333333333333E-07</v>
      </c>
      <c r="F277" s="263">
        <f>E277*$B$250</f>
        <v>3.3333333333333335E-05</v>
      </c>
      <c r="G277" s="264">
        <f t="shared" si="32"/>
        <v>0.0008</v>
      </c>
      <c r="H277" s="264">
        <f t="shared" si="34"/>
        <v>0.29200000000000004</v>
      </c>
      <c r="I277" s="265">
        <f t="shared" si="35"/>
        <v>0.00014600000000000003</v>
      </c>
    </row>
    <row r="278" spans="1:9" ht="12.75">
      <c r="A278" s="62" t="s">
        <v>120</v>
      </c>
      <c r="B278" s="74" t="s">
        <v>45</v>
      </c>
      <c r="C278" s="269">
        <v>0.0005</v>
      </c>
      <c r="D278" s="73" t="s">
        <v>84</v>
      </c>
      <c r="E278" s="88">
        <f>C278/$B$4</f>
        <v>4.901960784313725E-07</v>
      </c>
      <c r="F278" s="263">
        <f t="shared" si="41"/>
        <v>1.9607843137254903E-05</v>
      </c>
      <c r="G278" s="264">
        <f t="shared" si="32"/>
        <v>0.00047058823529411766</v>
      </c>
      <c r="H278" s="264">
        <f t="shared" si="34"/>
        <v>0.17176470588235296</v>
      </c>
      <c r="I278" s="265">
        <f t="shared" si="35"/>
        <v>8.588235294117648E-05</v>
      </c>
    </row>
    <row r="279" spans="1:9" ht="12.75">
      <c r="A279" s="62" t="s">
        <v>167</v>
      </c>
      <c r="B279" s="74" t="s">
        <v>45</v>
      </c>
      <c r="C279" s="269">
        <v>0.00038</v>
      </c>
      <c r="D279" s="73" t="s">
        <v>84</v>
      </c>
      <c r="E279" s="88">
        <f t="shared" si="40"/>
        <v>3.7254901960784315E-07</v>
      </c>
      <c r="F279" s="263">
        <f t="shared" si="41"/>
        <v>1.4901960784313726E-05</v>
      </c>
      <c r="G279" s="264">
        <f t="shared" si="32"/>
        <v>0.00035764705882352943</v>
      </c>
      <c r="H279" s="264">
        <f t="shared" si="34"/>
        <v>0.13054117647058824</v>
      </c>
      <c r="I279" s="265">
        <f t="shared" si="35"/>
        <v>6.527058823529412E-05</v>
      </c>
    </row>
    <row r="280" spans="1:9" ht="12.75">
      <c r="A280" s="62" t="s">
        <v>168</v>
      </c>
      <c r="B280" s="74" t="s">
        <v>45</v>
      </c>
      <c r="C280" s="269">
        <v>0.00026</v>
      </c>
      <c r="D280" s="73" t="s">
        <v>84</v>
      </c>
      <c r="E280" s="88">
        <f t="shared" si="40"/>
        <v>2.549019607843137E-07</v>
      </c>
      <c r="F280" s="263">
        <f t="shared" si="41"/>
        <v>1.0196078431372549E-05</v>
      </c>
      <c r="G280" s="264">
        <f t="shared" si="32"/>
        <v>0.00024470588235294116</v>
      </c>
      <c r="H280" s="264">
        <f t="shared" si="34"/>
        <v>0.08931764705882352</v>
      </c>
      <c r="I280" s="265">
        <f t="shared" si="35"/>
        <v>4.4658823529411756E-05</v>
      </c>
    </row>
    <row r="281" spans="1:9" ht="12.75">
      <c r="A281" s="62" t="s">
        <v>187</v>
      </c>
      <c r="B281" s="74" t="s">
        <v>45</v>
      </c>
      <c r="C281" s="269">
        <v>0.0011</v>
      </c>
      <c r="D281" s="73" t="s">
        <v>84</v>
      </c>
      <c r="E281" s="88">
        <f t="shared" si="40"/>
        <v>1.0784313725490197E-06</v>
      </c>
      <c r="F281" s="263">
        <f t="shared" si="41"/>
        <v>4.313725490196079E-05</v>
      </c>
      <c r="G281" s="264">
        <f t="shared" si="32"/>
        <v>0.001035294117647059</v>
      </c>
      <c r="H281" s="264">
        <f t="shared" si="34"/>
        <v>0.3778823529411765</v>
      </c>
      <c r="I281" s="265">
        <f t="shared" si="35"/>
        <v>0.00018894117647058826</v>
      </c>
    </row>
    <row r="282" spans="1:9" ht="12.75">
      <c r="A282" s="62" t="s">
        <v>117</v>
      </c>
      <c r="B282" s="74" t="s">
        <v>45</v>
      </c>
      <c r="C282" s="269">
        <v>0.0021</v>
      </c>
      <c r="D282" s="73" t="s">
        <v>84</v>
      </c>
      <c r="E282" s="88">
        <f t="shared" si="40"/>
        <v>2.0588235294117645E-06</v>
      </c>
      <c r="F282" s="263">
        <f t="shared" si="41"/>
        <v>8.235294117647058E-05</v>
      </c>
      <c r="G282" s="264">
        <f>F282*24</f>
        <v>0.001976470588235294</v>
      </c>
      <c r="H282" s="264">
        <f t="shared" si="34"/>
        <v>0.7214117647058823</v>
      </c>
      <c r="I282" s="265">
        <f t="shared" si="35"/>
        <v>0.00036070588235294116</v>
      </c>
    </row>
    <row r="283" spans="1:9" ht="12.75">
      <c r="A283" s="62" t="s">
        <v>169</v>
      </c>
      <c r="B283" s="74" t="s">
        <v>45</v>
      </c>
      <c r="C283" s="269">
        <v>2.4E-05</v>
      </c>
      <c r="D283" s="73" t="s">
        <v>84</v>
      </c>
      <c r="E283" s="88">
        <f t="shared" si="40"/>
        <v>2.352941176470588E-08</v>
      </c>
      <c r="F283" s="263">
        <f t="shared" si="41"/>
        <v>9.411764705882352E-07</v>
      </c>
      <c r="G283" s="264">
        <f>F283*24</f>
        <v>2.2588235294117646E-05</v>
      </c>
      <c r="H283" s="264">
        <f t="shared" si="34"/>
        <v>0.00824470588235294</v>
      </c>
      <c r="I283" s="265">
        <f t="shared" si="35"/>
        <v>4.12235294117647E-06</v>
      </c>
    </row>
    <row r="284" spans="1:9" ht="12.75">
      <c r="A284" s="62" t="s">
        <v>188</v>
      </c>
      <c r="B284" s="74" t="s">
        <v>45</v>
      </c>
      <c r="C284" s="269">
        <v>0.0023</v>
      </c>
      <c r="D284" s="73" t="s">
        <v>84</v>
      </c>
      <c r="E284" s="88">
        <f t="shared" si="40"/>
        <v>2.2549019607843137E-06</v>
      </c>
      <c r="F284" s="263">
        <f t="shared" si="41"/>
        <v>9.019607843137255E-05</v>
      </c>
      <c r="G284" s="264">
        <f>F284*24</f>
        <v>0.002164705882352941</v>
      </c>
      <c r="H284" s="264">
        <f t="shared" si="34"/>
        <v>0.7901176470588235</v>
      </c>
      <c r="I284" s="265">
        <f t="shared" si="35"/>
        <v>0.00039505882352941176</v>
      </c>
    </row>
    <row r="285" spans="1:9" ht="13.5" thickBot="1">
      <c r="A285" s="78" t="s">
        <v>170</v>
      </c>
      <c r="B285" s="79" t="s">
        <v>45</v>
      </c>
      <c r="C285" s="270">
        <v>0.029</v>
      </c>
      <c r="D285" s="80" t="s">
        <v>84</v>
      </c>
      <c r="E285" s="101">
        <f t="shared" si="40"/>
        <v>2.8431372549019608E-05</v>
      </c>
      <c r="F285" s="266">
        <f t="shared" si="41"/>
        <v>0.0011372549019607844</v>
      </c>
      <c r="G285" s="267">
        <f>F285*24</f>
        <v>0.027294117647058823</v>
      </c>
      <c r="H285" s="267">
        <f t="shared" si="34"/>
        <v>9.962352941176471</v>
      </c>
      <c r="I285" s="268">
        <f t="shared" si="35"/>
        <v>0.004981176470588235</v>
      </c>
    </row>
    <row r="286" spans="1:9" s="12" customFormat="1" ht="12.75">
      <c r="A286" s="94"/>
      <c r="B286" s="95"/>
      <c r="C286" s="258"/>
      <c r="D286" s="95"/>
      <c r="E286" s="236"/>
      <c r="F286" s="105"/>
      <c r="G286" s="105"/>
      <c r="H286" s="105"/>
      <c r="I286" s="104"/>
    </row>
    <row r="287" spans="1:9" s="12" customFormat="1" ht="12.75">
      <c r="A287" s="94"/>
      <c r="B287" s="95"/>
      <c r="C287" s="258"/>
      <c r="D287" s="95"/>
      <c r="E287" s="236"/>
      <c r="F287" s="105"/>
      <c r="G287" s="105"/>
      <c r="H287" s="105"/>
      <c r="I287" s="104"/>
    </row>
    <row r="288" spans="1:9" s="12" customFormat="1" ht="12.75">
      <c r="A288" s="259" t="s">
        <v>92</v>
      </c>
      <c r="B288" s="95"/>
      <c r="C288" s="258"/>
      <c r="D288" s="95"/>
      <c r="E288" s="236"/>
      <c r="F288" s="105"/>
      <c r="G288" s="105"/>
      <c r="H288" s="105"/>
      <c r="I288" s="104"/>
    </row>
    <row r="289" spans="1:9" s="12" customFormat="1" ht="12.75">
      <c r="A289" s="259"/>
      <c r="B289" s="95"/>
      <c r="C289" s="258"/>
      <c r="D289" s="95"/>
      <c r="E289" s="236"/>
      <c r="F289" s="105"/>
      <c r="G289" s="105"/>
      <c r="H289" s="105"/>
      <c r="I289" s="104"/>
    </row>
    <row r="290" spans="1:9" s="12" customFormat="1" ht="12.75">
      <c r="A290" s="273" t="s">
        <v>149</v>
      </c>
      <c r="B290" s="278">
        <v>215</v>
      </c>
      <c r="C290" s="258"/>
      <c r="D290" s="95"/>
      <c r="E290" s="236"/>
      <c r="F290" s="105"/>
      <c r="G290" s="105"/>
      <c r="H290" s="105"/>
      <c r="I290" s="104"/>
    </row>
    <row r="291" spans="1:9" s="12" customFormat="1" ht="12.75">
      <c r="A291" s="285" t="s">
        <v>172</v>
      </c>
      <c r="B291" s="237" t="s">
        <v>192</v>
      </c>
      <c r="C291" s="258"/>
      <c r="D291" s="95"/>
      <c r="E291" s="236"/>
      <c r="F291" s="105"/>
      <c r="G291" s="105"/>
      <c r="H291" s="105"/>
      <c r="I291" s="104"/>
    </row>
    <row r="292" spans="1:9" s="12" customFormat="1" ht="13.5" thickBot="1">
      <c r="A292" s="94"/>
      <c r="B292" s="95"/>
      <c r="C292" s="258"/>
      <c r="D292" s="95"/>
      <c r="E292" s="236"/>
      <c r="F292" s="105"/>
      <c r="G292" s="105"/>
      <c r="H292" s="105"/>
      <c r="I292" s="104"/>
    </row>
    <row r="293" spans="1:9" ht="12.75">
      <c r="A293" s="135"/>
      <c r="B293" s="136" t="s">
        <v>17</v>
      </c>
      <c r="C293" s="137"/>
      <c r="D293" s="136"/>
      <c r="E293" s="135" t="s">
        <v>17</v>
      </c>
      <c r="F293" s="138" t="s">
        <v>110</v>
      </c>
      <c r="G293" s="139"/>
      <c r="H293" s="139"/>
      <c r="I293" s="140"/>
    </row>
    <row r="294" spans="1:9" ht="13.5" thickBot="1">
      <c r="A294" s="143" t="s">
        <v>0</v>
      </c>
      <c r="B294" s="141" t="s">
        <v>18</v>
      </c>
      <c r="C294" s="141" t="s">
        <v>85</v>
      </c>
      <c r="D294" s="142" t="s">
        <v>83</v>
      </c>
      <c r="E294" s="143" t="s">
        <v>111</v>
      </c>
      <c r="F294" s="115" t="s">
        <v>1</v>
      </c>
      <c r="G294" s="144" t="s">
        <v>14</v>
      </c>
      <c r="H294" s="144" t="s">
        <v>15</v>
      </c>
      <c r="I294" s="145" t="s">
        <v>2</v>
      </c>
    </row>
    <row r="295" spans="1:9" ht="12.75">
      <c r="A295" s="55" t="s">
        <v>108</v>
      </c>
      <c r="B295" s="56" t="s">
        <v>154</v>
      </c>
      <c r="C295" s="56">
        <f>IF(B290&lt;=50,20,5)</f>
        <v>5</v>
      </c>
      <c r="D295" s="57" t="s">
        <v>82</v>
      </c>
      <c r="E295" s="84">
        <f>C295*1.194*10^-7*$B$6*(20.9/(20.9-3))</f>
        <v>0.00607135659217877</v>
      </c>
      <c r="F295" s="61">
        <f aca="true" t="shared" si="42" ref="F295:F311">E295*$B$290</f>
        <v>1.3053416673184357</v>
      </c>
      <c r="G295" s="60">
        <f aca="true" t="shared" si="43" ref="G295:G300">F295*24</f>
        <v>31.32820001564246</v>
      </c>
      <c r="H295" s="60">
        <f t="shared" si="34"/>
        <v>11434.793005709498</v>
      </c>
      <c r="I295" s="162">
        <f t="shared" si="35"/>
        <v>5.717396502854749</v>
      </c>
    </row>
    <row r="296" spans="1:9" ht="12.75">
      <c r="A296" s="62" t="s">
        <v>109</v>
      </c>
      <c r="B296" s="63" t="s">
        <v>155</v>
      </c>
      <c r="C296" s="64" t="s">
        <v>123</v>
      </c>
      <c r="D296" s="65"/>
      <c r="E296" s="85">
        <f>$B$7/$B$5/379.4*64.0588</f>
        <v>0.01407019855912845</v>
      </c>
      <c r="F296" s="69">
        <f t="shared" si="42"/>
        <v>3.0250926902126167</v>
      </c>
      <c r="G296" s="68">
        <f t="shared" si="43"/>
        <v>72.6022245651028</v>
      </c>
      <c r="H296" s="68">
        <f t="shared" si="34"/>
        <v>26499.81196626252</v>
      </c>
      <c r="I296" s="163">
        <f t="shared" si="35"/>
        <v>13.24990598313126</v>
      </c>
    </row>
    <row r="297" spans="1:9" ht="12.75">
      <c r="A297" s="62" t="s">
        <v>16</v>
      </c>
      <c r="B297" s="63" t="s">
        <v>154</v>
      </c>
      <c r="C297" s="71">
        <f>IF(B290&lt;=50,50,10)</f>
        <v>10</v>
      </c>
      <c r="D297" s="72" t="s">
        <v>82</v>
      </c>
      <c r="E297" s="85">
        <f>C297*((1.194*10^-7)/46.0055*28.0104)*$B$6*(20.9/(20.9-3))</f>
        <v>0.007393078074993827</v>
      </c>
      <c r="F297" s="69">
        <f t="shared" si="42"/>
        <v>1.5895117861236727</v>
      </c>
      <c r="G297" s="68">
        <f t="shared" si="43"/>
        <v>38.148282866968145</v>
      </c>
      <c r="H297" s="68">
        <f t="shared" si="34"/>
        <v>13924.123246443372</v>
      </c>
      <c r="I297" s="163">
        <f t="shared" si="35"/>
        <v>6.962061623221686</v>
      </c>
    </row>
    <row r="298" spans="1:9" ht="12.75">
      <c r="A298" s="62" t="s">
        <v>3</v>
      </c>
      <c r="B298" s="74" t="s">
        <v>45</v>
      </c>
      <c r="C298" s="74">
        <v>5.5</v>
      </c>
      <c r="D298" s="73" t="s">
        <v>84</v>
      </c>
      <c r="E298" s="87">
        <f aca="true" t="shared" si="44" ref="E298:E311">C298/$B$4</f>
        <v>0.005392156862745098</v>
      </c>
      <c r="F298" s="69">
        <f t="shared" si="42"/>
        <v>1.159313725490196</v>
      </c>
      <c r="G298" s="68">
        <f t="shared" si="43"/>
        <v>27.823529411764703</v>
      </c>
      <c r="H298" s="68">
        <f t="shared" si="34"/>
        <v>10155.588235294117</v>
      </c>
      <c r="I298" s="163">
        <f t="shared" si="35"/>
        <v>5.077794117647058</v>
      </c>
    </row>
    <row r="299" spans="1:9" ht="15.75">
      <c r="A299" s="62" t="s">
        <v>151</v>
      </c>
      <c r="B299" s="74" t="s">
        <v>45</v>
      </c>
      <c r="C299" s="74">
        <v>7.6</v>
      </c>
      <c r="D299" s="73" t="s">
        <v>84</v>
      </c>
      <c r="E299" s="87">
        <f t="shared" si="44"/>
        <v>0.007450980392156863</v>
      </c>
      <c r="F299" s="69">
        <f t="shared" si="42"/>
        <v>1.6019607843137256</v>
      </c>
      <c r="G299" s="68">
        <f t="shared" si="43"/>
        <v>38.44705882352942</v>
      </c>
      <c r="H299" s="68">
        <f t="shared" si="34"/>
        <v>14033.176470588238</v>
      </c>
      <c r="I299" s="163">
        <f t="shared" si="35"/>
        <v>7.016588235294119</v>
      </c>
    </row>
    <row r="300" spans="1:9" ht="12.75">
      <c r="A300" s="62" t="s">
        <v>112</v>
      </c>
      <c r="B300" s="74" t="s">
        <v>124</v>
      </c>
      <c r="C300" s="74">
        <v>10</v>
      </c>
      <c r="D300" s="73" t="s">
        <v>82</v>
      </c>
      <c r="E300" s="87">
        <f>C300*((1.194*10^-7)/46.0055*17.0304)*$B$6*(20.9/(20.9-3))</f>
        <v>0.004495011740224162</v>
      </c>
      <c r="F300" s="69">
        <f t="shared" si="42"/>
        <v>0.9664275241481948</v>
      </c>
      <c r="G300" s="68">
        <f t="shared" si="43"/>
        <v>23.194260579556676</v>
      </c>
      <c r="H300" s="68">
        <f t="shared" si="34"/>
        <v>8465.905111538186</v>
      </c>
      <c r="I300" s="163">
        <f t="shared" si="35"/>
        <v>4.232952555769093</v>
      </c>
    </row>
    <row r="301" spans="1:9" ht="12.75">
      <c r="A301" s="62" t="s">
        <v>34</v>
      </c>
      <c r="B301" s="74" t="s">
        <v>44</v>
      </c>
      <c r="C301" s="76">
        <v>0.0017</v>
      </c>
      <c r="D301" s="73" t="s">
        <v>84</v>
      </c>
      <c r="E301" s="88">
        <f t="shared" si="44"/>
        <v>1.6666666666666667E-06</v>
      </c>
      <c r="F301" s="263">
        <f t="shared" si="42"/>
        <v>0.00035833333333333333</v>
      </c>
      <c r="G301" s="264">
        <f aca="true" t="shared" si="45" ref="G301:G327">F301*24</f>
        <v>0.0086</v>
      </c>
      <c r="H301" s="264">
        <f t="shared" si="34"/>
        <v>3.139</v>
      </c>
      <c r="I301" s="265">
        <f t="shared" si="35"/>
        <v>0.0015695</v>
      </c>
    </row>
    <row r="302" spans="1:9" ht="12.75">
      <c r="A302" s="62" t="s">
        <v>35</v>
      </c>
      <c r="B302" s="74" t="s">
        <v>44</v>
      </c>
      <c r="C302" s="76">
        <v>0.0036</v>
      </c>
      <c r="D302" s="73" t="s">
        <v>84</v>
      </c>
      <c r="E302" s="88">
        <f t="shared" si="44"/>
        <v>3.5294117647058825E-06</v>
      </c>
      <c r="F302" s="263">
        <f t="shared" si="42"/>
        <v>0.0007588235294117647</v>
      </c>
      <c r="G302" s="264">
        <f t="shared" si="45"/>
        <v>0.01821176470588235</v>
      </c>
      <c r="H302" s="264">
        <f t="shared" si="34"/>
        <v>6.647294117647058</v>
      </c>
      <c r="I302" s="265">
        <f t="shared" si="35"/>
        <v>0.003323647058823529</v>
      </c>
    </row>
    <row r="303" spans="1:9" ht="12.75">
      <c r="A303" s="54" t="s">
        <v>36</v>
      </c>
      <c r="B303" s="74" t="s">
        <v>44</v>
      </c>
      <c r="C303" s="76">
        <f>0.0004-C304</f>
        <v>0.00010000000000000005</v>
      </c>
      <c r="D303" s="73" t="s">
        <v>84</v>
      </c>
      <c r="E303" s="88">
        <f t="shared" si="44"/>
        <v>9.803921568627456E-08</v>
      </c>
      <c r="F303" s="263">
        <f t="shared" si="42"/>
        <v>2.107843137254903E-05</v>
      </c>
      <c r="G303" s="264">
        <f t="shared" si="45"/>
        <v>0.0005058823529411768</v>
      </c>
      <c r="H303" s="264">
        <f t="shared" si="34"/>
        <v>0.18464705882352953</v>
      </c>
      <c r="I303" s="265">
        <f t="shared" si="35"/>
        <v>9.232352941176476E-05</v>
      </c>
    </row>
    <row r="304" spans="1:9" ht="12.75">
      <c r="A304" s="62" t="s">
        <v>37</v>
      </c>
      <c r="B304" s="74" t="s">
        <v>44</v>
      </c>
      <c r="C304" s="76">
        <v>0.0003</v>
      </c>
      <c r="D304" s="73" t="s">
        <v>84</v>
      </c>
      <c r="E304" s="88">
        <f t="shared" si="44"/>
        <v>2.941176470588235E-07</v>
      </c>
      <c r="F304" s="263">
        <f t="shared" si="42"/>
        <v>6.323529411764705E-05</v>
      </c>
      <c r="G304" s="264">
        <f t="shared" si="45"/>
        <v>0.0015176470588235294</v>
      </c>
      <c r="H304" s="264">
        <f t="shared" si="34"/>
        <v>0.5539411764705883</v>
      </c>
      <c r="I304" s="265">
        <f t="shared" si="35"/>
        <v>0.00027697058823529416</v>
      </c>
    </row>
    <row r="305" spans="1:9" ht="12.75">
      <c r="A305" s="62" t="s">
        <v>38</v>
      </c>
      <c r="B305" s="74" t="s">
        <v>44</v>
      </c>
      <c r="C305" s="76">
        <v>0.0009</v>
      </c>
      <c r="D305" s="73" t="s">
        <v>84</v>
      </c>
      <c r="E305" s="88">
        <f t="shared" si="44"/>
        <v>8.823529411764706E-07</v>
      </c>
      <c r="F305" s="263">
        <f t="shared" si="42"/>
        <v>0.00018970588235294117</v>
      </c>
      <c r="G305" s="264">
        <f t="shared" si="45"/>
        <v>0.004552941176470588</v>
      </c>
      <c r="H305" s="264">
        <f t="shared" si="34"/>
        <v>1.6618235294117645</v>
      </c>
      <c r="I305" s="265">
        <f t="shared" si="35"/>
        <v>0.0008309117647058822</v>
      </c>
    </row>
    <row r="306" spans="1:9" ht="12.75">
      <c r="A306" s="62" t="s">
        <v>39</v>
      </c>
      <c r="B306" s="74" t="s">
        <v>44</v>
      </c>
      <c r="C306" s="76">
        <v>0.0008</v>
      </c>
      <c r="D306" s="73" t="s">
        <v>84</v>
      </c>
      <c r="E306" s="88">
        <f t="shared" si="44"/>
        <v>7.843137254901962E-07</v>
      </c>
      <c r="F306" s="263">
        <f t="shared" si="42"/>
        <v>0.00016862745098039216</v>
      </c>
      <c r="G306" s="264">
        <f t="shared" si="45"/>
        <v>0.004047058823529412</v>
      </c>
      <c r="H306" s="264">
        <f t="shared" si="34"/>
        <v>1.4771764705882355</v>
      </c>
      <c r="I306" s="265">
        <f t="shared" si="35"/>
        <v>0.0007385882352941177</v>
      </c>
    </row>
    <row r="307" spans="1:9" ht="12.75">
      <c r="A307" s="62" t="s">
        <v>40</v>
      </c>
      <c r="B307" s="74" t="s">
        <v>44</v>
      </c>
      <c r="C307" s="76">
        <v>0.01553</v>
      </c>
      <c r="D307" s="73" t="s">
        <v>84</v>
      </c>
      <c r="E307" s="88">
        <f t="shared" si="44"/>
        <v>1.5225490196078432E-05</v>
      </c>
      <c r="F307" s="263">
        <f t="shared" si="42"/>
        <v>0.0032734803921568626</v>
      </c>
      <c r="G307" s="264">
        <f t="shared" si="45"/>
        <v>0.0785635294117647</v>
      </c>
      <c r="H307" s="264">
        <f t="shared" si="34"/>
        <v>28.675688235294114</v>
      </c>
      <c r="I307" s="265">
        <f t="shared" si="35"/>
        <v>0.014337844117647058</v>
      </c>
    </row>
    <row r="308" spans="1:9" ht="12.75">
      <c r="A308" s="62" t="s">
        <v>41</v>
      </c>
      <c r="B308" s="74" t="s">
        <v>44</v>
      </c>
      <c r="C308" s="76">
        <v>0.0078</v>
      </c>
      <c r="D308" s="73" t="s">
        <v>84</v>
      </c>
      <c r="E308" s="88">
        <f t="shared" si="44"/>
        <v>7.647058823529411E-06</v>
      </c>
      <c r="F308" s="263">
        <f t="shared" si="42"/>
        <v>0.0016441176470588235</v>
      </c>
      <c r="G308" s="264">
        <f t="shared" si="45"/>
        <v>0.03945882352941176</v>
      </c>
      <c r="H308" s="264">
        <f t="shared" si="34"/>
        <v>14.402470588235293</v>
      </c>
      <c r="I308" s="265">
        <f t="shared" si="35"/>
        <v>0.007201235294117646</v>
      </c>
    </row>
    <row r="309" spans="1:9" ht="12.75">
      <c r="A309" s="62" t="s">
        <v>42</v>
      </c>
      <c r="B309" s="74" t="s">
        <v>44</v>
      </c>
      <c r="C309" s="76">
        <v>0.0058</v>
      </c>
      <c r="D309" s="73" t="s">
        <v>84</v>
      </c>
      <c r="E309" s="88">
        <f t="shared" si="44"/>
        <v>5.686274509803921E-06</v>
      </c>
      <c r="F309" s="263">
        <f t="shared" si="42"/>
        <v>0.001222549019607843</v>
      </c>
      <c r="G309" s="264">
        <f t="shared" si="45"/>
        <v>0.02934117647058823</v>
      </c>
      <c r="H309" s="264">
        <f t="shared" si="34"/>
        <v>10.709529411764704</v>
      </c>
      <c r="I309" s="265">
        <f t="shared" si="35"/>
        <v>0.005354764705882352</v>
      </c>
    </row>
    <row r="310" spans="1:9" ht="12.75">
      <c r="A310" s="62" t="s">
        <v>43</v>
      </c>
      <c r="B310" s="74" t="s">
        <v>44</v>
      </c>
      <c r="C310" s="76">
        <v>0.002</v>
      </c>
      <c r="D310" s="73" t="s">
        <v>84</v>
      </c>
      <c r="E310" s="88">
        <f t="shared" si="44"/>
        <v>1.96078431372549E-06</v>
      </c>
      <c r="F310" s="263">
        <f t="shared" si="42"/>
        <v>0.0004215686274509804</v>
      </c>
      <c r="G310" s="264">
        <f t="shared" si="45"/>
        <v>0.01011764705882353</v>
      </c>
      <c r="H310" s="264">
        <f t="shared" si="34"/>
        <v>3.692941176470588</v>
      </c>
      <c r="I310" s="265">
        <f t="shared" si="35"/>
        <v>0.001846470588235294</v>
      </c>
    </row>
    <row r="311" spans="1:9" ht="12.75">
      <c r="A311" s="62" t="s">
        <v>139</v>
      </c>
      <c r="B311" s="74" t="s">
        <v>44</v>
      </c>
      <c r="C311" s="76">
        <v>0.0013</v>
      </c>
      <c r="D311" s="73" t="s">
        <v>84</v>
      </c>
      <c r="E311" s="88">
        <f t="shared" si="44"/>
        <v>1.2745098039215686E-06</v>
      </c>
      <c r="F311" s="263">
        <f t="shared" si="42"/>
        <v>0.0002740196078431372</v>
      </c>
      <c r="G311" s="264">
        <f t="shared" si="45"/>
        <v>0.006576470588235293</v>
      </c>
      <c r="H311" s="264">
        <f t="shared" si="34"/>
        <v>2.400411764705882</v>
      </c>
      <c r="I311" s="265">
        <f t="shared" si="35"/>
        <v>0.001200205882352941</v>
      </c>
    </row>
    <row r="312" spans="1:9" ht="12.75">
      <c r="A312" s="62" t="s">
        <v>118</v>
      </c>
      <c r="B312" s="74" t="s">
        <v>45</v>
      </c>
      <c r="C312" s="269">
        <v>0.0002</v>
      </c>
      <c r="D312" s="73" t="s">
        <v>84</v>
      </c>
      <c r="E312" s="88">
        <f aca="true" t="shared" si="46" ref="E312:E327">C312/$B$4</f>
        <v>1.9607843137254904E-07</v>
      </c>
      <c r="F312" s="263">
        <f aca="true" t="shared" si="47" ref="F312:F327">E312*$B$290</f>
        <v>4.215686274509804E-05</v>
      </c>
      <c r="G312" s="264">
        <f t="shared" si="45"/>
        <v>0.001011764705882353</v>
      </c>
      <c r="H312" s="264">
        <f t="shared" si="34"/>
        <v>0.3692941176470589</v>
      </c>
      <c r="I312" s="265">
        <f t="shared" si="35"/>
        <v>0.00018464705882352943</v>
      </c>
    </row>
    <row r="313" spans="1:9" ht="12.75">
      <c r="A313" s="62" t="s">
        <v>184</v>
      </c>
      <c r="B313" s="74" t="s">
        <v>45</v>
      </c>
      <c r="C313" s="269">
        <v>0.0044</v>
      </c>
      <c r="D313" s="73" t="s">
        <v>84</v>
      </c>
      <c r="E313" s="88">
        <f t="shared" si="46"/>
        <v>4.313725490196079E-06</v>
      </c>
      <c r="F313" s="263">
        <f t="shared" si="47"/>
        <v>0.0009274509803921569</v>
      </c>
      <c r="G313" s="264">
        <f t="shared" si="45"/>
        <v>0.022258823529411765</v>
      </c>
      <c r="H313" s="264">
        <f aca="true" t="shared" si="48" ref="H313:H327">G313*365</f>
        <v>8.124470588235294</v>
      </c>
      <c r="I313" s="265">
        <f aca="true" t="shared" si="49" ref="I313:I327">H313/2000</f>
        <v>0.004062235294117647</v>
      </c>
    </row>
    <row r="314" spans="1:9" ht="12.75">
      <c r="A314" s="62" t="s">
        <v>185</v>
      </c>
      <c r="B314" s="74" t="s">
        <v>45</v>
      </c>
      <c r="C314" s="269">
        <v>1.2E-05</v>
      </c>
      <c r="D314" s="73" t="s">
        <v>84</v>
      </c>
      <c r="E314" s="88">
        <f t="shared" si="46"/>
        <v>1.176470588235294E-08</v>
      </c>
      <c r="F314" s="263">
        <f t="shared" si="47"/>
        <v>2.5294117647058823E-06</v>
      </c>
      <c r="G314" s="264">
        <f t="shared" si="45"/>
        <v>6.0705882352941175E-05</v>
      </c>
      <c r="H314" s="264">
        <f t="shared" si="48"/>
        <v>0.02215764705882353</v>
      </c>
      <c r="I314" s="265">
        <f t="shared" si="49"/>
        <v>1.1078823529411765E-05</v>
      </c>
    </row>
    <row r="315" spans="1:9" ht="12.75">
      <c r="A315" s="62" t="s">
        <v>165</v>
      </c>
      <c r="B315" s="74" t="s">
        <v>45</v>
      </c>
      <c r="C315" s="269">
        <v>0.0011</v>
      </c>
      <c r="D315" s="73" t="s">
        <v>84</v>
      </c>
      <c r="E315" s="88">
        <f t="shared" si="46"/>
        <v>1.0784313725490197E-06</v>
      </c>
      <c r="F315" s="263">
        <f t="shared" si="47"/>
        <v>0.00023186274509803923</v>
      </c>
      <c r="G315" s="264">
        <f t="shared" si="45"/>
        <v>0.005564705882352941</v>
      </c>
      <c r="H315" s="264">
        <f t="shared" si="48"/>
        <v>2.0311176470588235</v>
      </c>
      <c r="I315" s="265">
        <f t="shared" si="49"/>
        <v>0.0010155588235294117</v>
      </c>
    </row>
    <row r="316" spans="1:9" ht="12.75">
      <c r="A316" s="62" t="s">
        <v>166</v>
      </c>
      <c r="B316" s="74" t="s">
        <v>272</v>
      </c>
      <c r="C316" s="269">
        <f>0.0014*95%</f>
        <v>0.00133</v>
      </c>
      <c r="D316" s="73" t="s">
        <v>84</v>
      </c>
      <c r="E316" s="88">
        <f t="shared" si="46"/>
        <v>1.303921568627451E-06</v>
      </c>
      <c r="F316" s="263">
        <f t="shared" si="47"/>
        <v>0.00028034313725490195</v>
      </c>
      <c r="G316" s="264">
        <f t="shared" si="45"/>
        <v>0.006728235294117647</v>
      </c>
      <c r="H316" s="264">
        <f t="shared" si="48"/>
        <v>2.455805882352941</v>
      </c>
      <c r="I316" s="265">
        <f t="shared" si="49"/>
        <v>0.0012279029411764706</v>
      </c>
    </row>
    <row r="317" spans="1:9" ht="12.75">
      <c r="A317" s="62" t="s">
        <v>195</v>
      </c>
      <c r="B317" s="74" t="s">
        <v>273</v>
      </c>
      <c r="C317" s="269">
        <f>0.0014*5%</f>
        <v>7.000000000000001E-05</v>
      </c>
      <c r="D317" s="73" t="s">
        <v>84</v>
      </c>
      <c r="E317" s="88">
        <f>C317/$B$4</f>
        <v>6.862745098039216E-08</v>
      </c>
      <c r="F317" s="263">
        <f t="shared" si="47"/>
        <v>1.4754901960784315E-05</v>
      </c>
      <c r="G317" s="264">
        <f t="shared" si="45"/>
        <v>0.00035411764705882355</v>
      </c>
      <c r="H317" s="264">
        <f t="shared" si="48"/>
        <v>0.1292529411764706</v>
      </c>
      <c r="I317" s="265">
        <f t="shared" si="49"/>
        <v>6.46264705882353E-05</v>
      </c>
    </row>
    <row r="318" spans="1:9" ht="12.75">
      <c r="A318" s="62" t="s">
        <v>186</v>
      </c>
      <c r="B318" s="74" t="s">
        <v>45</v>
      </c>
      <c r="C318" s="269">
        <v>8.4E-05</v>
      </c>
      <c r="D318" s="73" t="s">
        <v>84</v>
      </c>
      <c r="E318" s="88">
        <f t="shared" si="46"/>
        <v>8.235294117647059E-08</v>
      </c>
      <c r="F318" s="263">
        <f t="shared" si="47"/>
        <v>1.7705882352941177E-05</v>
      </c>
      <c r="G318" s="264">
        <f t="shared" si="45"/>
        <v>0.0004249411764705882</v>
      </c>
      <c r="H318" s="264">
        <f t="shared" si="48"/>
        <v>0.1551035294117647</v>
      </c>
      <c r="I318" s="265">
        <f t="shared" si="49"/>
        <v>7.755176470588235E-05</v>
      </c>
    </row>
    <row r="319" spans="1:9" ht="12.75">
      <c r="A319" s="62" t="s">
        <v>119</v>
      </c>
      <c r="B319" s="74" t="s">
        <v>45</v>
      </c>
      <c r="C319" s="269">
        <v>0.00085</v>
      </c>
      <c r="D319" s="73" t="s">
        <v>84</v>
      </c>
      <c r="E319" s="88">
        <f t="shared" si="46"/>
        <v>8.333333333333333E-07</v>
      </c>
      <c r="F319" s="263">
        <f>E319*$B$290</f>
        <v>0.00017916666666666667</v>
      </c>
      <c r="G319" s="264">
        <f t="shared" si="45"/>
        <v>0.0043</v>
      </c>
      <c r="H319" s="264">
        <f t="shared" si="48"/>
        <v>1.5695</v>
      </c>
      <c r="I319" s="265">
        <f t="shared" si="49"/>
        <v>0.00078475</v>
      </c>
    </row>
    <row r="320" spans="1:9" ht="12.75">
      <c r="A320" s="62" t="s">
        <v>120</v>
      </c>
      <c r="B320" s="74" t="s">
        <v>45</v>
      </c>
      <c r="C320" s="269">
        <v>0.0005</v>
      </c>
      <c r="D320" s="73" t="s">
        <v>84</v>
      </c>
      <c r="E320" s="88">
        <f>C320/$B$4</f>
        <v>4.901960784313725E-07</v>
      </c>
      <c r="F320" s="263">
        <f t="shared" si="47"/>
        <v>0.0001053921568627451</v>
      </c>
      <c r="G320" s="264">
        <f t="shared" si="45"/>
        <v>0.0025294117647058825</v>
      </c>
      <c r="H320" s="264">
        <f t="shared" si="48"/>
        <v>0.923235294117647</v>
      </c>
      <c r="I320" s="265">
        <f t="shared" si="49"/>
        <v>0.0004616176470588235</v>
      </c>
    </row>
    <row r="321" spans="1:9" ht="12.75">
      <c r="A321" s="62" t="s">
        <v>167</v>
      </c>
      <c r="B321" s="74" t="s">
        <v>45</v>
      </c>
      <c r="C321" s="269">
        <v>0.00038</v>
      </c>
      <c r="D321" s="73" t="s">
        <v>84</v>
      </c>
      <c r="E321" s="88">
        <f t="shared" si="46"/>
        <v>3.7254901960784315E-07</v>
      </c>
      <c r="F321" s="263">
        <f t="shared" si="47"/>
        <v>8.009803921568627E-05</v>
      </c>
      <c r="G321" s="264">
        <f t="shared" si="45"/>
        <v>0.0019223529411764705</v>
      </c>
      <c r="H321" s="264">
        <f t="shared" si="48"/>
        <v>0.7016588235294118</v>
      </c>
      <c r="I321" s="265">
        <f t="shared" si="49"/>
        <v>0.00035082941176470587</v>
      </c>
    </row>
    <row r="322" spans="1:9" ht="12.75">
      <c r="A322" s="62" t="s">
        <v>168</v>
      </c>
      <c r="B322" s="74" t="s">
        <v>45</v>
      </c>
      <c r="C322" s="269">
        <v>0.00026</v>
      </c>
      <c r="D322" s="73" t="s">
        <v>84</v>
      </c>
      <c r="E322" s="88">
        <f t="shared" si="46"/>
        <v>2.549019607843137E-07</v>
      </c>
      <c r="F322" s="263">
        <f t="shared" si="47"/>
        <v>5.4803921568627444E-05</v>
      </c>
      <c r="G322" s="264">
        <f t="shared" si="45"/>
        <v>0.0013152941176470586</v>
      </c>
      <c r="H322" s="264">
        <f t="shared" si="48"/>
        <v>0.4800823529411764</v>
      </c>
      <c r="I322" s="265">
        <f t="shared" si="49"/>
        <v>0.0002400411764705882</v>
      </c>
    </row>
    <row r="323" spans="1:9" ht="12.75">
      <c r="A323" s="62" t="s">
        <v>187</v>
      </c>
      <c r="B323" s="74" t="s">
        <v>45</v>
      </c>
      <c r="C323" s="269">
        <v>0.0011</v>
      </c>
      <c r="D323" s="73" t="s">
        <v>84</v>
      </c>
      <c r="E323" s="88">
        <f t="shared" si="46"/>
        <v>1.0784313725490197E-06</v>
      </c>
      <c r="F323" s="263">
        <f t="shared" si="47"/>
        <v>0.00023186274509803923</v>
      </c>
      <c r="G323" s="264">
        <f t="shared" si="45"/>
        <v>0.005564705882352941</v>
      </c>
      <c r="H323" s="264">
        <f t="shared" si="48"/>
        <v>2.0311176470588235</v>
      </c>
      <c r="I323" s="265">
        <f t="shared" si="49"/>
        <v>0.0010155588235294117</v>
      </c>
    </row>
    <row r="324" spans="1:9" ht="12.75">
      <c r="A324" s="62" t="s">
        <v>117</v>
      </c>
      <c r="B324" s="74" t="s">
        <v>45</v>
      </c>
      <c r="C324" s="269">
        <v>0.0021</v>
      </c>
      <c r="D324" s="73" t="s">
        <v>84</v>
      </c>
      <c r="E324" s="88">
        <f t="shared" si="46"/>
        <v>2.0588235294117645E-06</v>
      </c>
      <c r="F324" s="263">
        <f t="shared" si="47"/>
        <v>0.0004426470588235294</v>
      </c>
      <c r="G324" s="264">
        <f t="shared" si="45"/>
        <v>0.010623529411764705</v>
      </c>
      <c r="H324" s="264">
        <f t="shared" si="48"/>
        <v>3.8775882352941173</v>
      </c>
      <c r="I324" s="265">
        <f t="shared" si="49"/>
        <v>0.0019387941176470587</v>
      </c>
    </row>
    <row r="325" spans="1:9" ht="12.75">
      <c r="A325" s="62" t="s">
        <v>169</v>
      </c>
      <c r="B325" s="74" t="s">
        <v>45</v>
      </c>
      <c r="C325" s="269">
        <v>2.4E-05</v>
      </c>
      <c r="D325" s="73" t="s">
        <v>84</v>
      </c>
      <c r="E325" s="88">
        <f t="shared" si="46"/>
        <v>2.352941176470588E-08</v>
      </c>
      <c r="F325" s="263">
        <f t="shared" si="47"/>
        <v>5.058823529411765E-06</v>
      </c>
      <c r="G325" s="264">
        <f t="shared" si="45"/>
        <v>0.00012141176470588235</v>
      </c>
      <c r="H325" s="264">
        <f t="shared" si="48"/>
        <v>0.04431529411764706</v>
      </c>
      <c r="I325" s="265">
        <f t="shared" si="49"/>
        <v>2.215764705882353E-05</v>
      </c>
    </row>
    <row r="326" spans="1:9" ht="12.75">
      <c r="A326" s="62" t="s">
        <v>188</v>
      </c>
      <c r="B326" s="74" t="s">
        <v>45</v>
      </c>
      <c r="C326" s="269">
        <v>0.0023</v>
      </c>
      <c r="D326" s="73" t="s">
        <v>84</v>
      </c>
      <c r="E326" s="88">
        <f t="shared" si="46"/>
        <v>2.2549019607843137E-06</v>
      </c>
      <c r="F326" s="263">
        <f t="shared" si="47"/>
        <v>0.0004848039215686274</v>
      </c>
      <c r="G326" s="264">
        <f t="shared" si="45"/>
        <v>0.011635294117647058</v>
      </c>
      <c r="H326" s="264">
        <f t="shared" si="48"/>
        <v>4.246882352941176</v>
      </c>
      <c r="I326" s="265">
        <f t="shared" si="49"/>
        <v>0.002123441176470588</v>
      </c>
    </row>
    <row r="327" spans="1:9" ht="13.5" thickBot="1">
      <c r="A327" s="78" t="s">
        <v>170</v>
      </c>
      <c r="B327" s="79" t="s">
        <v>45</v>
      </c>
      <c r="C327" s="270">
        <v>0.029</v>
      </c>
      <c r="D327" s="80" t="s">
        <v>84</v>
      </c>
      <c r="E327" s="101">
        <f t="shared" si="46"/>
        <v>2.8431372549019608E-05</v>
      </c>
      <c r="F327" s="266">
        <f t="shared" si="47"/>
        <v>0.006112745098039216</v>
      </c>
      <c r="G327" s="267">
        <f t="shared" si="45"/>
        <v>0.14670588235294119</v>
      </c>
      <c r="H327" s="267">
        <f t="shared" si="48"/>
        <v>53.547647058823536</v>
      </c>
      <c r="I327" s="268">
        <f t="shared" si="49"/>
        <v>0.026773823529411767</v>
      </c>
    </row>
    <row r="328" spans="1:9" s="12" customFormat="1" ht="12.75">
      <c r="A328" s="94"/>
      <c r="B328" s="95"/>
      <c r="C328" s="258"/>
      <c r="D328" s="95"/>
      <c r="E328" s="236"/>
      <c r="F328" s="105"/>
      <c r="G328" s="105"/>
      <c r="H328" s="105"/>
      <c r="I328" s="104"/>
    </row>
    <row r="329" spans="1:9" s="12" customFormat="1" ht="12.75">
      <c r="A329" s="94"/>
      <c r="B329" s="95"/>
      <c r="C329" s="258"/>
      <c r="D329" s="95"/>
      <c r="E329" s="236"/>
      <c r="F329" s="105"/>
      <c r="G329" s="105"/>
      <c r="H329" s="105"/>
      <c r="I329" s="104"/>
    </row>
    <row r="330" spans="1:9" s="12" customFormat="1" ht="12.75">
      <c r="A330" s="259" t="s">
        <v>174</v>
      </c>
      <c r="B330" s="95"/>
      <c r="C330" s="258"/>
      <c r="D330" s="95"/>
      <c r="E330" s="236"/>
      <c r="F330" s="105"/>
      <c r="G330" s="105"/>
      <c r="H330" s="105"/>
      <c r="I330" s="104"/>
    </row>
    <row r="331" spans="1:9" s="12" customFormat="1" ht="13.5" thickBot="1">
      <c r="A331" s="259"/>
      <c r="B331" s="95"/>
      <c r="C331" s="258"/>
      <c r="D331" s="95"/>
      <c r="E331" s="236"/>
      <c r="F331" s="105"/>
      <c r="G331" s="105"/>
      <c r="H331" s="105"/>
      <c r="I331" s="104"/>
    </row>
    <row r="332" spans="1:9" s="12" customFormat="1" ht="12.75">
      <c r="A332" s="55" t="s">
        <v>216</v>
      </c>
      <c r="B332" s="327">
        <v>0</v>
      </c>
      <c r="C332" s="328" t="s">
        <v>217</v>
      </c>
      <c r="D332" s="260" t="s">
        <v>218</v>
      </c>
      <c r="E332" s="236"/>
      <c r="F332" s="105"/>
      <c r="G332" s="105"/>
      <c r="H332" s="105"/>
      <c r="I332" s="104"/>
    </row>
    <row r="333" spans="1:9" s="12" customFormat="1" ht="12.75">
      <c r="A333" s="62" t="s">
        <v>219</v>
      </c>
      <c r="B333" s="329">
        <v>2500</v>
      </c>
      <c r="C333" s="330" t="s">
        <v>220</v>
      </c>
      <c r="D333" s="95"/>
      <c r="E333" s="236"/>
      <c r="F333" s="105"/>
      <c r="G333" s="105"/>
      <c r="H333" s="105"/>
      <c r="I333" s="104"/>
    </row>
    <row r="334" spans="1:9" s="12" customFormat="1" ht="12.75">
      <c r="A334" s="89" t="s">
        <v>175</v>
      </c>
      <c r="B334" s="329">
        <v>0.0025</v>
      </c>
      <c r="C334" s="330" t="s">
        <v>221</v>
      </c>
      <c r="D334" s="95"/>
      <c r="E334" s="236"/>
      <c r="F334" s="105"/>
      <c r="G334" s="105"/>
      <c r="H334" s="105"/>
      <c r="I334" s="104"/>
    </row>
    <row r="335" spans="1:9" s="12" customFormat="1" ht="12.75">
      <c r="A335" s="331"/>
      <c r="B335" s="240">
        <v>3</v>
      </c>
      <c r="C335" s="332" t="s">
        <v>222</v>
      </c>
      <c r="D335" s="95"/>
      <c r="E335" s="236"/>
      <c r="F335" s="105"/>
      <c r="G335" s="105"/>
      <c r="H335" s="105"/>
      <c r="I335" s="104"/>
    </row>
    <row r="336" spans="1:9" s="12" customFormat="1" ht="12.75">
      <c r="A336" s="89" t="s">
        <v>223</v>
      </c>
      <c r="B336" s="333">
        <v>0.345912</v>
      </c>
      <c r="C336" s="332" t="s">
        <v>221</v>
      </c>
      <c r="D336" s="260" t="s">
        <v>227</v>
      </c>
      <c r="E336" s="236"/>
      <c r="F336" s="105"/>
      <c r="G336" s="105"/>
      <c r="H336" s="105"/>
      <c r="I336" s="104"/>
    </row>
    <row r="337" spans="1:9" s="12" customFormat="1" ht="12.75">
      <c r="A337" s="331"/>
      <c r="B337" s="334">
        <v>375.66698496000004</v>
      </c>
      <c r="C337" s="332" t="s">
        <v>222</v>
      </c>
      <c r="D337" s="95"/>
      <c r="E337" s="236"/>
      <c r="F337" s="105"/>
      <c r="G337" s="105"/>
      <c r="H337" s="105"/>
      <c r="I337" s="104"/>
    </row>
    <row r="338" spans="1:9" s="12" customFormat="1" ht="12.75">
      <c r="A338" s="89" t="s">
        <v>224</v>
      </c>
      <c r="B338" s="335">
        <v>3.4470952773142858</v>
      </c>
      <c r="C338" s="330" t="s">
        <v>225</v>
      </c>
      <c r="D338" s="95"/>
      <c r="E338" s="236"/>
      <c r="F338" s="105"/>
      <c r="G338" s="105"/>
      <c r="H338" s="105"/>
      <c r="I338" s="104"/>
    </row>
    <row r="339" spans="1:9" s="12" customFormat="1" ht="13.5" thickBot="1">
      <c r="A339" s="336"/>
      <c r="B339" s="337">
        <v>2268.589532777143</v>
      </c>
      <c r="C339" s="338" t="s">
        <v>226</v>
      </c>
      <c r="D339" s="95"/>
      <c r="E339" s="236"/>
      <c r="F339" s="105"/>
      <c r="G339" s="105"/>
      <c r="H339" s="105"/>
      <c r="I339" s="104"/>
    </row>
    <row r="340" spans="1:9" s="12" customFormat="1" ht="13.5" thickBot="1">
      <c r="A340" s="94"/>
      <c r="B340" s="362"/>
      <c r="C340" s="258"/>
      <c r="D340" s="95"/>
      <c r="E340" s="236"/>
      <c r="F340" s="105"/>
      <c r="G340" s="105"/>
      <c r="H340" s="105"/>
      <c r="I340" s="104"/>
    </row>
    <row r="341" spans="1:9" s="12" customFormat="1" ht="12.75">
      <c r="A341" s="55" t="s">
        <v>253</v>
      </c>
      <c r="B341" s="393">
        <v>50</v>
      </c>
      <c r="C341" s="328" t="s">
        <v>250</v>
      </c>
      <c r="D341" s="95"/>
      <c r="E341" s="236"/>
      <c r="F341" s="105"/>
      <c r="G341" s="105"/>
      <c r="H341" s="105"/>
      <c r="I341" s="104"/>
    </row>
    <row r="342" spans="1:9" s="12" customFormat="1" ht="12.75">
      <c r="A342" s="62" t="s">
        <v>254</v>
      </c>
      <c r="B342" s="334">
        <v>50</v>
      </c>
      <c r="C342" s="332" t="s">
        <v>256</v>
      </c>
      <c r="D342" s="95"/>
      <c r="E342" s="236"/>
      <c r="F342" s="105"/>
      <c r="G342" s="105"/>
      <c r="H342" s="105"/>
      <c r="I342" s="104"/>
    </row>
    <row r="343" spans="1:9" s="12" customFormat="1" ht="12.75">
      <c r="A343" s="62" t="s">
        <v>255</v>
      </c>
      <c r="B343" s="334">
        <v>50</v>
      </c>
      <c r="C343" s="332" t="s">
        <v>196</v>
      </c>
      <c r="D343" s="95"/>
      <c r="E343" s="236"/>
      <c r="F343" s="105"/>
      <c r="G343" s="105"/>
      <c r="H343" s="105"/>
      <c r="I343" s="104"/>
    </row>
    <row r="344" spans="1:9" s="12" customFormat="1" ht="13.5" thickBot="1">
      <c r="A344" s="78" t="s">
        <v>261</v>
      </c>
      <c r="B344" s="337">
        <f>103.3*1.2</f>
        <v>123.96</v>
      </c>
      <c r="C344" s="338" t="s">
        <v>134</v>
      </c>
      <c r="D344" s="95"/>
      <c r="E344" s="236"/>
      <c r="F344" s="105"/>
      <c r="G344" s="105"/>
      <c r="H344" s="105"/>
      <c r="I344" s="104"/>
    </row>
    <row r="345" spans="1:9" s="12" customFormat="1" ht="13.5" thickBot="1">
      <c r="A345" s="94"/>
      <c r="B345" s="95"/>
      <c r="C345" s="258"/>
      <c r="D345" s="95"/>
      <c r="E345" s="236"/>
      <c r="F345" s="105"/>
      <c r="G345" s="105"/>
      <c r="H345" s="105"/>
      <c r="I345" s="104"/>
    </row>
    <row r="346" spans="1:9" ht="12.75">
      <c r="A346" s="135"/>
      <c r="B346" s="136" t="s">
        <v>17</v>
      </c>
      <c r="C346" s="137"/>
      <c r="D346" s="136"/>
      <c r="E346" s="135" t="s">
        <v>17</v>
      </c>
      <c r="F346" s="138" t="s">
        <v>110</v>
      </c>
      <c r="G346" s="139"/>
      <c r="H346" s="139"/>
      <c r="I346" s="140"/>
    </row>
    <row r="347" spans="1:9" ht="13.5" thickBot="1">
      <c r="A347" s="143" t="s">
        <v>0</v>
      </c>
      <c r="B347" s="141" t="s">
        <v>18</v>
      </c>
      <c r="C347" s="141" t="s">
        <v>85</v>
      </c>
      <c r="D347" s="142" t="s">
        <v>83</v>
      </c>
      <c r="E347" s="143" t="s">
        <v>111</v>
      </c>
      <c r="F347" s="115" t="s">
        <v>1</v>
      </c>
      <c r="G347" s="144" t="s">
        <v>14</v>
      </c>
      <c r="H347" s="144" t="s">
        <v>15</v>
      </c>
      <c r="I347" s="145" t="s">
        <v>2</v>
      </c>
    </row>
    <row r="348" spans="1:9" ht="12.75">
      <c r="A348" s="55" t="s">
        <v>108</v>
      </c>
      <c r="B348" s="56" t="s">
        <v>19</v>
      </c>
      <c r="C348" s="56">
        <v>0.068</v>
      </c>
      <c r="D348" s="57" t="s">
        <v>86</v>
      </c>
      <c r="E348" s="96">
        <f>C348</f>
        <v>0.068</v>
      </c>
      <c r="F348" s="97">
        <f>SUM($B$335,$B$337)*$E348</f>
        <v>25.749354977280003</v>
      </c>
      <c r="G348" s="60">
        <f>SUM($B$335*24,$B$337*6)*$E348</f>
        <v>158.16812986368004</v>
      </c>
      <c r="H348" s="394">
        <f>SUM($B$335*8760,$B$339)*$E348</f>
        <v>1941.3040882288458</v>
      </c>
      <c r="I348" s="162">
        <f aca="true" t="shared" si="50" ref="I348:I381">H348/2000</f>
        <v>0.9706520441144229</v>
      </c>
    </row>
    <row r="349" spans="1:9" ht="12.75">
      <c r="A349" s="62" t="s">
        <v>212</v>
      </c>
      <c r="B349" s="74" t="s">
        <v>213</v>
      </c>
      <c r="C349" s="64" t="s">
        <v>123</v>
      </c>
      <c r="D349" s="65"/>
      <c r="E349" s="339">
        <f>$B$7/379.4*64.0588</f>
        <v>16.88423827095414</v>
      </c>
      <c r="F349" s="98">
        <f>E349*$B$334</f>
        <v>0.042210595677385346</v>
      </c>
      <c r="G349" s="68">
        <f>F349*24</f>
        <v>1.0130542962572484</v>
      </c>
      <c r="H349" s="395">
        <f>F349*8760</f>
        <v>369.76481813389563</v>
      </c>
      <c r="I349" s="163">
        <f>H349/2000</f>
        <v>0.1848824090669478</v>
      </c>
    </row>
    <row r="350" spans="1:9" ht="12.75">
      <c r="A350" s="62" t="s">
        <v>214</v>
      </c>
      <c r="B350" s="223" t="s">
        <v>215</v>
      </c>
      <c r="C350" s="92" t="s">
        <v>251</v>
      </c>
      <c r="D350" s="65"/>
      <c r="E350" s="363" t="s">
        <v>252</v>
      </c>
      <c r="F350" s="224">
        <f>VLOOKUP("Max 1-hour SU/SD sulfur to flare",FlareSulfurData,2,FALSE)/32.066*64.0648</f>
        <v>99.89521611675919</v>
      </c>
      <c r="G350" s="225">
        <f>VLOOKUP("Max 24-hour SU/SD sulfur to flare",FlareSulfurData,2,FALSE)/32.066*64.0648</f>
        <v>99.89521611675919</v>
      </c>
      <c r="H350" s="396">
        <f>VLOOKUP("Annual SU/SD sulfur to flare",FlareSulfurData,2,FALSE)/32.066*64.0648</f>
        <v>247.66021979666937</v>
      </c>
      <c r="I350" s="163">
        <f>H350/2000</f>
        <v>0.12383010989833468</v>
      </c>
    </row>
    <row r="351" spans="1:9" ht="12.75">
      <c r="A351" s="62" t="s">
        <v>109</v>
      </c>
      <c r="B351" s="223" t="s">
        <v>135</v>
      </c>
      <c r="C351" s="340"/>
      <c r="D351" s="341"/>
      <c r="E351" s="342"/>
      <c r="F351" s="224">
        <f>SUM(F349:F350)</f>
        <v>99.93742671243658</v>
      </c>
      <c r="G351" s="225">
        <f>SUM(G349:G350)</f>
        <v>100.90827041301644</v>
      </c>
      <c r="H351" s="395">
        <f>SUM(H349:H350)</f>
        <v>617.4250379305649</v>
      </c>
      <c r="I351" s="163">
        <f>SUM(I349:I350)</f>
        <v>0.3087125189652825</v>
      </c>
    </row>
    <row r="352" spans="1:9" ht="12.75">
      <c r="A352" s="62" t="s">
        <v>16</v>
      </c>
      <c r="B352" s="74" t="s">
        <v>19</v>
      </c>
      <c r="C352" s="74">
        <v>0.37</v>
      </c>
      <c r="D352" s="73" t="s">
        <v>86</v>
      </c>
      <c r="E352" s="99">
        <f>C352</f>
        <v>0.37</v>
      </c>
      <c r="F352" s="98">
        <f aca="true" t="shared" si="51" ref="F352:F381">SUM($B$335,$B$337)*$E352</f>
        <v>140.1067844352</v>
      </c>
      <c r="G352" s="68">
        <f aca="true" t="shared" si="52" ref="G352:G381">SUM($B$335*24,$B$337*6)*$E352</f>
        <v>860.6207066112</v>
      </c>
      <c r="H352" s="395">
        <f aca="true" t="shared" si="53" ref="H352:H381">SUM($B$335*8760,$B$339)*$E352</f>
        <v>10562.978127127542</v>
      </c>
      <c r="I352" s="163">
        <f t="shared" si="50"/>
        <v>5.281489063563771</v>
      </c>
    </row>
    <row r="353" spans="1:9" ht="12.75">
      <c r="A353" s="62" t="s">
        <v>3</v>
      </c>
      <c r="B353" s="74" t="s">
        <v>19</v>
      </c>
      <c r="C353" s="74">
        <v>0.063</v>
      </c>
      <c r="D353" s="73" t="s">
        <v>86</v>
      </c>
      <c r="E353" s="100">
        <v>0.063</v>
      </c>
      <c r="F353" s="98">
        <f t="shared" si="51"/>
        <v>23.85602005248</v>
      </c>
      <c r="G353" s="68">
        <f t="shared" si="52"/>
        <v>146.53812031488002</v>
      </c>
      <c r="H353" s="395">
        <f t="shared" si="53"/>
        <v>1798.56114056496</v>
      </c>
      <c r="I353" s="163">
        <f t="shared" si="50"/>
        <v>0.89928057028248</v>
      </c>
    </row>
    <row r="354" spans="1:9" ht="15.75">
      <c r="A354" s="62" t="s">
        <v>151</v>
      </c>
      <c r="B354" s="74" t="s">
        <v>19</v>
      </c>
      <c r="C354" s="74">
        <v>0.026</v>
      </c>
      <c r="D354" s="73" t="s">
        <v>86</v>
      </c>
      <c r="E354" s="100">
        <v>0.026</v>
      </c>
      <c r="F354" s="98">
        <f t="shared" si="51"/>
        <v>9.84534160896</v>
      </c>
      <c r="G354" s="68">
        <f t="shared" si="52"/>
        <v>60.47604965376</v>
      </c>
      <c r="H354" s="395">
        <f t="shared" si="53"/>
        <v>742.2633278522056</v>
      </c>
      <c r="I354" s="163">
        <f t="shared" si="50"/>
        <v>0.3711316639261028</v>
      </c>
    </row>
    <row r="355" spans="1:9" ht="12.75">
      <c r="A355" s="62" t="s">
        <v>34</v>
      </c>
      <c r="B355" s="74" t="s">
        <v>44</v>
      </c>
      <c r="C355" s="74">
        <v>0.159</v>
      </c>
      <c r="D355" s="73" t="s">
        <v>84</v>
      </c>
      <c r="E355" s="88">
        <f aca="true" t="shared" si="54" ref="E355:E365">C355/$B$4</f>
        <v>0.00015588235294117648</v>
      </c>
      <c r="F355" s="264">
        <f t="shared" si="51"/>
        <v>0.05902750059670589</v>
      </c>
      <c r="G355" s="264">
        <f t="shared" si="52"/>
        <v>0.36258265063905887</v>
      </c>
      <c r="H355" s="264">
        <f t="shared" si="53"/>
        <v>4.450221309521143</v>
      </c>
      <c r="I355" s="265">
        <f t="shared" si="50"/>
        <v>0.0022251106547605715</v>
      </c>
    </row>
    <row r="356" spans="1:9" ht="12.75">
      <c r="A356" s="62" t="s">
        <v>35</v>
      </c>
      <c r="B356" s="74" t="s">
        <v>44</v>
      </c>
      <c r="C356" s="74">
        <v>1.169</v>
      </c>
      <c r="D356" s="73" t="s">
        <v>84</v>
      </c>
      <c r="E356" s="88">
        <f t="shared" si="54"/>
        <v>0.001146078431372549</v>
      </c>
      <c r="F356" s="264">
        <f t="shared" si="51"/>
        <v>0.4339820641355295</v>
      </c>
      <c r="G356" s="264">
        <f t="shared" si="52"/>
        <v>2.665780620107294</v>
      </c>
      <c r="H356" s="264">
        <f t="shared" si="53"/>
        <v>32.718922709624</v>
      </c>
      <c r="I356" s="265">
        <f t="shared" si="50"/>
        <v>0.016359461354812</v>
      </c>
    </row>
    <row r="357" spans="1:9" ht="12.75">
      <c r="A357" s="54" t="s">
        <v>36</v>
      </c>
      <c r="B357" s="74" t="s">
        <v>44</v>
      </c>
      <c r="C357" s="74">
        <f>0.014-C358</f>
        <v>0.003000000000000001</v>
      </c>
      <c r="D357" s="73" t="s">
        <v>84</v>
      </c>
      <c r="E357" s="88">
        <f t="shared" si="54"/>
        <v>2.9411764705882363E-06</v>
      </c>
      <c r="F357" s="264">
        <f t="shared" si="51"/>
        <v>0.0011137264263529417</v>
      </c>
      <c r="G357" s="264">
        <f t="shared" si="52"/>
        <v>0.006841182087529415</v>
      </c>
      <c r="H357" s="264">
        <f t="shared" si="53"/>
        <v>0.08396643980228574</v>
      </c>
      <c r="I357" s="265">
        <f t="shared" si="50"/>
        <v>4.198321990114287E-05</v>
      </c>
    </row>
    <row r="358" spans="1:9" ht="12.75">
      <c r="A358" s="62" t="s">
        <v>37</v>
      </c>
      <c r="B358" s="74" t="s">
        <v>44</v>
      </c>
      <c r="C358" s="74">
        <v>0.011</v>
      </c>
      <c r="D358" s="73" t="s">
        <v>84</v>
      </c>
      <c r="E358" s="88">
        <f t="shared" si="54"/>
        <v>1.0784313725490196E-05</v>
      </c>
      <c r="F358" s="264">
        <f t="shared" si="51"/>
        <v>0.0040836635632941175</v>
      </c>
      <c r="G358" s="264">
        <f t="shared" si="52"/>
        <v>0.025084334320941176</v>
      </c>
      <c r="H358" s="264">
        <f t="shared" si="53"/>
        <v>0.3078769459417143</v>
      </c>
      <c r="I358" s="265">
        <f t="shared" si="50"/>
        <v>0.00015393847297085714</v>
      </c>
    </row>
    <row r="359" spans="1:9" ht="12.75">
      <c r="A359" s="62" t="s">
        <v>38</v>
      </c>
      <c r="B359" s="74" t="s">
        <v>44</v>
      </c>
      <c r="C359" s="74">
        <v>0.043</v>
      </c>
      <c r="D359" s="73" t="s">
        <v>84</v>
      </c>
      <c r="E359" s="88">
        <f t="shared" si="54"/>
        <v>4.215686274509803E-05</v>
      </c>
      <c r="F359" s="264">
        <f t="shared" si="51"/>
        <v>0.01596341211105882</v>
      </c>
      <c r="G359" s="264">
        <f t="shared" si="52"/>
        <v>0.09805694325458823</v>
      </c>
      <c r="H359" s="264">
        <f t="shared" si="53"/>
        <v>1.2035189704994285</v>
      </c>
      <c r="I359" s="265">
        <f t="shared" si="50"/>
        <v>0.0006017594852497142</v>
      </c>
    </row>
    <row r="360" spans="1:9" ht="12.75">
      <c r="A360" s="62" t="s">
        <v>39</v>
      </c>
      <c r="B360" s="74" t="s">
        <v>44</v>
      </c>
      <c r="C360" s="74">
        <v>0.01</v>
      </c>
      <c r="D360" s="73" t="s">
        <v>84</v>
      </c>
      <c r="E360" s="88">
        <f t="shared" si="54"/>
        <v>9.803921568627451E-06</v>
      </c>
      <c r="F360" s="264">
        <f t="shared" si="51"/>
        <v>0.003712421421176471</v>
      </c>
      <c r="G360" s="264">
        <f t="shared" si="52"/>
        <v>0.022803940291764708</v>
      </c>
      <c r="H360" s="264">
        <f t="shared" si="53"/>
        <v>0.27988813267428575</v>
      </c>
      <c r="I360" s="265">
        <f t="shared" si="50"/>
        <v>0.00013994406633714286</v>
      </c>
    </row>
    <row r="361" spans="1:9" ht="12.75">
      <c r="A361" s="62" t="s">
        <v>40</v>
      </c>
      <c r="B361" s="74" t="s">
        <v>44</v>
      </c>
      <c r="C361" s="74">
        <v>2.44</v>
      </c>
      <c r="D361" s="73" t="s">
        <v>84</v>
      </c>
      <c r="E361" s="88">
        <f t="shared" si="54"/>
        <v>0.002392156862745098</v>
      </c>
      <c r="F361" s="264">
        <f t="shared" si="51"/>
        <v>0.9058308267670588</v>
      </c>
      <c r="G361" s="264">
        <f t="shared" si="52"/>
        <v>5.5641614311905885</v>
      </c>
      <c r="H361" s="264">
        <f t="shared" si="53"/>
        <v>68.2927043725257</v>
      </c>
      <c r="I361" s="265">
        <f t="shared" si="50"/>
        <v>0.03414635218626285</v>
      </c>
    </row>
    <row r="362" spans="1:9" ht="12.75">
      <c r="A362" s="62" t="s">
        <v>41</v>
      </c>
      <c r="B362" s="74" t="s">
        <v>44</v>
      </c>
      <c r="C362" s="74">
        <v>0.058</v>
      </c>
      <c r="D362" s="73" t="s">
        <v>84</v>
      </c>
      <c r="E362" s="88">
        <f t="shared" si="54"/>
        <v>5.6862745098039215E-05</v>
      </c>
      <c r="F362" s="264">
        <f t="shared" si="51"/>
        <v>0.021532044242823532</v>
      </c>
      <c r="G362" s="264">
        <f t="shared" si="52"/>
        <v>0.1322628536922353</v>
      </c>
      <c r="H362" s="264">
        <f t="shared" si="53"/>
        <v>1.6233511695108571</v>
      </c>
      <c r="I362" s="265">
        <f t="shared" si="50"/>
        <v>0.0008116755847554285</v>
      </c>
    </row>
    <row r="363" spans="1:9" ht="12.75">
      <c r="A363" s="62" t="s">
        <v>42</v>
      </c>
      <c r="B363" s="74" t="s">
        <v>44</v>
      </c>
      <c r="C363" s="74">
        <v>0.029</v>
      </c>
      <c r="D363" s="73" t="s">
        <v>84</v>
      </c>
      <c r="E363" s="88">
        <f t="shared" si="54"/>
        <v>2.8431372549019608E-05</v>
      </c>
      <c r="F363" s="264">
        <f t="shared" si="51"/>
        <v>0.010766022121411766</v>
      </c>
      <c r="G363" s="264">
        <f t="shared" si="52"/>
        <v>0.06613142684611766</v>
      </c>
      <c r="H363" s="264">
        <f t="shared" si="53"/>
        <v>0.8116755847554286</v>
      </c>
      <c r="I363" s="265">
        <f t="shared" si="50"/>
        <v>0.00040583779237771426</v>
      </c>
    </row>
    <row r="364" spans="1:9" ht="12.75">
      <c r="A364" s="62" t="s">
        <v>43</v>
      </c>
      <c r="B364" s="74" t="s">
        <v>44</v>
      </c>
      <c r="C364" s="74">
        <v>1.444</v>
      </c>
      <c r="D364" s="73" t="s">
        <v>84</v>
      </c>
      <c r="E364" s="88">
        <f t="shared" si="54"/>
        <v>0.001415686274509804</v>
      </c>
      <c r="F364" s="264">
        <f t="shared" si="51"/>
        <v>0.5360736532178825</v>
      </c>
      <c r="G364" s="264">
        <f t="shared" si="52"/>
        <v>3.292888978130824</v>
      </c>
      <c r="H364" s="264">
        <f t="shared" si="53"/>
        <v>40.41584635816686</v>
      </c>
      <c r="I364" s="265">
        <f t="shared" si="50"/>
        <v>0.02020792317908343</v>
      </c>
    </row>
    <row r="365" spans="1:9" ht="12.75">
      <c r="A365" s="62" t="s">
        <v>139</v>
      </c>
      <c r="B365" s="74" t="s">
        <v>44</v>
      </c>
      <c r="C365" s="74">
        <v>0.029</v>
      </c>
      <c r="D365" s="73" t="s">
        <v>84</v>
      </c>
      <c r="E365" s="88">
        <f t="shared" si="54"/>
        <v>2.8431372549019608E-05</v>
      </c>
      <c r="F365" s="264">
        <f t="shared" si="51"/>
        <v>0.010766022121411766</v>
      </c>
      <c r="G365" s="264">
        <f t="shared" si="52"/>
        <v>0.06613142684611766</v>
      </c>
      <c r="H365" s="264">
        <f t="shared" si="53"/>
        <v>0.8116755847554286</v>
      </c>
      <c r="I365" s="265">
        <f t="shared" si="50"/>
        <v>0.00040583779237771426</v>
      </c>
    </row>
    <row r="366" spans="1:9" ht="12.75">
      <c r="A366" s="62" t="s">
        <v>118</v>
      </c>
      <c r="B366" s="74" t="s">
        <v>45</v>
      </c>
      <c r="C366" s="269">
        <v>0.0002</v>
      </c>
      <c r="D366" s="73" t="s">
        <v>84</v>
      </c>
      <c r="E366" s="88">
        <f aca="true" t="shared" si="55" ref="E366:E381">C366/$B$4</f>
        <v>1.9607843137254904E-07</v>
      </c>
      <c r="F366" s="264">
        <f t="shared" si="51"/>
        <v>7.424842842352943E-05</v>
      </c>
      <c r="G366" s="264">
        <f t="shared" si="52"/>
        <v>0.0004560788058352942</v>
      </c>
      <c r="H366" s="264">
        <f t="shared" si="53"/>
        <v>0.005597762653485715</v>
      </c>
      <c r="I366" s="265">
        <f t="shared" si="50"/>
        <v>2.7988813267428574E-06</v>
      </c>
    </row>
    <row r="367" spans="1:9" ht="12.75">
      <c r="A367" s="62" t="s">
        <v>184</v>
      </c>
      <c r="B367" s="74" t="s">
        <v>45</v>
      </c>
      <c r="C367" s="269">
        <v>0.0044</v>
      </c>
      <c r="D367" s="73" t="s">
        <v>84</v>
      </c>
      <c r="E367" s="88">
        <f t="shared" si="55"/>
        <v>4.313725490196079E-06</v>
      </c>
      <c r="F367" s="264">
        <f t="shared" si="51"/>
        <v>0.0016334654253176474</v>
      </c>
      <c r="G367" s="264">
        <f t="shared" si="52"/>
        <v>0.010033733728376472</v>
      </c>
      <c r="H367" s="264">
        <f t="shared" si="53"/>
        <v>0.12315077837668573</v>
      </c>
      <c r="I367" s="265">
        <f t="shared" si="50"/>
        <v>6.157538918834287E-05</v>
      </c>
    </row>
    <row r="368" spans="1:9" ht="12.75">
      <c r="A368" s="62" t="s">
        <v>185</v>
      </c>
      <c r="B368" s="74" t="s">
        <v>45</v>
      </c>
      <c r="C368" s="269">
        <v>1.2E-05</v>
      </c>
      <c r="D368" s="73" t="s">
        <v>84</v>
      </c>
      <c r="E368" s="88">
        <f t="shared" si="55"/>
        <v>1.176470588235294E-08</v>
      </c>
      <c r="F368" s="264">
        <f t="shared" si="51"/>
        <v>4.454905705411765E-06</v>
      </c>
      <c r="G368" s="264">
        <f t="shared" si="52"/>
        <v>2.736472835011765E-05</v>
      </c>
      <c r="H368" s="264">
        <f t="shared" si="53"/>
        <v>0.00033586575920914284</v>
      </c>
      <c r="I368" s="265">
        <f t="shared" si="50"/>
        <v>1.6793287960457142E-07</v>
      </c>
    </row>
    <row r="369" spans="1:9" ht="12.75">
      <c r="A369" s="62" t="s">
        <v>165</v>
      </c>
      <c r="B369" s="74" t="s">
        <v>45</v>
      </c>
      <c r="C369" s="269">
        <v>0.0011</v>
      </c>
      <c r="D369" s="73" t="s">
        <v>84</v>
      </c>
      <c r="E369" s="88">
        <f t="shared" si="55"/>
        <v>1.0784313725490197E-06</v>
      </c>
      <c r="F369" s="264">
        <f t="shared" si="51"/>
        <v>0.00040836635632941185</v>
      </c>
      <c r="G369" s="264">
        <f t="shared" si="52"/>
        <v>0.002508433432094118</v>
      </c>
      <c r="H369" s="264">
        <f t="shared" si="53"/>
        <v>0.03078769459417143</v>
      </c>
      <c r="I369" s="265">
        <f t="shared" si="50"/>
        <v>1.5393847297085717E-05</v>
      </c>
    </row>
    <row r="370" spans="1:9" ht="12.75">
      <c r="A370" s="62" t="s">
        <v>166</v>
      </c>
      <c r="B370" s="74" t="s">
        <v>272</v>
      </c>
      <c r="C370" s="269">
        <f>0.0014*95%</f>
        <v>0.00133</v>
      </c>
      <c r="D370" s="73" t="s">
        <v>84</v>
      </c>
      <c r="E370" s="88">
        <f t="shared" si="55"/>
        <v>1.303921568627451E-06</v>
      </c>
      <c r="F370" s="264">
        <f t="shared" si="51"/>
        <v>0.0004937520490164706</v>
      </c>
      <c r="G370" s="264">
        <f t="shared" si="52"/>
        <v>0.003032924058804706</v>
      </c>
      <c r="H370" s="264">
        <f t="shared" si="53"/>
        <v>0.037225121645679995</v>
      </c>
      <c r="I370" s="265">
        <f t="shared" si="50"/>
        <v>1.8612560822839998E-05</v>
      </c>
    </row>
    <row r="371" spans="1:9" ht="12.75">
      <c r="A371" s="62" t="s">
        <v>195</v>
      </c>
      <c r="B371" s="74" t="s">
        <v>273</v>
      </c>
      <c r="C371" s="269">
        <f>0.0014*5%</f>
        <v>7.000000000000001E-05</v>
      </c>
      <c r="D371" s="73" t="s">
        <v>84</v>
      </c>
      <c r="E371" s="88">
        <f>C371/$B$4</f>
        <v>6.862745098039216E-08</v>
      </c>
      <c r="F371" s="264">
        <f t="shared" si="51"/>
        <v>2.5986949948235296E-05</v>
      </c>
      <c r="G371" s="264">
        <f t="shared" si="52"/>
        <v>0.00015962758204235295</v>
      </c>
      <c r="H371" s="264">
        <f t="shared" si="53"/>
        <v>0.00195921692872</v>
      </c>
      <c r="I371" s="265">
        <f t="shared" si="50"/>
        <v>9.7960846436E-07</v>
      </c>
    </row>
    <row r="372" spans="1:9" ht="12.75">
      <c r="A372" s="62" t="s">
        <v>186</v>
      </c>
      <c r="B372" s="74" t="s">
        <v>45</v>
      </c>
      <c r="C372" s="269">
        <v>8.4E-05</v>
      </c>
      <c r="D372" s="73" t="s">
        <v>84</v>
      </c>
      <c r="E372" s="88">
        <f t="shared" si="55"/>
        <v>8.235294117647059E-08</v>
      </c>
      <c r="F372" s="264">
        <f t="shared" si="51"/>
        <v>3.118433993788235E-05</v>
      </c>
      <c r="G372" s="264">
        <f t="shared" si="52"/>
        <v>0.00019155309845082354</v>
      </c>
      <c r="H372" s="264">
        <f t="shared" si="53"/>
        <v>0.002351060314464</v>
      </c>
      <c r="I372" s="265">
        <f t="shared" si="50"/>
        <v>1.175530157232E-06</v>
      </c>
    </row>
    <row r="373" spans="1:9" ht="12.75">
      <c r="A373" s="62" t="s">
        <v>119</v>
      </c>
      <c r="B373" s="74" t="s">
        <v>45</v>
      </c>
      <c r="C373" s="269">
        <v>0.00085</v>
      </c>
      <c r="D373" s="73" t="s">
        <v>84</v>
      </c>
      <c r="E373" s="88">
        <f t="shared" si="55"/>
        <v>8.333333333333333E-07</v>
      </c>
      <c r="F373" s="264">
        <f t="shared" si="51"/>
        <v>0.00031555582080000004</v>
      </c>
      <c r="G373" s="264">
        <f t="shared" si="52"/>
        <v>0.0019383349248000001</v>
      </c>
      <c r="H373" s="264">
        <f t="shared" si="53"/>
        <v>0.023790491277314287</v>
      </c>
      <c r="I373" s="265">
        <f t="shared" si="50"/>
        <v>1.1895245638657144E-05</v>
      </c>
    </row>
    <row r="374" spans="1:9" ht="12.75">
      <c r="A374" s="62" t="s">
        <v>120</v>
      </c>
      <c r="B374" s="74" t="s">
        <v>45</v>
      </c>
      <c r="C374" s="269">
        <v>0.0005</v>
      </c>
      <c r="D374" s="73" t="s">
        <v>84</v>
      </c>
      <c r="E374" s="88">
        <f>C374/$B$4</f>
        <v>4.901960784313725E-07</v>
      </c>
      <c r="F374" s="264">
        <f t="shared" si="51"/>
        <v>0.00018562107105882356</v>
      </c>
      <c r="G374" s="264">
        <f t="shared" si="52"/>
        <v>0.0011401970145882355</v>
      </c>
      <c r="H374" s="264">
        <f t="shared" si="53"/>
        <v>0.013994406633714285</v>
      </c>
      <c r="I374" s="265">
        <f t="shared" si="50"/>
        <v>6.9972033168571426E-06</v>
      </c>
    </row>
    <row r="375" spans="1:9" ht="12.75">
      <c r="A375" s="62" t="s">
        <v>167</v>
      </c>
      <c r="B375" s="74" t="s">
        <v>45</v>
      </c>
      <c r="C375" s="269">
        <v>0.00038</v>
      </c>
      <c r="D375" s="73" t="s">
        <v>84</v>
      </c>
      <c r="E375" s="88">
        <f t="shared" si="55"/>
        <v>3.7254901960784315E-07</v>
      </c>
      <c r="F375" s="264">
        <f t="shared" si="51"/>
        <v>0.0001410720140047059</v>
      </c>
      <c r="G375" s="264">
        <f t="shared" si="52"/>
        <v>0.0008665497310870589</v>
      </c>
      <c r="H375" s="264">
        <f t="shared" si="53"/>
        <v>0.010635749041622858</v>
      </c>
      <c r="I375" s="265">
        <f t="shared" si="50"/>
        <v>5.317874520811429E-06</v>
      </c>
    </row>
    <row r="376" spans="1:9" ht="12.75">
      <c r="A376" s="62" t="s">
        <v>168</v>
      </c>
      <c r="B376" s="74" t="s">
        <v>45</v>
      </c>
      <c r="C376" s="269">
        <v>0.00026</v>
      </c>
      <c r="D376" s="73" t="s">
        <v>84</v>
      </c>
      <c r="E376" s="88">
        <f t="shared" si="55"/>
        <v>2.549019607843137E-07</v>
      </c>
      <c r="F376" s="264">
        <f t="shared" si="51"/>
        <v>9.652295695058824E-05</v>
      </c>
      <c r="G376" s="264">
        <f t="shared" si="52"/>
        <v>0.0005929024475858824</v>
      </c>
      <c r="H376" s="264">
        <f t="shared" si="53"/>
        <v>0.007277091449531428</v>
      </c>
      <c r="I376" s="265">
        <f t="shared" si="50"/>
        <v>3.638545724765714E-06</v>
      </c>
    </row>
    <row r="377" spans="1:9" ht="12.75">
      <c r="A377" s="62" t="s">
        <v>187</v>
      </c>
      <c r="B377" s="74" t="s">
        <v>45</v>
      </c>
      <c r="C377" s="269">
        <v>0.0011</v>
      </c>
      <c r="D377" s="73" t="s">
        <v>84</v>
      </c>
      <c r="E377" s="88">
        <f t="shared" si="55"/>
        <v>1.0784313725490197E-06</v>
      </c>
      <c r="F377" s="264">
        <f t="shared" si="51"/>
        <v>0.00040836635632941185</v>
      </c>
      <c r="G377" s="264">
        <f t="shared" si="52"/>
        <v>0.002508433432094118</v>
      </c>
      <c r="H377" s="264">
        <f t="shared" si="53"/>
        <v>0.03078769459417143</v>
      </c>
      <c r="I377" s="265">
        <f t="shared" si="50"/>
        <v>1.5393847297085717E-05</v>
      </c>
    </row>
    <row r="378" spans="1:9" ht="12.75">
      <c r="A378" s="62" t="s">
        <v>117</v>
      </c>
      <c r="B378" s="74" t="s">
        <v>45</v>
      </c>
      <c r="C378" s="269">
        <v>0.0021</v>
      </c>
      <c r="D378" s="73" t="s">
        <v>84</v>
      </c>
      <c r="E378" s="88">
        <f t="shared" si="55"/>
        <v>2.0588235294117645E-06</v>
      </c>
      <c r="F378" s="264">
        <f t="shared" si="51"/>
        <v>0.0007796084984470588</v>
      </c>
      <c r="G378" s="264">
        <f t="shared" si="52"/>
        <v>0.004788827461270588</v>
      </c>
      <c r="H378" s="264">
        <f t="shared" si="53"/>
        <v>0.0587765078616</v>
      </c>
      <c r="I378" s="265">
        <f t="shared" si="50"/>
        <v>2.93882539308E-05</v>
      </c>
    </row>
    <row r="379" spans="1:9" ht="12.75">
      <c r="A379" s="62" t="s">
        <v>169</v>
      </c>
      <c r="B379" s="74" t="s">
        <v>45</v>
      </c>
      <c r="C379" s="269">
        <v>2.4E-05</v>
      </c>
      <c r="D379" s="73" t="s">
        <v>84</v>
      </c>
      <c r="E379" s="88">
        <f t="shared" si="55"/>
        <v>2.352941176470588E-08</v>
      </c>
      <c r="F379" s="264">
        <f t="shared" si="51"/>
        <v>8.90981141082353E-06</v>
      </c>
      <c r="G379" s="264">
        <f t="shared" si="52"/>
        <v>5.47294567002353E-05</v>
      </c>
      <c r="H379" s="264">
        <f t="shared" si="53"/>
        <v>0.0006717315184182857</v>
      </c>
      <c r="I379" s="265">
        <f t="shared" si="50"/>
        <v>3.3586575920914283E-07</v>
      </c>
    </row>
    <row r="380" spans="1:9" ht="12.75">
      <c r="A380" s="62" t="s">
        <v>188</v>
      </c>
      <c r="B380" s="74" t="s">
        <v>45</v>
      </c>
      <c r="C380" s="269">
        <v>0.0023</v>
      </c>
      <c r="D380" s="73" t="s">
        <v>84</v>
      </c>
      <c r="E380" s="88">
        <f t="shared" si="55"/>
        <v>2.2549019607843137E-06</v>
      </c>
      <c r="F380" s="264">
        <f t="shared" si="51"/>
        <v>0.0008538569268705883</v>
      </c>
      <c r="G380" s="264">
        <f t="shared" si="52"/>
        <v>0.005244906267105883</v>
      </c>
      <c r="H380" s="264">
        <f t="shared" si="53"/>
        <v>0.06437427051508571</v>
      </c>
      <c r="I380" s="265">
        <f t="shared" si="50"/>
        <v>3.218713525754285E-05</v>
      </c>
    </row>
    <row r="381" spans="1:9" ht="13.5" thickBot="1">
      <c r="A381" s="78" t="s">
        <v>170</v>
      </c>
      <c r="B381" s="79" t="s">
        <v>45</v>
      </c>
      <c r="C381" s="270">
        <v>0.029</v>
      </c>
      <c r="D381" s="80" t="s">
        <v>84</v>
      </c>
      <c r="E381" s="101">
        <f t="shared" si="55"/>
        <v>2.8431372549019608E-05</v>
      </c>
      <c r="F381" s="267">
        <f t="shared" si="51"/>
        <v>0.010766022121411766</v>
      </c>
      <c r="G381" s="267">
        <f t="shared" si="52"/>
        <v>0.06613142684611766</v>
      </c>
      <c r="H381" s="267">
        <f t="shared" si="53"/>
        <v>0.8116755847554286</v>
      </c>
      <c r="I381" s="268">
        <f t="shared" si="50"/>
        <v>0.00040583779237771426</v>
      </c>
    </row>
    <row r="382" spans="1:9" s="12" customFormat="1" ht="12.75">
      <c r="A382" s="94"/>
      <c r="B382" s="95"/>
      <c r="C382" s="258"/>
      <c r="D382" s="95"/>
      <c r="E382" s="236"/>
      <c r="F382" s="105"/>
      <c r="G382" s="105"/>
      <c r="H382" s="105"/>
      <c r="I382" s="104"/>
    </row>
    <row r="383" spans="1:9" s="12" customFormat="1" ht="12.75">
      <c r="A383" s="94"/>
      <c r="B383" s="95"/>
      <c r="C383" s="258"/>
      <c r="D383" s="95"/>
      <c r="E383" s="236"/>
      <c r="F383" s="105"/>
      <c r="G383" s="105"/>
      <c r="H383" s="105"/>
      <c r="I383" s="104"/>
    </row>
    <row r="384" spans="1:9" s="12" customFormat="1" ht="12.75">
      <c r="A384" s="259" t="s">
        <v>122</v>
      </c>
      <c r="B384" s="95"/>
      <c r="C384" s="258"/>
      <c r="D384" s="95"/>
      <c r="E384" s="236"/>
      <c r="F384" s="105"/>
      <c r="G384" s="105"/>
      <c r="H384" s="105"/>
      <c r="I384" s="104"/>
    </row>
    <row r="385" spans="1:9" s="12" customFormat="1" ht="12.75">
      <c r="A385" s="259"/>
      <c r="B385" s="95"/>
      <c r="C385" s="258"/>
      <c r="D385" s="95"/>
      <c r="E385" s="236"/>
      <c r="F385" s="105"/>
      <c r="G385" s="105"/>
      <c r="H385" s="105"/>
      <c r="I385" s="104"/>
    </row>
    <row r="386" spans="1:9" s="12" customFormat="1" ht="12.75">
      <c r="A386" s="274" t="s">
        <v>246</v>
      </c>
      <c r="B386" s="286">
        <v>363.8</v>
      </c>
      <c r="C386" s="258"/>
      <c r="D386" s="95"/>
      <c r="E386" s="236"/>
      <c r="F386" s="105"/>
      <c r="G386" s="105"/>
      <c r="H386" s="105"/>
      <c r="I386" s="104"/>
    </row>
    <row r="387" spans="1:9" s="12" customFormat="1" ht="13.5" thickBot="1">
      <c r="A387" s="94"/>
      <c r="B387" s="95"/>
      <c r="C387" s="258"/>
      <c r="D387" s="95"/>
      <c r="E387" s="236"/>
      <c r="F387" s="105"/>
      <c r="G387" s="105"/>
      <c r="H387" s="105"/>
      <c r="I387" s="104"/>
    </row>
    <row r="388" spans="1:9" ht="12.75">
      <c r="A388" s="135"/>
      <c r="B388" s="136" t="s">
        <v>17</v>
      </c>
      <c r="C388" s="137"/>
      <c r="D388" s="136"/>
      <c r="E388" s="135" t="s">
        <v>17</v>
      </c>
      <c r="F388" s="138" t="s">
        <v>110</v>
      </c>
      <c r="G388" s="139"/>
      <c r="H388" s="139"/>
      <c r="I388" s="140"/>
    </row>
    <row r="389" spans="1:9" ht="13.5" thickBot="1">
      <c r="A389" s="143" t="s">
        <v>0</v>
      </c>
      <c r="B389" s="141" t="s">
        <v>18</v>
      </c>
      <c r="C389" s="141" t="s">
        <v>85</v>
      </c>
      <c r="D389" s="142" t="s">
        <v>83</v>
      </c>
      <c r="E389" s="143" t="s">
        <v>111</v>
      </c>
      <c r="F389" s="115" t="s">
        <v>1</v>
      </c>
      <c r="G389" s="144" t="s">
        <v>14</v>
      </c>
      <c r="H389" s="144" t="s">
        <v>15</v>
      </c>
      <c r="I389" s="145" t="s">
        <v>2</v>
      </c>
    </row>
    <row r="390" spans="1:9" ht="12.75">
      <c r="A390" s="154" t="s">
        <v>108</v>
      </c>
      <c r="B390" s="56" t="s">
        <v>87</v>
      </c>
      <c r="C390" s="56">
        <v>0</v>
      </c>
      <c r="D390" s="57" t="s">
        <v>82</v>
      </c>
      <c r="E390" s="91" t="s">
        <v>89</v>
      </c>
      <c r="F390" s="61">
        <f>(C390/1000000)*($B$386*1000/379.4)*46.0055</f>
        <v>0</v>
      </c>
      <c r="G390" s="60">
        <f aca="true" t="shared" si="56" ref="G390:G396">F390*24</f>
        <v>0</v>
      </c>
      <c r="H390" s="60">
        <f aca="true" t="shared" si="57" ref="H390:H396">G390*365</f>
        <v>0</v>
      </c>
      <c r="I390" s="162">
        <f aca="true" t="shared" si="58" ref="I390:I396">H390/2000</f>
        <v>0</v>
      </c>
    </row>
    <row r="391" spans="1:9" ht="12.75">
      <c r="A391" s="62" t="s">
        <v>109</v>
      </c>
      <c r="B391" s="63" t="s">
        <v>87</v>
      </c>
      <c r="C391" s="92">
        <v>30</v>
      </c>
      <c r="D391" s="65" t="s">
        <v>82</v>
      </c>
      <c r="E391" s="87" t="s">
        <v>89</v>
      </c>
      <c r="F391" s="69">
        <f>(C391/1000000)*($B$386*1000/379.4)*64.0588</f>
        <v>1.842745764891935</v>
      </c>
      <c r="G391" s="68">
        <f t="shared" si="56"/>
        <v>44.225898357406436</v>
      </c>
      <c r="H391" s="68">
        <f t="shared" si="57"/>
        <v>16142.452900453349</v>
      </c>
      <c r="I391" s="163">
        <f t="shared" si="58"/>
        <v>8.071226450226675</v>
      </c>
    </row>
    <row r="392" spans="1:9" ht="12.75">
      <c r="A392" s="62" t="s">
        <v>16</v>
      </c>
      <c r="B392" s="63" t="s">
        <v>87</v>
      </c>
      <c r="C392" s="71">
        <v>1300</v>
      </c>
      <c r="D392" s="72" t="s">
        <v>82</v>
      </c>
      <c r="E392" s="87" t="s">
        <v>89</v>
      </c>
      <c r="F392" s="69">
        <f>(C392/1000000)*($B$386*1000/379.4)*28.0104</f>
        <v>34.91628512387981</v>
      </c>
      <c r="G392" s="68">
        <f t="shared" si="56"/>
        <v>837.9908429731154</v>
      </c>
      <c r="H392" s="68">
        <f t="shared" si="57"/>
        <v>305866.6576851871</v>
      </c>
      <c r="I392" s="163">
        <f t="shared" si="58"/>
        <v>152.93332884259357</v>
      </c>
    </row>
    <row r="393" spans="1:9" ht="12.75">
      <c r="A393" s="62" t="s">
        <v>3</v>
      </c>
      <c r="B393" s="63" t="s">
        <v>87</v>
      </c>
      <c r="C393" s="93">
        <v>33.4</v>
      </c>
      <c r="D393" s="73" t="s">
        <v>82</v>
      </c>
      <c r="E393" s="87" t="s">
        <v>89</v>
      </c>
      <c r="F393" s="249">
        <f>(C393/1000000)*($B$386*1000/379.4)*42.4463</f>
        <v>1.3594137996731683</v>
      </c>
      <c r="G393" s="68">
        <f>F393*24</f>
        <v>32.62593119215604</v>
      </c>
      <c r="H393" s="68">
        <f>F393*8760</f>
        <v>11908.464885136955</v>
      </c>
      <c r="I393" s="163">
        <f>H393/2000</f>
        <v>5.954232442568477</v>
      </c>
    </row>
    <row r="394" spans="1:9" ht="12.75">
      <c r="A394" s="62" t="s">
        <v>11</v>
      </c>
      <c r="B394" s="63" t="s">
        <v>87</v>
      </c>
      <c r="C394" s="74">
        <v>0</v>
      </c>
      <c r="D394" s="73" t="s">
        <v>84</v>
      </c>
      <c r="E394" s="87" t="s">
        <v>89</v>
      </c>
      <c r="F394" s="69">
        <f>C394*($B$386/1000)</f>
        <v>0</v>
      </c>
      <c r="G394" s="68">
        <f t="shared" si="56"/>
        <v>0</v>
      </c>
      <c r="H394" s="68">
        <f t="shared" si="57"/>
        <v>0</v>
      </c>
      <c r="I394" s="163">
        <f t="shared" si="58"/>
        <v>0</v>
      </c>
    </row>
    <row r="395" spans="1:9" ht="15.75">
      <c r="A395" s="62" t="s">
        <v>150</v>
      </c>
      <c r="B395" s="63" t="s">
        <v>87</v>
      </c>
      <c r="C395" s="93">
        <v>0</v>
      </c>
      <c r="D395" s="73" t="s">
        <v>82</v>
      </c>
      <c r="E395" s="87" t="s">
        <v>89</v>
      </c>
      <c r="F395" s="69">
        <f>(C395/1000000)*($B$386*1000/379.4)*34.0758</f>
        <v>0</v>
      </c>
      <c r="G395" s="68">
        <f t="shared" si="56"/>
        <v>0</v>
      </c>
      <c r="H395" s="68">
        <f t="shared" si="57"/>
        <v>0</v>
      </c>
      <c r="I395" s="163">
        <f t="shared" si="58"/>
        <v>0</v>
      </c>
    </row>
    <row r="396" spans="1:9" ht="13.5" thickBot="1">
      <c r="A396" s="78" t="s">
        <v>88</v>
      </c>
      <c r="B396" s="155" t="s">
        <v>87</v>
      </c>
      <c r="C396" s="156">
        <v>0</v>
      </c>
      <c r="D396" s="80" t="s">
        <v>82</v>
      </c>
      <c r="E396" s="157" t="s">
        <v>89</v>
      </c>
      <c r="F396" s="103">
        <f>(C396/1000000)*($B$386*1000/379.4)*60.0704</f>
        <v>0</v>
      </c>
      <c r="G396" s="102">
        <f t="shared" si="56"/>
        <v>0</v>
      </c>
      <c r="H396" s="102">
        <f t="shared" si="57"/>
        <v>0</v>
      </c>
      <c r="I396" s="164">
        <f t="shared" si="58"/>
        <v>0</v>
      </c>
    </row>
    <row r="397" spans="1:9" s="12" customFormat="1" ht="12.75">
      <c r="A397" s="94"/>
      <c r="B397" s="95"/>
      <c r="C397" s="258"/>
      <c r="D397" s="95"/>
      <c r="E397" s="236"/>
      <c r="F397" s="105"/>
      <c r="G397" s="105"/>
      <c r="H397" s="105"/>
      <c r="I397" s="104"/>
    </row>
    <row r="398" spans="1:9" s="12" customFormat="1" ht="12.75">
      <c r="A398" s="94"/>
      <c r="B398" s="95"/>
      <c r="C398" s="95"/>
      <c r="D398" s="95"/>
      <c r="E398" s="236"/>
      <c r="F398" s="104"/>
      <c r="G398" s="105"/>
      <c r="H398" s="105"/>
      <c r="I398" s="104"/>
    </row>
    <row r="399" spans="1:9" s="12" customFormat="1" ht="12.75">
      <c r="A399" s="259" t="s">
        <v>244</v>
      </c>
      <c r="B399" s="95"/>
      <c r="C399" s="95"/>
      <c r="D399" s="95"/>
      <c r="E399" s="236"/>
      <c r="F399" s="104"/>
      <c r="G399" s="105"/>
      <c r="H399" s="105"/>
      <c r="I399" s="104"/>
    </row>
    <row r="400" spans="1:9" s="12" customFormat="1" ht="12.75">
      <c r="A400" s="259"/>
      <c r="B400" s="95"/>
      <c r="C400" s="95"/>
      <c r="D400" s="95"/>
      <c r="E400" s="236"/>
      <c r="F400" s="104"/>
      <c r="G400" s="105"/>
      <c r="H400" s="105"/>
      <c r="I400" s="104"/>
    </row>
    <row r="401" spans="1:9" s="12" customFormat="1" ht="12.75">
      <c r="A401" s="274" t="s">
        <v>176</v>
      </c>
      <c r="B401" s="237">
        <v>3</v>
      </c>
      <c r="C401" s="95"/>
      <c r="D401" s="95"/>
      <c r="E401" s="236"/>
      <c r="F401" s="104"/>
      <c r="G401" s="105"/>
      <c r="H401" s="105"/>
      <c r="I401" s="104"/>
    </row>
    <row r="402" spans="1:9" s="12" customFormat="1" ht="12.75">
      <c r="A402" s="274" t="s">
        <v>248</v>
      </c>
      <c r="B402" s="287">
        <v>525</v>
      </c>
      <c r="C402" s="260"/>
      <c r="D402" s="95"/>
      <c r="E402" s="236"/>
      <c r="F402" s="104"/>
      <c r="G402" s="105"/>
      <c r="H402" s="105"/>
      <c r="I402" s="104"/>
    </row>
    <row r="403" spans="1:9" s="12" customFormat="1" ht="12.75">
      <c r="A403" s="274" t="s">
        <v>249</v>
      </c>
      <c r="B403" s="287">
        <f>B401*B402</f>
        <v>1575</v>
      </c>
      <c r="C403" s="260"/>
      <c r="D403" s="95"/>
      <c r="E403" s="236"/>
      <c r="F403" s="104"/>
      <c r="G403" s="105"/>
      <c r="H403" s="105"/>
      <c r="I403" s="104"/>
    </row>
    <row r="404" spans="1:9" s="12" customFormat="1" ht="12.75">
      <c r="A404" s="274" t="s">
        <v>200</v>
      </c>
      <c r="B404" s="311">
        <v>0.35</v>
      </c>
      <c r="C404" s="260"/>
      <c r="D404" s="95"/>
      <c r="E404" s="236"/>
      <c r="F404" s="104"/>
      <c r="G404" s="105"/>
      <c r="H404" s="105"/>
      <c r="I404" s="104"/>
    </row>
    <row r="405" spans="1:9" s="12" customFormat="1" ht="12.75">
      <c r="A405" s="274" t="s">
        <v>247</v>
      </c>
      <c r="B405" s="357">
        <f>0.0510837042983288*B402</f>
        <v>26.81894475662262</v>
      </c>
      <c r="C405" s="260"/>
      <c r="D405" s="95"/>
      <c r="E405" s="236"/>
      <c r="F405" s="104"/>
      <c r="G405" s="105"/>
      <c r="H405" s="105"/>
      <c r="I405" s="104"/>
    </row>
    <row r="406" spans="1:9" s="12" customFormat="1" ht="12.75">
      <c r="A406" s="274" t="s">
        <v>191</v>
      </c>
      <c r="B406" s="379" t="s">
        <v>262</v>
      </c>
      <c r="C406" s="260"/>
      <c r="D406" s="95"/>
      <c r="E406" s="236"/>
      <c r="F406" s="104"/>
      <c r="G406" s="105"/>
      <c r="H406" s="105"/>
      <c r="I406" s="104"/>
    </row>
    <row r="407" spans="1:9" s="12" customFormat="1" ht="12.75">
      <c r="A407" s="274" t="s">
        <v>183</v>
      </c>
      <c r="B407" s="288">
        <v>137000</v>
      </c>
      <c r="C407" s="260"/>
      <c r="D407" s="95"/>
      <c r="E407" s="236"/>
      <c r="F407" s="104"/>
      <c r="G407" s="105"/>
      <c r="H407" s="105"/>
      <c r="I407" s="104"/>
    </row>
    <row r="408" spans="1:9" s="12" customFormat="1" ht="12.75">
      <c r="A408" s="274" t="s">
        <v>198</v>
      </c>
      <c r="B408" s="309">
        <v>7.1</v>
      </c>
      <c r="C408" s="260"/>
      <c r="D408" s="95"/>
      <c r="E408" s="236"/>
      <c r="F408" s="104"/>
      <c r="G408" s="105"/>
      <c r="H408" s="105"/>
      <c r="I408" s="104"/>
    </row>
    <row r="409" spans="1:9" s="12" customFormat="1" ht="12.75">
      <c r="A409" s="274" t="s">
        <v>197</v>
      </c>
      <c r="B409" s="308">
        <v>1.5E-05</v>
      </c>
      <c r="C409" s="260"/>
      <c r="D409" s="95"/>
      <c r="E409" s="236"/>
      <c r="F409" s="104"/>
      <c r="G409" s="105"/>
      <c r="H409" s="105"/>
      <c r="I409" s="104"/>
    </row>
    <row r="410" spans="1:9" s="12" customFormat="1" ht="12.75">
      <c r="A410" s="274" t="s">
        <v>189</v>
      </c>
      <c r="B410" s="237">
        <v>100</v>
      </c>
      <c r="C410" s="260"/>
      <c r="D410" s="95"/>
      <c r="E410" s="236"/>
      <c r="F410" s="104"/>
      <c r="G410" s="105"/>
      <c r="H410" s="105"/>
      <c r="I410" s="104"/>
    </row>
    <row r="411" spans="1:9" s="12" customFormat="1" ht="12.75">
      <c r="A411" s="274" t="s">
        <v>190</v>
      </c>
      <c r="B411" s="237">
        <v>1</v>
      </c>
      <c r="C411" s="260"/>
      <c r="D411" s="95"/>
      <c r="E411" s="236"/>
      <c r="F411" s="104"/>
      <c r="G411" s="105"/>
      <c r="H411" s="105"/>
      <c r="I411" s="104"/>
    </row>
    <row r="412" spans="1:9" s="12" customFormat="1" ht="13.5" thickBot="1">
      <c r="A412" s="94"/>
      <c r="B412" s="95"/>
      <c r="C412" s="95"/>
      <c r="D412" s="95"/>
      <c r="E412" s="236"/>
      <c r="F412" s="104"/>
      <c r="G412" s="105"/>
      <c r="H412" s="105"/>
      <c r="I412" s="104"/>
    </row>
    <row r="413" spans="1:9" ht="12.75">
      <c r="A413" s="135"/>
      <c r="B413" s="136" t="s">
        <v>17</v>
      </c>
      <c r="C413" s="137"/>
      <c r="D413" s="136"/>
      <c r="E413" s="135" t="s">
        <v>17</v>
      </c>
      <c r="F413" s="138" t="s">
        <v>110</v>
      </c>
      <c r="G413" s="139"/>
      <c r="H413" s="139"/>
      <c r="I413" s="140"/>
    </row>
    <row r="414" spans="1:9" ht="13.5" thickBot="1">
      <c r="A414" s="143" t="s">
        <v>0</v>
      </c>
      <c r="B414" s="141" t="s">
        <v>18</v>
      </c>
      <c r="C414" s="141" t="s">
        <v>85</v>
      </c>
      <c r="D414" s="142" t="s">
        <v>83</v>
      </c>
      <c r="E414" s="143" t="s">
        <v>162</v>
      </c>
      <c r="F414" s="115" t="s">
        <v>1</v>
      </c>
      <c r="G414" s="144" t="s">
        <v>14</v>
      </c>
      <c r="H414" s="144" t="s">
        <v>15</v>
      </c>
      <c r="I414" s="145" t="s">
        <v>2</v>
      </c>
    </row>
    <row r="415" spans="1:10" ht="12.75">
      <c r="A415" s="251" t="s">
        <v>108</v>
      </c>
      <c r="B415" s="241" t="s">
        <v>238</v>
      </c>
      <c r="C415" s="242">
        <f>0.031/(0.031+0.00247+0.0000441)*4.8</f>
        <v>4.439922301359727</v>
      </c>
      <c r="D415" s="245" t="s">
        <v>163</v>
      </c>
      <c r="E415" s="250">
        <f>C415/453.59237</f>
        <v>0.00978835314482853</v>
      </c>
      <c r="F415" s="248">
        <f>E415*$B$403</f>
        <v>15.416656203104935</v>
      </c>
      <c r="G415" s="60">
        <f>F415*$B$411</f>
        <v>15.416656203104935</v>
      </c>
      <c r="H415" s="60">
        <f>F415*$B$410</f>
        <v>1541.6656203104935</v>
      </c>
      <c r="I415" s="162">
        <f>H415/2000</f>
        <v>0.7708328101552467</v>
      </c>
      <c r="J415" s="380"/>
    </row>
    <row r="416" spans="1:10" ht="12.75">
      <c r="A416" s="54" t="s">
        <v>109</v>
      </c>
      <c r="B416" s="237" t="s">
        <v>199</v>
      </c>
      <c r="C416" s="310">
        <f>$B$409*(64/32)*$B$408*$B$405/$B$402*453.6</f>
        <v>0.004935544041450775</v>
      </c>
      <c r="D416" s="246" t="s">
        <v>163</v>
      </c>
      <c r="E416" s="88">
        <f>C416/453.59237</f>
        <v>1.0881012044913311E-05</v>
      </c>
      <c r="F416" s="249">
        <f aca="true" t="shared" si="59" ref="F416:F433">E416*$B$403</f>
        <v>0.017137593970738465</v>
      </c>
      <c r="G416" s="98">
        <f aca="true" t="shared" si="60" ref="G416:G433">F416*$B$411</f>
        <v>0.017137593970738465</v>
      </c>
      <c r="H416" s="68">
        <f aca="true" t="shared" si="61" ref="H416:H429">F416*$B$410</f>
        <v>1.7137593970738465</v>
      </c>
      <c r="I416" s="163">
        <f>H416/2000</f>
        <v>0.0008568796985369232</v>
      </c>
      <c r="J416" s="360"/>
    </row>
    <row r="417" spans="1:10" ht="12.75">
      <c r="A417" s="54" t="s">
        <v>16</v>
      </c>
      <c r="B417" s="237" t="s">
        <v>239</v>
      </c>
      <c r="C417" s="240">
        <v>2.6</v>
      </c>
      <c r="D417" s="246" t="s">
        <v>163</v>
      </c>
      <c r="E417" s="88">
        <f>C417/453.59237</f>
        <v>0.005732018816806817</v>
      </c>
      <c r="F417" s="249">
        <f t="shared" si="59"/>
        <v>9.027929636470736</v>
      </c>
      <c r="G417" s="68">
        <f t="shared" si="60"/>
        <v>9.027929636470736</v>
      </c>
      <c r="H417" s="68">
        <f t="shared" si="61"/>
        <v>902.7929636470736</v>
      </c>
      <c r="I417" s="163">
        <f aca="true" t="shared" si="62" ref="I417:I433">H417/2000</f>
        <v>0.4513964818235368</v>
      </c>
      <c r="J417" s="380"/>
    </row>
    <row r="418" spans="1:10" ht="12.75">
      <c r="A418" s="54" t="s">
        <v>3</v>
      </c>
      <c r="B418" s="237" t="s">
        <v>238</v>
      </c>
      <c r="C418" s="238">
        <f>(0.00247+0.0000441)/(0.031+0.00247+0.0000441)*4.8</f>
        <v>0.3600776986402738</v>
      </c>
      <c r="D418" s="246" t="s">
        <v>163</v>
      </c>
      <c r="E418" s="88">
        <f>C418/453.59237</f>
        <v>0.0007938354400455937</v>
      </c>
      <c r="F418" s="249">
        <f t="shared" si="59"/>
        <v>1.2502908180718102</v>
      </c>
      <c r="G418" s="68">
        <f t="shared" si="60"/>
        <v>1.2502908180718102</v>
      </c>
      <c r="H418" s="68">
        <f t="shared" si="61"/>
        <v>125.02908180718102</v>
      </c>
      <c r="I418" s="163">
        <f t="shared" si="62"/>
        <v>0.0625145409035905</v>
      </c>
      <c r="J418" s="380"/>
    </row>
    <row r="419" spans="1:10" ht="15.75">
      <c r="A419" s="54" t="s">
        <v>151</v>
      </c>
      <c r="B419" s="237" t="s">
        <v>239</v>
      </c>
      <c r="C419" s="240">
        <v>0.15</v>
      </c>
      <c r="D419" s="246" t="s">
        <v>163</v>
      </c>
      <c r="E419" s="88">
        <f>C419/453.59237</f>
        <v>0.0003306933932773163</v>
      </c>
      <c r="F419" s="249">
        <f t="shared" si="59"/>
        <v>0.5208420944117732</v>
      </c>
      <c r="G419" s="68">
        <f t="shared" si="60"/>
        <v>0.5208420944117732</v>
      </c>
      <c r="H419" s="68">
        <f t="shared" si="61"/>
        <v>52.08420944117732</v>
      </c>
      <c r="I419" s="163">
        <f t="shared" si="62"/>
        <v>0.02604210472058866</v>
      </c>
      <c r="J419" s="380"/>
    </row>
    <row r="420" spans="1:9" ht="12.75">
      <c r="A420" s="54" t="s">
        <v>34</v>
      </c>
      <c r="B420" s="237" t="s">
        <v>245</v>
      </c>
      <c r="C420" s="239">
        <f>0.000933/((0.00247+0.0000441)*453.59237)*C$418</f>
        <v>0.0002945978543266135</v>
      </c>
      <c r="D420" s="246" t="s">
        <v>86</v>
      </c>
      <c r="E420" s="88">
        <f>C420*($B$404/$B$408*$B$407)/1000000</f>
        <v>1.9895728330931148E-06</v>
      </c>
      <c r="F420" s="263">
        <f t="shared" si="59"/>
        <v>0.0031335772121216555</v>
      </c>
      <c r="G420" s="264">
        <f t="shared" si="60"/>
        <v>0.0031335772121216555</v>
      </c>
      <c r="H420" s="264">
        <f t="shared" si="61"/>
        <v>0.31335772121216554</v>
      </c>
      <c r="I420" s="265">
        <f t="shared" si="62"/>
        <v>0.00015667886060608278</v>
      </c>
    </row>
    <row r="421" spans="1:9" ht="12.75">
      <c r="A421" s="54" t="s">
        <v>41</v>
      </c>
      <c r="B421" s="237" t="s">
        <v>245</v>
      </c>
      <c r="C421" s="239">
        <f>0.000409/((0.00247+0.0000441)*453.59237)*C$418</f>
        <v>0.00012914311084628608</v>
      </c>
      <c r="D421" s="246" t="s">
        <v>86</v>
      </c>
      <c r="E421" s="88">
        <f aca="true" t="shared" si="63" ref="E421:E429">C421*($B$404/$B$408*$B$407)/1000000</f>
        <v>8.721707274759743E-07</v>
      </c>
      <c r="F421" s="263">
        <f t="shared" si="59"/>
        <v>0.0013736688957746595</v>
      </c>
      <c r="G421" s="264">
        <f t="shared" si="60"/>
        <v>0.0013736688957746595</v>
      </c>
      <c r="H421" s="264">
        <f t="shared" si="61"/>
        <v>0.13736688957746596</v>
      </c>
      <c r="I421" s="265">
        <f t="shared" si="62"/>
        <v>6.868344478873298E-05</v>
      </c>
    </row>
    <row r="422" spans="1:9" ht="12.75">
      <c r="A422" s="54" t="s">
        <v>42</v>
      </c>
      <c r="B422" s="237" t="s">
        <v>245</v>
      </c>
      <c r="C422" s="239">
        <f>0.000285/((0.00247+0.0000441)*453.59237)*C$418</f>
        <v>8.998969826697196E-05</v>
      </c>
      <c r="D422" s="246" t="s">
        <v>86</v>
      </c>
      <c r="E422" s="88">
        <f t="shared" si="63"/>
        <v>6.077473284368035E-07</v>
      </c>
      <c r="F422" s="263">
        <f t="shared" si="59"/>
        <v>0.0009572020422879655</v>
      </c>
      <c r="G422" s="264">
        <f t="shared" si="60"/>
        <v>0.0009572020422879655</v>
      </c>
      <c r="H422" s="264">
        <f t="shared" si="61"/>
        <v>0.09572020422879655</v>
      </c>
      <c r="I422" s="265">
        <f t="shared" si="62"/>
        <v>4.7860102114398276E-05</v>
      </c>
    </row>
    <row r="423" spans="1:9" ht="12.75">
      <c r="A423" s="54" t="s">
        <v>40</v>
      </c>
      <c r="B423" s="237" t="s">
        <v>245</v>
      </c>
      <c r="C423" s="239">
        <f>0.00258/((0.00247+0.0000441)*453.59237)*C$418</f>
        <v>0.0008146435843115357</v>
      </c>
      <c r="D423" s="246" t="s">
        <v>86</v>
      </c>
      <c r="E423" s="88">
        <f t="shared" si="63"/>
        <v>5.5017126574279065E-06</v>
      </c>
      <c r="F423" s="263">
        <f t="shared" si="59"/>
        <v>0.008665197435448952</v>
      </c>
      <c r="G423" s="264">
        <f t="shared" si="60"/>
        <v>0.008665197435448952</v>
      </c>
      <c r="H423" s="264">
        <f t="shared" si="61"/>
        <v>0.8665197435448952</v>
      </c>
      <c r="I423" s="265">
        <f t="shared" si="62"/>
        <v>0.0004332598717724476</v>
      </c>
    </row>
    <row r="424" spans="1:9" ht="12.75">
      <c r="A424" s="54" t="s">
        <v>265</v>
      </c>
      <c r="B424" s="237" t="s">
        <v>245</v>
      </c>
      <c r="C424" s="239">
        <f>0.0000391/((0.00247+0.0000441)*453.59237)*C$418</f>
        <v>1.234595509557405E-05</v>
      </c>
      <c r="D424" s="246" t="s">
        <v>86</v>
      </c>
      <c r="E424" s="88">
        <f t="shared" si="63"/>
        <v>8.337866856799657E-08</v>
      </c>
      <c r="F424" s="263">
        <f t="shared" si="59"/>
        <v>0.0001313214029945946</v>
      </c>
      <c r="G424" s="264">
        <f t="shared" si="60"/>
        <v>0.0001313214029945946</v>
      </c>
      <c r="H424" s="264">
        <f t="shared" si="61"/>
        <v>0.01313214029945946</v>
      </c>
      <c r="I424" s="265">
        <f t="shared" si="62"/>
        <v>6.56607014972973E-06</v>
      </c>
    </row>
    <row r="425" spans="1:9" ht="12.75">
      <c r="A425" s="54" t="s">
        <v>35</v>
      </c>
      <c r="B425" s="237" t="s">
        <v>245</v>
      </c>
      <c r="C425" s="239">
        <f>0.00118/((0.00247+0.0000441)*453.59237)*C$418</f>
        <v>0.0003725889261579892</v>
      </c>
      <c r="D425" s="246" t="s">
        <v>86</v>
      </c>
      <c r="E425" s="88">
        <f t="shared" si="63"/>
        <v>2.5162871844050114E-06</v>
      </c>
      <c r="F425" s="263">
        <f t="shared" si="59"/>
        <v>0.003963152315437893</v>
      </c>
      <c r="G425" s="264">
        <f t="shared" si="60"/>
        <v>0.003963152315437893</v>
      </c>
      <c r="H425" s="264">
        <f t="shared" si="61"/>
        <v>0.3963152315437893</v>
      </c>
      <c r="I425" s="265">
        <f t="shared" si="62"/>
        <v>0.00019815761577189465</v>
      </c>
    </row>
    <row r="426" spans="1:9" ht="12.75">
      <c r="A426" s="54" t="s">
        <v>38</v>
      </c>
      <c r="B426" s="237" t="s">
        <v>245</v>
      </c>
      <c r="C426" s="239">
        <f>0.000767/((0.00247+0.0000441)*453.59237)*C$418</f>
        <v>0.00024218280200269298</v>
      </c>
      <c r="D426" s="246" t="s">
        <v>86</v>
      </c>
      <c r="E426" s="88">
        <f t="shared" si="63"/>
        <v>1.6355866698632573E-06</v>
      </c>
      <c r="F426" s="263">
        <f t="shared" si="59"/>
        <v>0.0025760490050346302</v>
      </c>
      <c r="G426" s="264">
        <f t="shared" si="60"/>
        <v>0.0025760490050346302</v>
      </c>
      <c r="H426" s="264">
        <f t="shared" si="61"/>
        <v>0.257604900503463</v>
      </c>
      <c r="I426" s="265">
        <f t="shared" si="62"/>
        <v>0.0001288024502517315</v>
      </c>
    </row>
    <row r="427" spans="1:9" ht="12.75">
      <c r="A427" s="54" t="s">
        <v>39</v>
      </c>
      <c r="B427" s="237" t="s">
        <v>245</v>
      </c>
      <c r="C427" s="239">
        <f>0.0000925/((0.00247+0.0000441)*453.59237)*C$418</f>
        <v>2.920718277085932E-05</v>
      </c>
      <c r="D427" s="246" t="s">
        <v>86</v>
      </c>
      <c r="E427" s="88">
        <f t="shared" si="63"/>
        <v>1.9725132589615552E-07</v>
      </c>
      <c r="F427" s="263">
        <f t="shared" si="59"/>
        <v>0.00031067083828644496</v>
      </c>
      <c r="G427" s="264">
        <f t="shared" si="60"/>
        <v>0.00031067083828644496</v>
      </c>
      <c r="H427" s="264">
        <f t="shared" si="61"/>
        <v>0.031067083828644496</v>
      </c>
      <c r="I427" s="265">
        <f t="shared" si="62"/>
        <v>1.553354191432225E-05</v>
      </c>
    </row>
    <row r="428" spans="1:9" ht="12.75">
      <c r="A428" s="54" t="s">
        <v>36</v>
      </c>
      <c r="B428" s="237" t="s">
        <v>245</v>
      </c>
      <c r="C428" s="239">
        <f>(0.000168-0.0000848)/((0.00247+0.0000441)*453.59237)*C$418</f>
        <v>2.627067682741076E-05</v>
      </c>
      <c r="D428" s="246" t="s">
        <v>86</v>
      </c>
      <c r="E428" s="88">
        <f t="shared" si="63"/>
        <v>1.7741957096821772E-07</v>
      </c>
      <c r="F428" s="263">
        <f t="shared" si="59"/>
        <v>0.0002794358242749429</v>
      </c>
      <c r="G428" s="264">
        <f t="shared" si="60"/>
        <v>0.0002794358242749429</v>
      </c>
      <c r="H428" s="264">
        <f t="shared" si="61"/>
        <v>0.02794358242749429</v>
      </c>
      <c r="I428" s="265">
        <f t="shared" si="62"/>
        <v>1.3971791213747146E-05</v>
      </c>
    </row>
    <row r="429" spans="1:9" ht="12.75">
      <c r="A429" s="54" t="s">
        <v>37</v>
      </c>
      <c r="B429" s="237" t="s">
        <v>245</v>
      </c>
      <c r="C429" s="239">
        <f>0.0000848/((0.00247+0.0000441)*453.59237)*C$418</f>
        <v>2.6775882151014817E-05</v>
      </c>
      <c r="D429" s="246" t="s">
        <v>86</v>
      </c>
      <c r="E429" s="88">
        <f t="shared" si="63"/>
        <v>1.8083148579452964E-07</v>
      </c>
      <c r="F429" s="263">
        <f t="shared" si="59"/>
        <v>0.0002848095901263842</v>
      </c>
      <c r="G429" s="264">
        <f t="shared" si="60"/>
        <v>0.0002848095901263842</v>
      </c>
      <c r="H429" s="264">
        <f t="shared" si="61"/>
        <v>0.028480959012638418</v>
      </c>
      <c r="I429" s="265">
        <f t="shared" si="62"/>
        <v>1.4240479506319209E-05</v>
      </c>
    </row>
    <row r="430" spans="1:9" ht="12.75">
      <c r="A430" s="54" t="s">
        <v>164</v>
      </c>
      <c r="B430" s="237" t="s">
        <v>44</v>
      </c>
      <c r="C430" s="239">
        <v>0.1863</v>
      </c>
      <c r="D430" s="246" t="s">
        <v>161</v>
      </c>
      <c r="E430" s="88">
        <f>C430*$B$405/$B$402/1000</f>
        <v>9.516894110778657E-06</v>
      </c>
      <c r="F430" s="263">
        <f t="shared" si="59"/>
        <v>0.014989108224476385</v>
      </c>
      <c r="G430" s="264">
        <f t="shared" si="60"/>
        <v>0.014989108224476385</v>
      </c>
      <c r="H430" s="264">
        <f>F430*$B$410</f>
        <v>1.4989108224476384</v>
      </c>
      <c r="I430" s="265">
        <f t="shared" si="62"/>
        <v>0.0007494554112238192</v>
      </c>
    </row>
    <row r="431" spans="1:9" ht="12.75">
      <c r="A431" s="54" t="s">
        <v>118</v>
      </c>
      <c r="B431" s="237" t="s">
        <v>44</v>
      </c>
      <c r="C431" s="239">
        <v>0.0016</v>
      </c>
      <c r="D431" s="246" t="s">
        <v>161</v>
      </c>
      <c r="E431" s="88">
        <f>C431*$B$405/$B$402/1000</f>
        <v>8.17339268773261E-08</v>
      </c>
      <c r="F431" s="263">
        <f t="shared" si="59"/>
        <v>0.0001287309348317886</v>
      </c>
      <c r="G431" s="264">
        <f t="shared" si="60"/>
        <v>0.0001287309348317886</v>
      </c>
      <c r="H431" s="264">
        <f>F431*$B$410</f>
        <v>0.01287309348317886</v>
      </c>
      <c r="I431" s="265">
        <f t="shared" si="62"/>
        <v>6.43654674158943E-06</v>
      </c>
    </row>
    <row r="432" spans="1:9" ht="12.75">
      <c r="A432" s="54" t="s">
        <v>168</v>
      </c>
      <c r="B432" s="237" t="s">
        <v>44</v>
      </c>
      <c r="C432" s="239">
        <v>0.002</v>
      </c>
      <c r="D432" s="246" t="s">
        <v>161</v>
      </c>
      <c r="E432" s="88">
        <f>C432*$B$405/$B$402/1000</f>
        <v>1.021674085966576E-07</v>
      </c>
      <c r="F432" s="263">
        <f t="shared" si="59"/>
        <v>0.00016091366853973572</v>
      </c>
      <c r="G432" s="264">
        <f t="shared" si="60"/>
        <v>0.00016091366853973572</v>
      </c>
      <c r="H432" s="264">
        <f>F432*$B$410</f>
        <v>0.01609136685397357</v>
      </c>
      <c r="I432" s="265">
        <f t="shared" si="62"/>
        <v>8.045683426986786E-06</v>
      </c>
    </row>
    <row r="433" spans="1:9" ht="13.5" thickBot="1">
      <c r="A433" s="252" t="s">
        <v>117</v>
      </c>
      <c r="B433" s="243" t="s">
        <v>44</v>
      </c>
      <c r="C433" s="244">
        <v>0.0039</v>
      </c>
      <c r="D433" s="247" t="s">
        <v>161</v>
      </c>
      <c r="E433" s="101">
        <f>C433*$B$405/$B$402/1000</f>
        <v>1.9922644676348232E-07</v>
      </c>
      <c r="F433" s="266">
        <f t="shared" si="59"/>
        <v>0.00031378165365248463</v>
      </c>
      <c r="G433" s="267">
        <f t="shared" si="60"/>
        <v>0.00031378165365248463</v>
      </c>
      <c r="H433" s="267">
        <f>F433*$B$410</f>
        <v>0.03137816536524846</v>
      </c>
      <c r="I433" s="268">
        <f t="shared" si="62"/>
        <v>1.568908268262423E-05</v>
      </c>
    </row>
    <row r="434" spans="1:9" ht="12.75">
      <c r="A434" s="94"/>
      <c r="B434" s="95"/>
      <c r="C434" s="236"/>
      <c r="D434" s="361"/>
      <c r="E434" s="236"/>
      <c r="F434" s="359"/>
      <c r="G434" s="105"/>
      <c r="H434" s="105"/>
      <c r="I434" s="104"/>
    </row>
    <row r="435" spans="1:9" ht="12.75">
      <c r="A435" s="94"/>
      <c r="B435" s="95"/>
      <c r="C435" s="95"/>
      <c r="D435" s="358"/>
      <c r="E435" s="236"/>
      <c r="F435" s="104"/>
      <c r="G435" s="105"/>
      <c r="H435" s="105"/>
      <c r="I435" s="104"/>
    </row>
    <row r="436" spans="1:9" ht="12.75">
      <c r="A436" s="259" t="s">
        <v>91</v>
      </c>
      <c r="B436" s="95"/>
      <c r="C436" s="95"/>
      <c r="D436" s="95"/>
      <c r="E436" s="236"/>
      <c r="F436" s="104"/>
      <c r="G436" s="105"/>
      <c r="H436" s="105"/>
      <c r="I436" s="104"/>
    </row>
    <row r="437" spans="1:9" ht="12.75">
      <c r="A437" s="259"/>
      <c r="B437" s="95"/>
      <c r="C437" s="95"/>
      <c r="D437" s="95"/>
      <c r="E437" s="236"/>
      <c r="F437" s="104"/>
      <c r="G437" s="105"/>
      <c r="H437" s="105"/>
      <c r="I437" s="104"/>
    </row>
    <row r="438" spans="1:9" s="12" customFormat="1" ht="12.75">
      <c r="A438" s="275" t="s">
        <v>181</v>
      </c>
      <c r="B438" s="276">
        <v>15000</v>
      </c>
      <c r="C438" s="95"/>
      <c r="D438" s="95"/>
      <c r="E438" s="236"/>
      <c r="F438" s="104"/>
      <c r="G438" s="105"/>
      <c r="H438" s="105"/>
      <c r="I438" s="104"/>
    </row>
    <row r="439" spans="1:9" s="12" customFormat="1" ht="12.75">
      <c r="A439" s="275" t="s">
        <v>182</v>
      </c>
      <c r="B439" s="277">
        <v>1.6E-05</v>
      </c>
      <c r="C439" s="95"/>
      <c r="D439" s="95"/>
      <c r="E439" s="236"/>
      <c r="F439" s="104"/>
      <c r="G439" s="105"/>
      <c r="H439" s="105"/>
      <c r="I439" s="104"/>
    </row>
    <row r="440" spans="1:9" ht="13.5" thickBot="1">
      <c r="A440" s="94"/>
      <c r="B440" s="95"/>
      <c r="C440" s="95"/>
      <c r="D440" s="95"/>
      <c r="E440" s="236"/>
      <c r="F440" s="104"/>
      <c r="G440" s="105"/>
      <c r="H440" s="105"/>
      <c r="I440" s="104"/>
    </row>
    <row r="441" spans="1:9" ht="12.75">
      <c r="A441" s="135"/>
      <c r="B441" s="136" t="s">
        <v>17</v>
      </c>
      <c r="C441" s="137"/>
      <c r="D441" s="136"/>
      <c r="E441" s="134" t="s">
        <v>17</v>
      </c>
      <c r="F441" s="138" t="s">
        <v>110</v>
      </c>
      <c r="G441" s="139"/>
      <c r="H441" s="139"/>
      <c r="I441" s="140"/>
    </row>
    <row r="442" spans="1:9" ht="13.5" thickBot="1">
      <c r="A442" s="158" t="s">
        <v>0</v>
      </c>
      <c r="B442" s="148" t="s">
        <v>18</v>
      </c>
      <c r="C442" s="148" t="s">
        <v>85</v>
      </c>
      <c r="D442" s="149" t="s">
        <v>83</v>
      </c>
      <c r="E442" s="150" t="s">
        <v>129</v>
      </c>
      <c r="F442" s="151" t="s">
        <v>1</v>
      </c>
      <c r="G442" s="152" t="s">
        <v>14</v>
      </c>
      <c r="H442" s="152" t="s">
        <v>15</v>
      </c>
      <c r="I442" s="153" t="s">
        <v>2</v>
      </c>
    </row>
    <row r="443" spans="1:9" ht="12.75">
      <c r="A443" s="159" t="s">
        <v>3</v>
      </c>
      <c r="B443" s="108" t="s">
        <v>236</v>
      </c>
      <c r="C443" s="108">
        <v>0.7</v>
      </c>
      <c r="D443" s="110" t="s">
        <v>130</v>
      </c>
      <c r="E443" s="111">
        <f>C443/1000000</f>
        <v>7E-07</v>
      </c>
      <c r="F443" s="212">
        <f aca="true" t="shared" si="64" ref="F443:F452">E443*(B$438*60)</f>
        <v>0.63</v>
      </c>
      <c r="G443" s="213">
        <f>F443*24</f>
        <v>15.120000000000001</v>
      </c>
      <c r="H443" s="213">
        <f>G443*365</f>
        <v>5518.8</v>
      </c>
      <c r="I443" s="214">
        <f>H443/2000</f>
        <v>2.7594000000000003</v>
      </c>
    </row>
    <row r="444" spans="1:9" ht="15.75">
      <c r="A444" s="200" t="s">
        <v>151</v>
      </c>
      <c r="B444" s="201" t="s">
        <v>156</v>
      </c>
      <c r="C444" s="201">
        <v>2000</v>
      </c>
      <c r="D444" s="202" t="s">
        <v>128</v>
      </c>
      <c r="E444" s="203">
        <f>(C444/1000000)*B$439*8.345</f>
        <v>2.6704000000000004E-07</v>
      </c>
      <c r="F444" s="215">
        <f t="shared" si="64"/>
        <v>0.24033600000000005</v>
      </c>
      <c r="G444" s="216">
        <f>F444*24</f>
        <v>5.768064000000001</v>
      </c>
      <c r="H444" s="216">
        <f>G444*365</f>
        <v>2105.3433600000003</v>
      </c>
      <c r="I444" s="217">
        <f>H444/2000</f>
        <v>1.0526716800000002</v>
      </c>
    </row>
    <row r="445" spans="1:9" ht="12.75">
      <c r="A445" s="200" t="s">
        <v>141</v>
      </c>
      <c r="B445" s="201" t="s">
        <v>235</v>
      </c>
      <c r="C445" s="201">
        <v>0.002</v>
      </c>
      <c r="D445" s="202" t="s">
        <v>157</v>
      </c>
      <c r="E445" s="203">
        <f>$E$443*C445</f>
        <v>1.4E-09</v>
      </c>
      <c r="F445" s="292">
        <f t="shared" si="64"/>
        <v>0.0012599999999999998</v>
      </c>
      <c r="G445" s="293">
        <f aca="true" t="shared" si="65" ref="G445:G452">F445*24</f>
        <v>0.030239999999999996</v>
      </c>
      <c r="H445" s="293">
        <f aca="true" t="shared" si="66" ref="H445:H452">G445*365</f>
        <v>11.0376</v>
      </c>
      <c r="I445" s="294">
        <f aca="true" t="shared" si="67" ref="I445:I452">H445/2000</f>
        <v>0.0055188</v>
      </c>
    </row>
    <row r="446" spans="1:9" ht="12.75">
      <c r="A446" s="200" t="s">
        <v>34</v>
      </c>
      <c r="B446" s="201" t="s">
        <v>235</v>
      </c>
      <c r="C446" s="201">
        <v>0.019</v>
      </c>
      <c r="D446" s="202" t="s">
        <v>157</v>
      </c>
      <c r="E446" s="203">
        <f aca="true" t="shared" si="68" ref="E446:E452">$E$443*C446</f>
        <v>1.3299999999999998E-08</v>
      </c>
      <c r="F446" s="292">
        <f t="shared" si="64"/>
        <v>0.011969999999999998</v>
      </c>
      <c r="G446" s="293">
        <f t="shared" si="65"/>
        <v>0.28728</v>
      </c>
      <c r="H446" s="293">
        <f t="shared" si="66"/>
        <v>104.85719999999999</v>
      </c>
      <c r="I446" s="294">
        <f t="shared" si="67"/>
        <v>0.0524286</v>
      </c>
    </row>
    <row r="447" spans="1:9" ht="12.75">
      <c r="A447" s="200" t="s">
        <v>140</v>
      </c>
      <c r="B447" s="201" t="s">
        <v>235</v>
      </c>
      <c r="C447" s="201">
        <v>0.06</v>
      </c>
      <c r="D447" s="202" t="s">
        <v>157</v>
      </c>
      <c r="E447" s="203">
        <f t="shared" si="68"/>
        <v>4.2E-08</v>
      </c>
      <c r="F447" s="292">
        <f t="shared" si="64"/>
        <v>0.0378</v>
      </c>
      <c r="G447" s="293">
        <f t="shared" si="65"/>
        <v>0.9072</v>
      </c>
      <c r="H447" s="293">
        <f t="shared" si="66"/>
        <v>331.128</v>
      </c>
      <c r="I447" s="294">
        <f t="shared" si="67"/>
        <v>0.165564</v>
      </c>
    </row>
    <row r="448" spans="1:9" ht="12.75">
      <c r="A448" s="200" t="s">
        <v>43</v>
      </c>
      <c r="B448" s="201" t="s">
        <v>235</v>
      </c>
      <c r="C448" s="201">
        <v>0.002</v>
      </c>
      <c r="D448" s="202" t="s">
        <v>157</v>
      </c>
      <c r="E448" s="203">
        <f t="shared" si="68"/>
        <v>1.4E-09</v>
      </c>
      <c r="F448" s="292">
        <f t="shared" si="64"/>
        <v>0.0012599999999999998</v>
      </c>
      <c r="G448" s="293">
        <f t="shared" si="65"/>
        <v>0.030239999999999996</v>
      </c>
      <c r="H448" s="293">
        <f t="shared" si="66"/>
        <v>11.0376</v>
      </c>
      <c r="I448" s="294">
        <f t="shared" si="67"/>
        <v>0.0055188</v>
      </c>
    </row>
    <row r="449" spans="1:9" ht="12.75">
      <c r="A449" s="200" t="s">
        <v>139</v>
      </c>
      <c r="B449" s="201" t="s">
        <v>235</v>
      </c>
      <c r="C449" s="201">
        <v>0.091</v>
      </c>
      <c r="D449" s="202" t="s">
        <v>157</v>
      </c>
      <c r="E449" s="203">
        <f t="shared" si="68"/>
        <v>6.37E-08</v>
      </c>
      <c r="F449" s="292">
        <f t="shared" si="64"/>
        <v>0.05732999999999999</v>
      </c>
      <c r="G449" s="293">
        <f t="shared" si="65"/>
        <v>1.3759199999999998</v>
      </c>
      <c r="H449" s="293">
        <f t="shared" si="66"/>
        <v>502.21079999999995</v>
      </c>
      <c r="I449" s="294">
        <f t="shared" si="67"/>
        <v>0.2511054</v>
      </c>
    </row>
    <row r="450" spans="1:9" ht="12.75">
      <c r="A450" s="200" t="s">
        <v>40</v>
      </c>
      <c r="B450" s="201" t="s">
        <v>235</v>
      </c>
      <c r="C450" s="201">
        <v>0.00014</v>
      </c>
      <c r="D450" s="202" t="s">
        <v>157</v>
      </c>
      <c r="E450" s="203">
        <f t="shared" si="68"/>
        <v>9.799999999999998E-11</v>
      </c>
      <c r="F450" s="292">
        <f t="shared" si="64"/>
        <v>8.819999999999999E-05</v>
      </c>
      <c r="G450" s="293">
        <f t="shared" si="65"/>
        <v>0.0021168</v>
      </c>
      <c r="H450" s="293">
        <f t="shared" si="66"/>
        <v>0.772632</v>
      </c>
      <c r="I450" s="294">
        <f t="shared" si="67"/>
        <v>0.000386316</v>
      </c>
    </row>
    <row r="451" spans="1:9" ht="12.75">
      <c r="A451" s="200" t="s">
        <v>41</v>
      </c>
      <c r="B451" s="201" t="s">
        <v>235</v>
      </c>
      <c r="C451" s="201">
        <v>0.002</v>
      </c>
      <c r="D451" s="202" t="s">
        <v>157</v>
      </c>
      <c r="E451" s="203">
        <f t="shared" si="68"/>
        <v>1.4E-09</v>
      </c>
      <c r="F451" s="292">
        <f t="shared" si="64"/>
        <v>0.0012599999999999998</v>
      </c>
      <c r="G451" s="293">
        <f t="shared" si="65"/>
        <v>0.030239999999999996</v>
      </c>
      <c r="H451" s="293">
        <f t="shared" si="66"/>
        <v>11.0376</v>
      </c>
      <c r="I451" s="294">
        <f t="shared" si="67"/>
        <v>0.0055188</v>
      </c>
    </row>
    <row r="452" spans="1:9" ht="13.5" thickBot="1">
      <c r="A452" s="160" t="s">
        <v>42</v>
      </c>
      <c r="B452" s="204" t="s">
        <v>235</v>
      </c>
      <c r="C452" s="204">
        <v>0.0035</v>
      </c>
      <c r="D452" s="205" t="s">
        <v>157</v>
      </c>
      <c r="E452" s="206">
        <f t="shared" si="68"/>
        <v>2.45E-09</v>
      </c>
      <c r="F452" s="295">
        <f t="shared" si="64"/>
        <v>0.002205</v>
      </c>
      <c r="G452" s="296">
        <f t="shared" si="65"/>
        <v>0.052919999999999995</v>
      </c>
      <c r="H452" s="296">
        <f t="shared" si="66"/>
        <v>19.3158</v>
      </c>
      <c r="I452" s="297">
        <f t="shared" si="67"/>
        <v>0.0096579</v>
      </c>
    </row>
    <row r="453" spans="1:9" ht="12.75">
      <c r="A453" s="94"/>
      <c r="B453" s="95"/>
      <c r="C453" s="95"/>
      <c r="D453" s="95"/>
      <c r="E453" s="236"/>
      <c r="F453" s="104"/>
      <c r="G453" s="105"/>
      <c r="H453" s="105"/>
      <c r="I453" s="104"/>
    </row>
    <row r="454" spans="1:9" ht="12.75">
      <c r="A454" s="259" t="s">
        <v>90</v>
      </c>
      <c r="B454" s="95"/>
      <c r="C454" s="95"/>
      <c r="D454" s="95"/>
      <c r="E454" s="236"/>
      <c r="F454" s="104"/>
      <c r="G454" s="105"/>
      <c r="H454" s="105"/>
      <c r="I454" s="104"/>
    </row>
    <row r="455" spans="1:9" ht="12.75">
      <c r="A455" s="259"/>
      <c r="B455" s="95"/>
      <c r="C455" s="95"/>
      <c r="D455" s="95"/>
      <c r="E455" s="236"/>
      <c r="F455" s="104"/>
      <c r="G455" s="105"/>
      <c r="H455" s="105"/>
      <c r="I455" s="104"/>
    </row>
    <row r="456" spans="1:9" s="12" customFormat="1" ht="12.75">
      <c r="A456" s="275" t="s">
        <v>181</v>
      </c>
      <c r="B456" s="276">
        <v>15000</v>
      </c>
      <c r="C456" s="95"/>
      <c r="D456" s="95"/>
      <c r="E456" s="236"/>
      <c r="F456" s="104"/>
      <c r="G456" s="105"/>
      <c r="H456" s="105"/>
      <c r="I456" s="104"/>
    </row>
    <row r="457" spans="1:9" s="12" customFormat="1" ht="12.75">
      <c r="A457" s="275" t="s">
        <v>182</v>
      </c>
      <c r="B457" s="277">
        <f>B439</f>
        <v>1.6E-05</v>
      </c>
      <c r="C457" s="95"/>
      <c r="D457" s="95"/>
      <c r="E457" s="236"/>
      <c r="F457" s="104"/>
      <c r="G457" s="105"/>
      <c r="H457" s="105"/>
      <c r="I457" s="104"/>
    </row>
    <row r="458" spans="1:9" ht="13.5" thickBot="1">
      <c r="A458" s="94"/>
      <c r="B458" s="95"/>
      <c r="C458" s="95"/>
      <c r="D458" s="95"/>
      <c r="E458" s="236"/>
      <c r="F458" s="104"/>
      <c r="G458" s="105"/>
      <c r="H458" s="105"/>
      <c r="I458" s="104"/>
    </row>
    <row r="459" spans="1:9" ht="12.75">
      <c r="A459" s="135"/>
      <c r="B459" s="136" t="s">
        <v>17</v>
      </c>
      <c r="C459" s="137"/>
      <c r="D459" s="136"/>
      <c r="E459" s="134" t="s">
        <v>17</v>
      </c>
      <c r="F459" s="138" t="s">
        <v>110</v>
      </c>
      <c r="G459" s="139"/>
      <c r="H459" s="139"/>
      <c r="I459" s="140"/>
    </row>
    <row r="460" spans="1:9" ht="13.5" thickBot="1">
      <c r="A460" s="158" t="s">
        <v>0</v>
      </c>
      <c r="B460" s="148" t="s">
        <v>18</v>
      </c>
      <c r="C460" s="148" t="s">
        <v>85</v>
      </c>
      <c r="D460" s="149" t="s">
        <v>83</v>
      </c>
      <c r="E460" s="150" t="s">
        <v>129</v>
      </c>
      <c r="F460" s="151" t="s">
        <v>1</v>
      </c>
      <c r="G460" s="152" t="s">
        <v>14</v>
      </c>
      <c r="H460" s="152" t="s">
        <v>15</v>
      </c>
      <c r="I460" s="153" t="s">
        <v>2</v>
      </c>
    </row>
    <row r="461" spans="1:9" ht="12.75">
      <c r="A461" s="211" t="s">
        <v>3</v>
      </c>
      <c r="B461" s="108" t="s">
        <v>236</v>
      </c>
      <c r="C461" s="108">
        <v>0.7</v>
      </c>
      <c r="D461" s="110" t="s">
        <v>130</v>
      </c>
      <c r="E461" s="111">
        <f>C461/1000000</f>
        <v>7E-07</v>
      </c>
      <c r="F461" s="212">
        <f aca="true" t="shared" si="69" ref="F461:F470">E461*(B$456*60)</f>
        <v>0.63</v>
      </c>
      <c r="G461" s="218">
        <f>F461*24</f>
        <v>15.120000000000001</v>
      </c>
      <c r="H461" s="218">
        <f>G461*365</f>
        <v>5518.8</v>
      </c>
      <c r="I461" s="219">
        <f>H461/2000</f>
        <v>2.7594000000000003</v>
      </c>
    </row>
    <row r="462" spans="1:9" ht="15.75">
      <c r="A462" s="200" t="s">
        <v>151</v>
      </c>
      <c r="B462" s="208" t="s">
        <v>156</v>
      </c>
      <c r="C462" s="209">
        <v>2000</v>
      </c>
      <c r="D462" s="210" t="s">
        <v>128</v>
      </c>
      <c r="E462" s="203">
        <f>(C462/1000000)*B$457*8.345</f>
        <v>2.6704000000000004E-07</v>
      </c>
      <c r="F462" s="215">
        <f t="shared" si="69"/>
        <v>0.24033600000000005</v>
      </c>
      <c r="G462" s="216">
        <f>F462*24</f>
        <v>5.768064000000001</v>
      </c>
      <c r="H462" s="216">
        <f>G462*365</f>
        <v>2105.3433600000003</v>
      </c>
      <c r="I462" s="217">
        <f>H462/2000</f>
        <v>1.0526716800000002</v>
      </c>
    </row>
    <row r="463" spans="1:9" ht="12.75">
      <c r="A463" s="207" t="s">
        <v>141</v>
      </c>
      <c r="B463" s="201" t="s">
        <v>235</v>
      </c>
      <c r="C463" s="197">
        <v>0.002</v>
      </c>
      <c r="D463" s="198" t="s">
        <v>157</v>
      </c>
      <c r="E463" s="199">
        <f>$E$461*C463</f>
        <v>1.4E-09</v>
      </c>
      <c r="F463" s="289">
        <f t="shared" si="69"/>
        <v>0.0012599999999999998</v>
      </c>
      <c r="G463" s="290">
        <f aca="true" t="shared" si="70" ref="G463:G470">F463*24</f>
        <v>0.030239999999999996</v>
      </c>
      <c r="H463" s="290">
        <f aca="true" t="shared" si="71" ref="H463:H470">G463*365</f>
        <v>11.0376</v>
      </c>
      <c r="I463" s="291">
        <f aca="true" t="shared" si="72" ref="I463:I470">H463/2000</f>
        <v>0.0055188</v>
      </c>
    </row>
    <row r="464" spans="1:9" ht="12.75">
      <c r="A464" s="200" t="s">
        <v>34</v>
      </c>
      <c r="B464" s="201" t="s">
        <v>235</v>
      </c>
      <c r="C464" s="201">
        <v>0.019</v>
      </c>
      <c r="D464" s="202" t="s">
        <v>157</v>
      </c>
      <c r="E464" s="203">
        <f aca="true" t="shared" si="73" ref="E464:E470">$E$461*C464</f>
        <v>1.3299999999999998E-08</v>
      </c>
      <c r="F464" s="292">
        <f t="shared" si="69"/>
        <v>0.011969999999999998</v>
      </c>
      <c r="G464" s="293">
        <f t="shared" si="70"/>
        <v>0.28728</v>
      </c>
      <c r="H464" s="293">
        <f t="shared" si="71"/>
        <v>104.85719999999999</v>
      </c>
      <c r="I464" s="294">
        <f t="shared" si="72"/>
        <v>0.0524286</v>
      </c>
    </row>
    <row r="465" spans="1:9" ht="12.75">
      <c r="A465" s="200" t="s">
        <v>140</v>
      </c>
      <c r="B465" s="201" t="s">
        <v>235</v>
      </c>
      <c r="C465" s="201">
        <v>0.06</v>
      </c>
      <c r="D465" s="202" t="s">
        <v>157</v>
      </c>
      <c r="E465" s="203">
        <f t="shared" si="73"/>
        <v>4.2E-08</v>
      </c>
      <c r="F465" s="292">
        <f t="shared" si="69"/>
        <v>0.0378</v>
      </c>
      <c r="G465" s="293">
        <f t="shared" si="70"/>
        <v>0.9072</v>
      </c>
      <c r="H465" s="293">
        <f t="shared" si="71"/>
        <v>331.128</v>
      </c>
      <c r="I465" s="294">
        <f t="shared" si="72"/>
        <v>0.165564</v>
      </c>
    </row>
    <row r="466" spans="1:9" ht="12.75">
      <c r="A466" s="200" t="s">
        <v>43</v>
      </c>
      <c r="B466" s="201" t="s">
        <v>235</v>
      </c>
      <c r="C466" s="201">
        <v>0.002</v>
      </c>
      <c r="D466" s="202" t="s">
        <v>157</v>
      </c>
      <c r="E466" s="203">
        <f t="shared" si="73"/>
        <v>1.4E-09</v>
      </c>
      <c r="F466" s="292">
        <f t="shared" si="69"/>
        <v>0.0012599999999999998</v>
      </c>
      <c r="G466" s="293">
        <f t="shared" si="70"/>
        <v>0.030239999999999996</v>
      </c>
      <c r="H466" s="293">
        <f t="shared" si="71"/>
        <v>11.0376</v>
      </c>
      <c r="I466" s="294">
        <f t="shared" si="72"/>
        <v>0.0055188</v>
      </c>
    </row>
    <row r="467" spans="1:9" ht="12.75">
      <c r="A467" s="200" t="s">
        <v>139</v>
      </c>
      <c r="B467" s="201" t="s">
        <v>235</v>
      </c>
      <c r="C467" s="201">
        <v>0.091</v>
      </c>
      <c r="D467" s="202" t="s">
        <v>157</v>
      </c>
      <c r="E467" s="203">
        <f t="shared" si="73"/>
        <v>6.37E-08</v>
      </c>
      <c r="F467" s="292">
        <f t="shared" si="69"/>
        <v>0.05732999999999999</v>
      </c>
      <c r="G467" s="293">
        <f t="shared" si="70"/>
        <v>1.3759199999999998</v>
      </c>
      <c r="H467" s="293">
        <f t="shared" si="71"/>
        <v>502.21079999999995</v>
      </c>
      <c r="I467" s="294">
        <f t="shared" si="72"/>
        <v>0.2511054</v>
      </c>
    </row>
    <row r="468" spans="1:9" ht="12.75">
      <c r="A468" s="200" t="s">
        <v>40</v>
      </c>
      <c r="B468" s="201" t="s">
        <v>235</v>
      </c>
      <c r="C468" s="201">
        <v>0.00014</v>
      </c>
      <c r="D468" s="202" t="s">
        <v>157</v>
      </c>
      <c r="E468" s="203">
        <f t="shared" si="73"/>
        <v>9.799999999999998E-11</v>
      </c>
      <c r="F468" s="292">
        <f t="shared" si="69"/>
        <v>8.819999999999999E-05</v>
      </c>
      <c r="G468" s="293">
        <f t="shared" si="70"/>
        <v>0.0021168</v>
      </c>
      <c r="H468" s="293">
        <f t="shared" si="71"/>
        <v>0.772632</v>
      </c>
      <c r="I468" s="294">
        <f t="shared" si="72"/>
        <v>0.000386316</v>
      </c>
    </row>
    <row r="469" spans="1:9" ht="12.75">
      <c r="A469" s="200" t="s">
        <v>41</v>
      </c>
      <c r="B469" s="201" t="s">
        <v>235</v>
      </c>
      <c r="C469" s="201">
        <v>0.002</v>
      </c>
      <c r="D469" s="202" t="s">
        <v>157</v>
      </c>
      <c r="E469" s="203">
        <f t="shared" si="73"/>
        <v>1.4E-09</v>
      </c>
      <c r="F469" s="292">
        <f t="shared" si="69"/>
        <v>0.0012599999999999998</v>
      </c>
      <c r="G469" s="293">
        <f t="shared" si="70"/>
        <v>0.030239999999999996</v>
      </c>
      <c r="H469" s="293">
        <f t="shared" si="71"/>
        <v>11.0376</v>
      </c>
      <c r="I469" s="294">
        <f t="shared" si="72"/>
        <v>0.0055188</v>
      </c>
    </row>
    <row r="470" spans="1:9" ht="13.5" thickBot="1">
      <c r="A470" s="160" t="s">
        <v>42</v>
      </c>
      <c r="B470" s="204" t="s">
        <v>235</v>
      </c>
      <c r="C470" s="204">
        <v>0.0035</v>
      </c>
      <c r="D470" s="205" t="s">
        <v>157</v>
      </c>
      <c r="E470" s="206">
        <f t="shared" si="73"/>
        <v>2.45E-09</v>
      </c>
      <c r="F470" s="295">
        <f t="shared" si="69"/>
        <v>0.002205</v>
      </c>
      <c r="G470" s="296">
        <f t="shared" si="70"/>
        <v>0.052919999999999995</v>
      </c>
      <c r="H470" s="296">
        <f t="shared" si="71"/>
        <v>19.3158</v>
      </c>
      <c r="I470" s="297">
        <f t="shared" si="72"/>
        <v>0.0096579</v>
      </c>
    </row>
  </sheetData>
  <conditionalFormatting sqref="B387 B440 D443:D458 B443:C455 B458:C458 C456:C457 B415:B437 B407:B412 C390:D412 B390:B402 B461:D470 C435:C440 D415:D440 C415:C433 C349:C351 D348:D351 B348:C348 B345:D345 B174:D205 B291:B292 C295:D344 D100:D142 C290:C292 B251:D251 C250 C210 B211:D211 B170:B171 B206:C209 D206:D210 D214:D250 B295:B331 C145:D171 B58:B93 B145:B168 B142:C142 B141 B95:B97 C39:C50 B55:C55 C17:D38 B17:B50 D39:D55 C58:D97 D254:D292 B100:B136 C100:C141 B214:C249 B254:C289 B355:D382 B383:B385 C383:D387">
    <cfRule type="cellIs" priority="1" dxfId="0" operator="equal" stopIfTrue="1">
      <formula>"?"</formula>
    </cfRule>
  </conditionalFormatting>
  <printOptions horizontalCentered="1"/>
  <pageMargins left="1" right="1" top="0.8" bottom="0.75" header="0.5" footer="0.29"/>
  <pageSetup fitToHeight="0" horizontalDpi="600" verticalDpi="600" orientation="landscape" scale="75" r:id="rId3"/>
  <rowBreaks count="11" manualBreakCount="11">
    <brk id="48" max="255" man="1"/>
    <brk id="90" max="8" man="1"/>
    <brk id="133" max="8" man="1"/>
    <brk id="165" max="8" man="1"/>
    <brk id="206" max="8" man="1"/>
    <brk id="246" max="8" man="1"/>
    <brk id="286" max="8" man="1"/>
    <brk id="329" max="8" man="1"/>
    <brk id="382" max="8" man="1"/>
    <brk id="397" max="255" man="1"/>
    <brk id="434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5" width="14.00390625" style="0" customWidth="1"/>
    <col min="6" max="7" width="13.421875" style="0" customWidth="1"/>
    <col min="8" max="11" width="14.7109375" style="0" customWidth="1"/>
  </cols>
  <sheetData>
    <row r="1" spans="1:11" ht="12.75">
      <c r="A1" s="38"/>
      <c r="B1" s="42" t="s">
        <v>94</v>
      </c>
      <c r="C1" s="147"/>
      <c r="D1" s="42" t="s">
        <v>100</v>
      </c>
      <c r="E1" s="147"/>
      <c r="F1" s="118"/>
      <c r="G1" s="119"/>
      <c r="H1" s="42" t="s">
        <v>5</v>
      </c>
      <c r="I1" s="39"/>
      <c r="J1" s="39"/>
      <c r="K1" s="147"/>
    </row>
    <row r="2" spans="1:11" ht="13.5" thickBot="1">
      <c r="A2" s="41" t="s">
        <v>93</v>
      </c>
      <c r="B2" s="165" t="s">
        <v>6</v>
      </c>
      <c r="C2" s="166" t="s">
        <v>7</v>
      </c>
      <c r="D2" s="165" t="s">
        <v>101</v>
      </c>
      <c r="E2" s="166" t="s">
        <v>102</v>
      </c>
      <c r="F2" s="167" t="s">
        <v>103</v>
      </c>
      <c r="G2" s="166" t="s">
        <v>8</v>
      </c>
      <c r="H2" s="44" t="s">
        <v>105</v>
      </c>
      <c r="I2" s="45" t="s">
        <v>104</v>
      </c>
      <c r="J2" s="45" t="s">
        <v>107</v>
      </c>
      <c r="K2" s="168" t="s">
        <v>106</v>
      </c>
    </row>
    <row r="3" spans="1:11" ht="12.75">
      <c r="A3" s="169" t="s">
        <v>13</v>
      </c>
      <c r="B3" s="170">
        <v>27.1</v>
      </c>
      <c r="C3" s="171">
        <v>35.19</v>
      </c>
      <c r="D3" s="170">
        <v>42.23</v>
      </c>
      <c r="E3" s="171">
        <v>46.92</v>
      </c>
      <c r="F3" s="172">
        <v>0.77</v>
      </c>
      <c r="G3" s="173">
        <v>0.15</v>
      </c>
      <c r="H3" s="174">
        <v>175</v>
      </c>
      <c r="I3" s="175">
        <v>5</v>
      </c>
      <c r="J3" s="175">
        <v>20.36</v>
      </c>
      <c r="K3" s="176">
        <v>640</v>
      </c>
    </row>
    <row r="4" spans="1:11" ht="12.75">
      <c r="A4" s="177" t="s">
        <v>95</v>
      </c>
      <c r="B4" s="178">
        <v>130</v>
      </c>
      <c r="C4" s="179">
        <v>151.16</v>
      </c>
      <c r="D4" s="178">
        <v>181.4</v>
      </c>
      <c r="E4" s="179">
        <v>199.53</v>
      </c>
      <c r="F4" s="180">
        <v>0.86</v>
      </c>
      <c r="G4" s="181">
        <v>0.15</v>
      </c>
      <c r="H4" s="182">
        <v>200</v>
      </c>
      <c r="I4" s="183">
        <v>5</v>
      </c>
      <c r="J4" s="183">
        <v>22.4</v>
      </c>
      <c r="K4" s="184">
        <v>490</v>
      </c>
    </row>
    <row r="5" spans="1:11" ht="12.75">
      <c r="A5" s="177" t="s">
        <v>96</v>
      </c>
      <c r="B5" s="178">
        <v>432.2</v>
      </c>
      <c r="C5" s="179">
        <v>480.22</v>
      </c>
      <c r="D5" s="178">
        <v>576.27</v>
      </c>
      <c r="E5" s="179">
        <v>640.3</v>
      </c>
      <c r="F5" s="180">
        <v>0.9</v>
      </c>
      <c r="G5" s="181">
        <v>0.15</v>
      </c>
      <c r="H5" s="182">
        <v>100</v>
      </c>
      <c r="I5" s="183">
        <v>11</v>
      </c>
      <c r="J5" s="183">
        <v>42.6</v>
      </c>
      <c r="K5" s="184">
        <v>370</v>
      </c>
    </row>
    <row r="6" spans="1:11" ht="12.75">
      <c r="A6" s="177" t="s">
        <v>97</v>
      </c>
      <c r="B6" s="185" t="s">
        <v>89</v>
      </c>
      <c r="C6" s="186" t="s">
        <v>89</v>
      </c>
      <c r="D6" s="185" t="s">
        <v>89</v>
      </c>
      <c r="E6" s="186" t="s">
        <v>89</v>
      </c>
      <c r="F6" s="187" t="s">
        <v>89</v>
      </c>
      <c r="G6" s="188" t="s">
        <v>89</v>
      </c>
      <c r="H6" s="182">
        <v>200</v>
      </c>
      <c r="I6" s="183">
        <v>8</v>
      </c>
      <c r="J6" s="183">
        <v>41.9</v>
      </c>
      <c r="K6" s="184">
        <v>600</v>
      </c>
    </row>
    <row r="7" spans="1:11" ht="12.75">
      <c r="A7" s="177" t="s">
        <v>125</v>
      </c>
      <c r="B7" s="178"/>
      <c r="C7" s="179"/>
      <c r="D7" s="178"/>
      <c r="E7" s="189">
        <v>50</v>
      </c>
      <c r="F7" s="180">
        <v>0.77</v>
      </c>
      <c r="G7" s="181">
        <v>0.15</v>
      </c>
      <c r="H7" s="182">
        <v>175</v>
      </c>
      <c r="I7" s="183">
        <v>5</v>
      </c>
      <c r="J7" s="183">
        <v>20.4</v>
      </c>
      <c r="K7" s="184">
        <v>640</v>
      </c>
    </row>
    <row r="8" spans="1:11" ht="12.75">
      <c r="A8" s="177" t="s">
        <v>126</v>
      </c>
      <c r="B8" s="178"/>
      <c r="C8" s="179"/>
      <c r="D8" s="178"/>
      <c r="E8" s="189">
        <v>40</v>
      </c>
      <c r="F8" s="180"/>
      <c r="G8" s="181"/>
      <c r="H8" s="182"/>
      <c r="I8" s="183"/>
      <c r="J8" s="183"/>
      <c r="K8" s="184"/>
    </row>
    <row r="9" spans="1:11" ht="12.75">
      <c r="A9" s="177" t="s">
        <v>98</v>
      </c>
      <c r="B9" s="178">
        <v>125</v>
      </c>
      <c r="C9" s="179">
        <v>162.33</v>
      </c>
      <c r="D9" s="178">
        <v>194.81</v>
      </c>
      <c r="E9" s="179">
        <v>214.29</v>
      </c>
      <c r="F9" s="180">
        <v>0.77</v>
      </c>
      <c r="G9" s="181">
        <v>0.15</v>
      </c>
      <c r="H9" s="182">
        <v>170</v>
      </c>
      <c r="I9" s="183">
        <v>6</v>
      </c>
      <c r="J9" s="183">
        <v>25.9</v>
      </c>
      <c r="K9" s="184">
        <v>600</v>
      </c>
    </row>
    <row r="10" spans="1:11" ht="12.75">
      <c r="A10" s="177" t="s">
        <v>81</v>
      </c>
      <c r="B10" s="178">
        <v>51.8</v>
      </c>
      <c r="C10" s="179">
        <v>66.41</v>
      </c>
      <c r="D10" s="178">
        <v>79.69</v>
      </c>
      <c r="E10" s="179">
        <v>88.55</v>
      </c>
      <c r="F10" s="180">
        <v>0.78</v>
      </c>
      <c r="G10" s="181">
        <v>0.15</v>
      </c>
      <c r="H10" s="182">
        <v>200</v>
      </c>
      <c r="I10" s="183">
        <v>8</v>
      </c>
      <c r="J10" s="190">
        <v>17</v>
      </c>
      <c r="K10" s="184">
        <v>600</v>
      </c>
    </row>
    <row r="11" spans="1:11" ht="12.75">
      <c r="A11" s="177" t="s">
        <v>122</v>
      </c>
      <c r="B11" s="178"/>
      <c r="C11" s="179"/>
      <c r="D11" s="178"/>
      <c r="E11" s="179"/>
      <c r="F11" s="182"/>
      <c r="G11" s="184"/>
      <c r="H11" s="182"/>
      <c r="I11" s="183"/>
      <c r="J11" s="183"/>
      <c r="K11" s="184"/>
    </row>
    <row r="12" spans="1:11" ht="12.75">
      <c r="A12" s="177" t="s">
        <v>12</v>
      </c>
      <c r="B12" s="178"/>
      <c r="C12" s="179">
        <v>2.08</v>
      </c>
      <c r="D12" s="178">
        <v>2.5</v>
      </c>
      <c r="E12" s="179">
        <v>2.78</v>
      </c>
      <c r="F12" s="182"/>
      <c r="G12" s="184"/>
      <c r="H12" s="178"/>
      <c r="I12" s="183"/>
      <c r="J12" s="183"/>
      <c r="K12" s="184">
        <v>2500</v>
      </c>
    </row>
    <row r="13" spans="1:11" ht="26.25" thickBot="1">
      <c r="A13" s="191" t="s">
        <v>99</v>
      </c>
      <c r="B13" s="192"/>
      <c r="C13" s="193">
        <v>0.17</v>
      </c>
      <c r="D13" s="192">
        <v>0.2</v>
      </c>
      <c r="E13" s="193">
        <v>0.22</v>
      </c>
      <c r="F13" s="194"/>
      <c r="G13" s="195"/>
      <c r="H13" s="194">
        <v>100</v>
      </c>
      <c r="I13" s="196">
        <v>10</v>
      </c>
      <c r="J13" s="196"/>
      <c r="K13" s="195">
        <v>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30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bestFit="1" customWidth="1"/>
    <col min="2" max="15" width="13.140625" style="0" customWidth="1"/>
  </cols>
  <sheetData>
    <row r="1" spans="1:2" ht="13.5" thickBot="1">
      <c r="A1" s="112" t="s">
        <v>132</v>
      </c>
      <c r="B1" s="113">
        <v>1.35</v>
      </c>
    </row>
    <row r="3" spans="1:15" ht="16.5" thickBot="1">
      <c r="A3" s="7" t="s">
        <v>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39.75" thickBot="1">
      <c r="A4" s="49"/>
      <c r="B4" s="46" t="s">
        <v>22</v>
      </c>
      <c r="C4" s="46" t="s">
        <v>21</v>
      </c>
      <c r="D4" s="46" t="s">
        <v>20</v>
      </c>
      <c r="E4" s="46" t="s">
        <v>23</v>
      </c>
      <c r="F4" s="46" t="s">
        <v>24</v>
      </c>
      <c r="G4" s="46" t="s">
        <v>25</v>
      </c>
      <c r="H4" s="46" t="s">
        <v>26</v>
      </c>
      <c r="I4" s="46" t="s">
        <v>27</v>
      </c>
      <c r="J4" s="46" t="s">
        <v>28</v>
      </c>
      <c r="K4" s="46" t="s">
        <v>29</v>
      </c>
      <c r="L4" s="46" t="s">
        <v>30</v>
      </c>
      <c r="M4" s="46" t="s">
        <v>31</v>
      </c>
      <c r="N4" s="46" t="s">
        <v>32</v>
      </c>
      <c r="O4" s="47" t="s">
        <v>33</v>
      </c>
    </row>
    <row r="5" spans="1:15" ht="16.5" thickBot="1">
      <c r="A5" s="50" t="s">
        <v>59</v>
      </c>
      <c r="B5" s="48" t="s">
        <v>60</v>
      </c>
      <c r="C5" s="48" t="s">
        <v>61</v>
      </c>
      <c r="D5" s="48" t="s">
        <v>62</v>
      </c>
      <c r="E5" s="48" t="s">
        <v>63</v>
      </c>
      <c r="F5" s="48" t="s">
        <v>63</v>
      </c>
      <c r="G5" s="48" t="s">
        <v>64</v>
      </c>
      <c r="H5" s="48" t="s">
        <v>65</v>
      </c>
      <c r="I5" s="48" t="s">
        <v>66</v>
      </c>
      <c r="J5" s="48" t="s">
        <v>67</v>
      </c>
      <c r="K5" s="48" t="s">
        <v>67</v>
      </c>
      <c r="L5" s="48" t="s">
        <v>62</v>
      </c>
      <c r="M5" s="48" t="s">
        <v>68</v>
      </c>
      <c r="N5" s="18"/>
      <c r="O5" s="19"/>
    </row>
    <row r="6" spans="1:15" ht="12.75">
      <c r="A6" s="13" t="s">
        <v>46</v>
      </c>
      <c r="B6" s="21">
        <v>0.9864</v>
      </c>
      <c r="C6" s="21">
        <v>0.9992</v>
      </c>
      <c r="D6" s="21">
        <v>0.9901</v>
      </c>
      <c r="E6" s="21">
        <v>0.5561</v>
      </c>
      <c r="F6" s="21">
        <v>0.5561</v>
      </c>
      <c r="G6" s="21">
        <v>0.7188</v>
      </c>
      <c r="H6" s="21">
        <v>0.9946</v>
      </c>
      <c r="I6" s="21">
        <v>0.7063</v>
      </c>
      <c r="J6" s="21">
        <v>0.8756</v>
      </c>
      <c r="K6" s="21">
        <v>0.8756</v>
      </c>
      <c r="L6" s="21">
        <v>0.9901</v>
      </c>
      <c r="M6" s="21">
        <v>0.9867</v>
      </c>
      <c r="N6" s="23"/>
      <c r="O6" s="24"/>
    </row>
    <row r="7" spans="1:15" ht="12.75">
      <c r="A7" s="6" t="s">
        <v>47</v>
      </c>
      <c r="B7" s="22">
        <v>0.0046</v>
      </c>
      <c r="C7" s="22">
        <v>0.0004</v>
      </c>
      <c r="D7" s="22">
        <v>0.003</v>
      </c>
      <c r="E7" s="22">
        <v>0.4089</v>
      </c>
      <c r="F7" s="22">
        <v>0.4089</v>
      </c>
      <c r="G7" s="22">
        <v>0.276</v>
      </c>
      <c r="H7" s="22">
        <v>0.0045</v>
      </c>
      <c r="I7" s="22">
        <v>0.2727</v>
      </c>
      <c r="J7" s="22">
        <v>0.1096</v>
      </c>
      <c r="K7" s="22">
        <v>0.1096</v>
      </c>
      <c r="L7" s="22">
        <v>0.003</v>
      </c>
      <c r="M7" s="22">
        <v>0.0111</v>
      </c>
      <c r="N7" s="25"/>
      <c r="O7" s="26"/>
    </row>
    <row r="8" spans="1:15" ht="12.75">
      <c r="A8" s="6" t="s">
        <v>48</v>
      </c>
      <c r="B8" s="22">
        <v>0.0021</v>
      </c>
      <c r="C8" s="22">
        <v>0.0004</v>
      </c>
      <c r="D8" s="22">
        <v>0.0017</v>
      </c>
      <c r="E8" s="22">
        <v>0.0142</v>
      </c>
      <c r="F8" s="22">
        <v>0.0142</v>
      </c>
      <c r="G8" s="22">
        <v>0.0052</v>
      </c>
      <c r="H8" s="22">
        <v>0</v>
      </c>
      <c r="I8" s="22">
        <v>0</v>
      </c>
      <c r="J8" s="22">
        <v>0</v>
      </c>
      <c r="K8" s="22">
        <v>0</v>
      </c>
      <c r="L8" s="22">
        <v>0.0017</v>
      </c>
      <c r="M8" s="22">
        <v>0.0002</v>
      </c>
      <c r="N8" s="25"/>
      <c r="O8" s="26"/>
    </row>
    <row r="9" spans="1:15" ht="12.75">
      <c r="A9" s="6" t="s">
        <v>49</v>
      </c>
      <c r="B9" s="22">
        <v>0.0033</v>
      </c>
      <c r="C9" s="22">
        <v>0</v>
      </c>
      <c r="D9" s="22">
        <v>0.002</v>
      </c>
      <c r="E9" s="22">
        <v>0.0099</v>
      </c>
      <c r="F9" s="22">
        <v>0.0099</v>
      </c>
      <c r="G9" s="22">
        <v>0</v>
      </c>
      <c r="H9" s="22">
        <v>0.0004</v>
      </c>
      <c r="I9" s="22">
        <v>0</v>
      </c>
      <c r="J9" s="22">
        <v>0.004</v>
      </c>
      <c r="K9" s="22">
        <v>0.004</v>
      </c>
      <c r="L9" s="22">
        <v>0.002</v>
      </c>
      <c r="M9" s="22">
        <v>0.0008</v>
      </c>
      <c r="N9" s="25"/>
      <c r="O9" s="26"/>
    </row>
    <row r="10" spans="1:15" ht="12.75">
      <c r="A10" s="6" t="s">
        <v>50</v>
      </c>
      <c r="B10" s="22">
        <v>0.0024</v>
      </c>
      <c r="C10" s="22">
        <v>0</v>
      </c>
      <c r="D10" s="22">
        <v>0.0018</v>
      </c>
      <c r="E10" s="22">
        <v>0.0056</v>
      </c>
      <c r="F10" s="22">
        <v>0.0056</v>
      </c>
      <c r="G10" s="22">
        <v>0</v>
      </c>
      <c r="H10" s="22">
        <v>0.0001</v>
      </c>
      <c r="I10" s="22">
        <v>0</v>
      </c>
      <c r="J10" s="22">
        <v>0.004</v>
      </c>
      <c r="K10" s="22">
        <v>0.004</v>
      </c>
      <c r="L10" s="22">
        <v>0.0018</v>
      </c>
      <c r="M10" s="22">
        <v>0.0006</v>
      </c>
      <c r="N10" s="25"/>
      <c r="O10" s="26"/>
    </row>
    <row r="11" spans="1:15" ht="12.75">
      <c r="A11" s="6" t="s">
        <v>51</v>
      </c>
      <c r="B11" s="22">
        <v>0.0011</v>
      </c>
      <c r="C11" s="22">
        <v>0</v>
      </c>
      <c r="D11" s="22">
        <v>0.0011</v>
      </c>
      <c r="E11" s="22">
        <v>0.0039</v>
      </c>
      <c r="F11" s="22">
        <v>0.0039</v>
      </c>
      <c r="G11" s="22">
        <v>0</v>
      </c>
      <c r="H11" s="22">
        <v>0.0001</v>
      </c>
      <c r="I11" s="22">
        <v>0.007</v>
      </c>
      <c r="J11" s="22">
        <v>0.0045</v>
      </c>
      <c r="K11" s="22">
        <v>0.0045</v>
      </c>
      <c r="L11" s="22">
        <v>0.0011</v>
      </c>
      <c r="M11" s="22">
        <v>0.0005</v>
      </c>
      <c r="N11" s="25"/>
      <c r="O11" s="26"/>
    </row>
    <row r="12" spans="1:15" ht="12.75">
      <c r="A12" s="6" t="s">
        <v>80</v>
      </c>
      <c r="B12" s="22">
        <v>0.0002</v>
      </c>
      <c r="C12" s="22">
        <v>0</v>
      </c>
      <c r="D12" s="22">
        <v>0.0001</v>
      </c>
      <c r="E12" s="22">
        <v>0.0013</v>
      </c>
      <c r="F12" s="22">
        <v>0.0013</v>
      </c>
      <c r="G12" s="22">
        <v>0</v>
      </c>
      <c r="H12" s="22">
        <v>0.0002</v>
      </c>
      <c r="I12" s="22">
        <v>0.014</v>
      </c>
      <c r="J12" s="22">
        <v>0.0023</v>
      </c>
      <c r="K12" s="22">
        <v>0.0023</v>
      </c>
      <c r="L12" s="22">
        <v>0.0001</v>
      </c>
      <c r="M12" s="22">
        <v>0.0001</v>
      </c>
      <c r="N12" s="25">
        <v>0</v>
      </c>
      <c r="O12" s="26">
        <v>0</v>
      </c>
    </row>
    <row r="13" spans="1:15" ht="13.5" thickBot="1">
      <c r="A13" s="33" t="s">
        <v>52</v>
      </c>
      <c r="B13" s="34">
        <v>1.35</v>
      </c>
      <c r="C13" s="34">
        <f>$B$13</f>
        <v>1.35</v>
      </c>
      <c r="D13" s="34">
        <f aca="true" t="shared" si="0" ref="D13:O13">$B$13</f>
        <v>1.35</v>
      </c>
      <c r="E13" s="34">
        <f t="shared" si="0"/>
        <v>1.35</v>
      </c>
      <c r="F13" s="34">
        <f t="shared" si="0"/>
        <v>1.35</v>
      </c>
      <c r="G13" s="34">
        <f t="shared" si="0"/>
        <v>1.35</v>
      </c>
      <c r="H13" s="34">
        <f t="shared" si="0"/>
        <v>1.35</v>
      </c>
      <c r="I13" s="34">
        <f t="shared" si="0"/>
        <v>1.35</v>
      </c>
      <c r="J13" s="34">
        <f t="shared" si="0"/>
        <v>1.35</v>
      </c>
      <c r="K13" s="34">
        <f t="shared" si="0"/>
        <v>1.35</v>
      </c>
      <c r="L13" s="34">
        <f t="shared" si="0"/>
        <v>1.35</v>
      </c>
      <c r="M13" s="34">
        <f t="shared" si="0"/>
        <v>1.35</v>
      </c>
      <c r="N13" s="34">
        <f t="shared" si="0"/>
        <v>1.35</v>
      </c>
      <c r="O13" s="35">
        <f t="shared" si="0"/>
        <v>1.35</v>
      </c>
    </row>
    <row r="14" spans="1:15" ht="13.5" thickBot="1">
      <c r="A14" s="51" t="s">
        <v>58</v>
      </c>
      <c r="B14" s="52">
        <f aca="true" t="shared" si="1" ref="B14:O14">SUM(B6:B12)</f>
        <v>1.0001</v>
      </c>
      <c r="C14" s="52">
        <f t="shared" si="1"/>
        <v>0.9999999999999999</v>
      </c>
      <c r="D14" s="52">
        <f t="shared" si="1"/>
        <v>0.9998</v>
      </c>
      <c r="E14" s="52">
        <f t="shared" si="1"/>
        <v>0.9999000000000001</v>
      </c>
      <c r="F14" s="52">
        <f t="shared" si="1"/>
        <v>0.9999000000000001</v>
      </c>
      <c r="G14" s="52">
        <f t="shared" si="1"/>
        <v>1</v>
      </c>
      <c r="H14" s="52">
        <f t="shared" si="1"/>
        <v>0.9998999999999999</v>
      </c>
      <c r="I14" s="52">
        <f t="shared" si="1"/>
        <v>1</v>
      </c>
      <c r="J14" s="52">
        <f t="shared" si="1"/>
        <v>1</v>
      </c>
      <c r="K14" s="52">
        <f t="shared" si="1"/>
        <v>1</v>
      </c>
      <c r="L14" s="52">
        <f t="shared" si="1"/>
        <v>0.9998</v>
      </c>
      <c r="M14" s="52">
        <f t="shared" si="1"/>
        <v>1</v>
      </c>
      <c r="N14" s="52">
        <f t="shared" si="1"/>
        <v>0</v>
      </c>
      <c r="O14" s="53">
        <f t="shared" si="1"/>
        <v>0</v>
      </c>
    </row>
    <row r="17" spans="1:15" ht="16.5" thickBot="1">
      <c r="A17" s="7" t="s">
        <v>76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39" thickBot="1">
      <c r="A18" s="27"/>
      <c r="B18" s="46" t="s">
        <v>22</v>
      </c>
      <c r="C18" s="46" t="s">
        <v>21</v>
      </c>
      <c r="D18" s="46" t="s">
        <v>20</v>
      </c>
      <c r="E18" s="46" t="s">
        <v>23</v>
      </c>
      <c r="F18" s="46" t="s">
        <v>24</v>
      </c>
      <c r="G18" s="46" t="s">
        <v>25</v>
      </c>
      <c r="H18" s="46" t="s">
        <v>26</v>
      </c>
      <c r="I18" s="46" t="s">
        <v>27</v>
      </c>
      <c r="J18" s="46" t="s">
        <v>28</v>
      </c>
      <c r="K18" s="46" t="s">
        <v>29</v>
      </c>
      <c r="L18" s="46" t="s">
        <v>30</v>
      </c>
      <c r="M18" s="46" t="s">
        <v>31</v>
      </c>
      <c r="N18" s="46" t="s">
        <v>32</v>
      </c>
      <c r="O18" s="47" t="s">
        <v>33</v>
      </c>
    </row>
    <row r="19" spans="1:15" ht="12.75">
      <c r="A19" s="17" t="s">
        <v>133</v>
      </c>
      <c r="B19" s="31">
        <v>16</v>
      </c>
      <c r="C19" s="31">
        <v>79</v>
      </c>
      <c r="D19" s="31">
        <v>111</v>
      </c>
      <c r="E19" s="31">
        <v>0</v>
      </c>
      <c r="F19" s="31">
        <v>0</v>
      </c>
      <c r="G19" s="31">
        <v>0</v>
      </c>
      <c r="H19" s="31">
        <v>629</v>
      </c>
      <c r="I19" s="31">
        <v>0</v>
      </c>
      <c r="J19" s="31">
        <v>0</v>
      </c>
      <c r="K19" s="31">
        <v>1</v>
      </c>
      <c r="L19" s="31">
        <v>0</v>
      </c>
      <c r="M19" s="31">
        <v>0</v>
      </c>
      <c r="N19" s="31">
        <v>0</v>
      </c>
      <c r="O19" s="32">
        <v>0</v>
      </c>
    </row>
    <row r="20" spans="1:15" ht="12.75">
      <c r="A20" s="6" t="s">
        <v>10</v>
      </c>
      <c r="B20" s="29">
        <f>B$19*B6*B$13</f>
        <v>21.306240000000003</v>
      </c>
      <c r="C20" s="29">
        <f aca="true" t="shared" si="2" ref="C20:O20">C$19*C6*C$13</f>
        <v>106.56468000000001</v>
      </c>
      <c r="D20" s="29">
        <f t="shared" si="2"/>
        <v>148.366485</v>
      </c>
      <c r="E20" s="29">
        <f t="shared" si="2"/>
        <v>0</v>
      </c>
      <c r="F20" s="29">
        <f t="shared" si="2"/>
        <v>0</v>
      </c>
      <c r="G20" s="29">
        <f t="shared" si="2"/>
        <v>0</v>
      </c>
      <c r="H20" s="29">
        <f t="shared" si="2"/>
        <v>844.5645900000002</v>
      </c>
      <c r="I20" s="29">
        <f t="shared" si="2"/>
        <v>0</v>
      </c>
      <c r="J20" s="29">
        <f t="shared" si="2"/>
        <v>0</v>
      </c>
      <c r="K20" s="29">
        <f t="shared" si="2"/>
        <v>1.18206</v>
      </c>
      <c r="L20" s="29">
        <f t="shared" si="2"/>
        <v>0</v>
      </c>
      <c r="M20" s="29">
        <f t="shared" si="2"/>
        <v>0</v>
      </c>
      <c r="N20" s="29">
        <f t="shared" si="2"/>
        <v>0</v>
      </c>
      <c r="O20" s="30">
        <f t="shared" si="2"/>
        <v>0</v>
      </c>
    </row>
    <row r="21" spans="1:15" ht="12.75">
      <c r="A21" s="6" t="s">
        <v>53</v>
      </c>
      <c r="B21" s="29">
        <f aca="true" t="shared" si="3" ref="B21:O26">B$19*B7*B$13</f>
        <v>0.09936</v>
      </c>
      <c r="C21" s="29">
        <f t="shared" si="3"/>
        <v>0.04266000000000001</v>
      </c>
      <c r="D21" s="29">
        <f t="shared" si="3"/>
        <v>0.44955000000000006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3.8211749999999998</v>
      </c>
      <c r="I21" s="29">
        <f t="shared" si="3"/>
        <v>0</v>
      </c>
      <c r="J21" s="29">
        <f t="shared" si="3"/>
        <v>0</v>
      </c>
      <c r="K21" s="29">
        <f t="shared" si="3"/>
        <v>0.14796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30">
        <f t="shared" si="3"/>
        <v>0</v>
      </c>
    </row>
    <row r="22" spans="1:15" ht="12.75">
      <c r="A22" s="6" t="s">
        <v>54</v>
      </c>
      <c r="B22" s="29">
        <f t="shared" si="3"/>
        <v>0.04536</v>
      </c>
      <c r="C22" s="29">
        <f t="shared" si="3"/>
        <v>0.04266000000000001</v>
      </c>
      <c r="D22" s="29">
        <f t="shared" si="3"/>
        <v>0.254745</v>
      </c>
      <c r="E22" s="29">
        <f t="shared" si="3"/>
        <v>0</v>
      </c>
      <c r="F22" s="29">
        <f t="shared" si="3"/>
        <v>0</v>
      </c>
      <c r="G22" s="29">
        <f t="shared" si="3"/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30">
        <f t="shared" si="3"/>
        <v>0</v>
      </c>
    </row>
    <row r="23" spans="1:15" ht="12.75">
      <c r="A23" s="6" t="s">
        <v>55</v>
      </c>
      <c r="B23" s="29">
        <f t="shared" si="3"/>
        <v>0.07128000000000001</v>
      </c>
      <c r="C23" s="29">
        <f t="shared" si="3"/>
        <v>0</v>
      </c>
      <c r="D23" s="29">
        <f t="shared" si="3"/>
        <v>0.2997</v>
      </c>
      <c r="E23" s="29">
        <f t="shared" si="3"/>
        <v>0</v>
      </c>
      <c r="F23" s="29">
        <f t="shared" si="3"/>
        <v>0</v>
      </c>
      <c r="G23" s="29">
        <f t="shared" si="3"/>
        <v>0</v>
      </c>
      <c r="H23" s="29">
        <f t="shared" si="3"/>
        <v>0.33966</v>
      </c>
      <c r="I23" s="29">
        <f t="shared" si="3"/>
        <v>0</v>
      </c>
      <c r="J23" s="29">
        <f t="shared" si="3"/>
        <v>0</v>
      </c>
      <c r="K23" s="29">
        <f t="shared" si="3"/>
        <v>0.0054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30">
        <f t="shared" si="3"/>
        <v>0</v>
      </c>
    </row>
    <row r="24" spans="1:15" ht="12.75">
      <c r="A24" s="6" t="s">
        <v>56</v>
      </c>
      <c r="B24" s="29">
        <f t="shared" si="3"/>
        <v>0.05184</v>
      </c>
      <c r="C24" s="29">
        <f t="shared" si="3"/>
        <v>0</v>
      </c>
      <c r="D24" s="29">
        <f t="shared" si="3"/>
        <v>0.26973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0.084915</v>
      </c>
      <c r="I24" s="29">
        <f t="shared" si="3"/>
        <v>0</v>
      </c>
      <c r="J24" s="29">
        <f t="shared" si="3"/>
        <v>0</v>
      </c>
      <c r="K24" s="29">
        <f t="shared" si="3"/>
        <v>0.0054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30">
        <f t="shared" si="3"/>
        <v>0</v>
      </c>
    </row>
    <row r="25" spans="1:15" ht="12.75">
      <c r="A25" s="6" t="s">
        <v>57</v>
      </c>
      <c r="B25" s="29">
        <f t="shared" si="3"/>
        <v>0.023760000000000003</v>
      </c>
      <c r="C25" s="29">
        <f t="shared" si="3"/>
        <v>0</v>
      </c>
      <c r="D25" s="29">
        <f t="shared" si="3"/>
        <v>0.16483500000000004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0.084915</v>
      </c>
      <c r="I25" s="29">
        <f t="shared" si="3"/>
        <v>0</v>
      </c>
      <c r="J25" s="29">
        <f t="shared" si="3"/>
        <v>0</v>
      </c>
      <c r="K25" s="29">
        <f t="shared" si="3"/>
        <v>0.006075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30">
        <f t="shared" si="3"/>
        <v>0</v>
      </c>
    </row>
    <row r="26" spans="1:15" ht="12.75">
      <c r="A26" s="6" t="s">
        <v>79</v>
      </c>
      <c r="B26" s="29">
        <f t="shared" si="3"/>
        <v>0.004320000000000001</v>
      </c>
      <c r="C26" s="29">
        <f t="shared" si="3"/>
        <v>0</v>
      </c>
      <c r="D26" s="29">
        <f t="shared" si="3"/>
        <v>0.014985000000000002</v>
      </c>
      <c r="E26" s="29">
        <f t="shared" si="3"/>
        <v>0</v>
      </c>
      <c r="F26" s="29">
        <f t="shared" si="3"/>
        <v>0</v>
      </c>
      <c r="G26" s="29">
        <f t="shared" si="3"/>
        <v>0</v>
      </c>
      <c r="H26" s="29">
        <f t="shared" si="3"/>
        <v>0.16983</v>
      </c>
      <c r="I26" s="29">
        <f t="shared" si="3"/>
        <v>0</v>
      </c>
      <c r="J26" s="29">
        <f t="shared" si="3"/>
        <v>0</v>
      </c>
      <c r="K26" s="29">
        <f t="shared" si="3"/>
        <v>0.003105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30">
        <f t="shared" si="3"/>
        <v>0</v>
      </c>
    </row>
    <row r="27" spans="1:15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6.5" thickBot="1">
      <c r="A29" s="7" t="s">
        <v>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39" thickBot="1">
      <c r="A30" s="27"/>
      <c r="B30" s="46" t="s">
        <v>22</v>
      </c>
      <c r="C30" s="46" t="s">
        <v>21</v>
      </c>
      <c r="D30" s="46" t="s">
        <v>20</v>
      </c>
      <c r="E30" s="46" t="s">
        <v>23</v>
      </c>
      <c r="F30" s="46" t="s">
        <v>24</v>
      </c>
      <c r="G30" s="46" t="s">
        <v>25</v>
      </c>
      <c r="H30" s="46" t="s">
        <v>26</v>
      </c>
      <c r="I30" s="46" t="s">
        <v>27</v>
      </c>
      <c r="J30" s="46" t="s">
        <v>28</v>
      </c>
      <c r="K30" s="46" t="s">
        <v>29</v>
      </c>
      <c r="L30" s="46" t="s">
        <v>30</v>
      </c>
      <c r="M30" s="46" t="s">
        <v>31</v>
      </c>
      <c r="N30" s="46" t="s">
        <v>32</v>
      </c>
      <c r="O30" s="47" t="s">
        <v>33</v>
      </c>
    </row>
    <row r="31" spans="1:15" ht="12.75">
      <c r="A31" s="28"/>
      <c r="B31" s="14">
        <v>98</v>
      </c>
      <c r="C31" s="14">
        <v>500</v>
      </c>
      <c r="D31" s="14">
        <v>138</v>
      </c>
      <c r="E31" s="14">
        <v>0</v>
      </c>
      <c r="F31" s="14">
        <v>0</v>
      </c>
      <c r="G31" s="14">
        <v>30</v>
      </c>
      <c r="H31" s="14">
        <v>2190</v>
      </c>
      <c r="I31" s="14">
        <v>0</v>
      </c>
      <c r="J31" s="14">
        <v>0</v>
      </c>
      <c r="K31" s="14">
        <v>10</v>
      </c>
      <c r="L31" s="14">
        <v>0</v>
      </c>
      <c r="M31" s="14">
        <v>6</v>
      </c>
      <c r="N31" s="14">
        <v>0</v>
      </c>
      <c r="O31" s="15">
        <v>0</v>
      </c>
    </row>
    <row r="32" spans="1:15" ht="12.75">
      <c r="A32" s="2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2.75">
      <c r="A33" s="2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</row>
    <row r="34" spans="1:15" ht="12.75">
      <c r="A34" s="2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</row>
    <row r="35" spans="1:15" ht="12.75">
      <c r="A35" s="6" t="s">
        <v>10</v>
      </c>
      <c r="B35" s="29">
        <f>B$31*B6*B$13</f>
        <v>130.50072000000003</v>
      </c>
      <c r="C35" s="29">
        <f aca="true" t="shared" si="4" ref="C35:O35">C$31*C6*C$13</f>
        <v>674.46</v>
      </c>
      <c r="D35" s="29">
        <f t="shared" si="4"/>
        <v>184.45563</v>
      </c>
      <c r="E35" s="29">
        <f t="shared" si="4"/>
        <v>0</v>
      </c>
      <c r="F35" s="29">
        <f t="shared" si="4"/>
        <v>0</v>
      </c>
      <c r="G35" s="29">
        <f t="shared" si="4"/>
        <v>29.111400000000003</v>
      </c>
      <c r="H35" s="29">
        <f t="shared" si="4"/>
        <v>2940.5349</v>
      </c>
      <c r="I35" s="29">
        <f t="shared" si="4"/>
        <v>0</v>
      </c>
      <c r="J35" s="29">
        <f t="shared" si="4"/>
        <v>0</v>
      </c>
      <c r="K35" s="29">
        <f t="shared" si="4"/>
        <v>11.8206</v>
      </c>
      <c r="L35" s="29">
        <f t="shared" si="4"/>
        <v>0</v>
      </c>
      <c r="M35" s="29">
        <f t="shared" si="4"/>
        <v>7.992270000000001</v>
      </c>
      <c r="N35" s="29">
        <f t="shared" si="4"/>
        <v>0</v>
      </c>
      <c r="O35" s="30">
        <f t="shared" si="4"/>
        <v>0</v>
      </c>
    </row>
    <row r="36" spans="1:15" ht="12.75">
      <c r="A36" s="6" t="s">
        <v>53</v>
      </c>
      <c r="B36" s="29">
        <f aca="true" t="shared" si="5" ref="B36:O36">B$31*B7*B$13</f>
        <v>0.60858</v>
      </c>
      <c r="C36" s="29">
        <f t="shared" si="5"/>
        <v>0.27</v>
      </c>
      <c r="D36" s="29">
        <f t="shared" si="5"/>
        <v>0.5589000000000001</v>
      </c>
      <c r="E36" s="29">
        <f t="shared" si="5"/>
        <v>0</v>
      </c>
      <c r="F36" s="29">
        <f t="shared" si="5"/>
        <v>0</v>
      </c>
      <c r="G36" s="29">
        <f t="shared" si="5"/>
        <v>11.178000000000003</v>
      </c>
      <c r="H36" s="29">
        <f t="shared" si="5"/>
        <v>13.30425</v>
      </c>
      <c r="I36" s="29">
        <f t="shared" si="5"/>
        <v>0</v>
      </c>
      <c r="J36" s="29">
        <f t="shared" si="5"/>
        <v>0</v>
      </c>
      <c r="K36" s="29">
        <f t="shared" si="5"/>
        <v>1.4796000000000002</v>
      </c>
      <c r="L36" s="29">
        <f t="shared" si="5"/>
        <v>0</v>
      </c>
      <c r="M36" s="29">
        <f t="shared" si="5"/>
        <v>0.08991000000000002</v>
      </c>
      <c r="N36" s="29">
        <f t="shared" si="5"/>
        <v>0</v>
      </c>
      <c r="O36" s="30">
        <f t="shared" si="5"/>
        <v>0</v>
      </c>
    </row>
    <row r="37" spans="1:15" ht="12.75">
      <c r="A37" s="6" t="s">
        <v>54</v>
      </c>
      <c r="B37" s="29">
        <f aca="true" t="shared" si="6" ref="B37:O37">B$31*B8*B$13</f>
        <v>0.27783</v>
      </c>
      <c r="C37" s="29">
        <f t="shared" si="6"/>
        <v>0.27</v>
      </c>
      <c r="D37" s="29">
        <f t="shared" si="6"/>
        <v>0.31671</v>
      </c>
      <c r="E37" s="29">
        <f t="shared" si="6"/>
        <v>0</v>
      </c>
      <c r="F37" s="29">
        <f t="shared" si="6"/>
        <v>0</v>
      </c>
      <c r="G37" s="29">
        <f t="shared" si="6"/>
        <v>0.2106</v>
      </c>
      <c r="H37" s="29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0.0016200000000000003</v>
      </c>
      <c r="N37" s="29">
        <f t="shared" si="6"/>
        <v>0</v>
      </c>
      <c r="O37" s="30">
        <f t="shared" si="6"/>
        <v>0</v>
      </c>
    </row>
    <row r="38" spans="1:15" ht="12.75">
      <c r="A38" s="6" t="s">
        <v>55</v>
      </c>
      <c r="B38" s="29">
        <f aca="true" t="shared" si="7" ref="B38:O38">B$31*B9*B$13</f>
        <v>0.43659000000000003</v>
      </c>
      <c r="C38" s="29">
        <f t="shared" si="7"/>
        <v>0</v>
      </c>
      <c r="D38" s="29">
        <f t="shared" si="7"/>
        <v>0.37260000000000004</v>
      </c>
      <c r="E38" s="29">
        <f t="shared" si="7"/>
        <v>0</v>
      </c>
      <c r="F38" s="29">
        <f t="shared" si="7"/>
        <v>0</v>
      </c>
      <c r="G38" s="29">
        <f t="shared" si="7"/>
        <v>0</v>
      </c>
      <c r="H38" s="29">
        <f t="shared" si="7"/>
        <v>1.1826</v>
      </c>
      <c r="I38" s="29">
        <f t="shared" si="7"/>
        <v>0</v>
      </c>
      <c r="J38" s="29">
        <f t="shared" si="7"/>
        <v>0</v>
      </c>
      <c r="K38" s="29">
        <f t="shared" si="7"/>
        <v>0.054000000000000006</v>
      </c>
      <c r="L38" s="29">
        <f t="shared" si="7"/>
        <v>0</v>
      </c>
      <c r="M38" s="29">
        <f t="shared" si="7"/>
        <v>0.006480000000000001</v>
      </c>
      <c r="N38" s="29">
        <f t="shared" si="7"/>
        <v>0</v>
      </c>
      <c r="O38" s="30">
        <f t="shared" si="7"/>
        <v>0</v>
      </c>
    </row>
    <row r="39" spans="1:15" ht="12.75">
      <c r="A39" s="6" t="s">
        <v>56</v>
      </c>
      <c r="B39" s="29">
        <f aca="true" t="shared" si="8" ref="B39:O39">B$31*B10*B$13</f>
        <v>0.31752</v>
      </c>
      <c r="C39" s="29">
        <f t="shared" si="8"/>
        <v>0</v>
      </c>
      <c r="D39" s="29">
        <f t="shared" si="8"/>
        <v>0.33533999999999997</v>
      </c>
      <c r="E39" s="29">
        <f t="shared" si="8"/>
        <v>0</v>
      </c>
      <c r="F39" s="29">
        <f t="shared" si="8"/>
        <v>0</v>
      </c>
      <c r="G39" s="29">
        <f t="shared" si="8"/>
        <v>0</v>
      </c>
      <c r="H39" s="29">
        <f t="shared" si="8"/>
        <v>0.29565</v>
      </c>
      <c r="I39" s="29">
        <f t="shared" si="8"/>
        <v>0</v>
      </c>
      <c r="J39" s="29">
        <f t="shared" si="8"/>
        <v>0</v>
      </c>
      <c r="K39" s="29">
        <f t="shared" si="8"/>
        <v>0.054000000000000006</v>
      </c>
      <c r="L39" s="29">
        <f t="shared" si="8"/>
        <v>0</v>
      </c>
      <c r="M39" s="29">
        <f t="shared" si="8"/>
        <v>0.004860000000000001</v>
      </c>
      <c r="N39" s="29">
        <f t="shared" si="8"/>
        <v>0</v>
      </c>
      <c r="O39" s="30">
        <f t="shared" si="8"/>
        <v>0</v>
      </c>
    </row>
    <row r="40" spans="1:15" ht="12.75">
      <c r="A40" s="6" t="s">
        <v>57</v>
      </c>
      <c r="B40" s="29">
        <f aca="true" t="shared" si="9" ref="B40:O40">B$31*B11*B$13</f>
        <v>0.14553000000000002</v>
      </c>
      <c r="C40" s="29">
        <f t="shared" si="9"/>
        <v>0</v>
      </c>
      <c r="D40" s="29">
        <f t="shared" si="9"/>
        <v>0.20493000000000003</v>
      </c>
      <c r="E40" s="29">
        <f t="shared" si="9"/>
        <v>0</v>
      </c>
      <c r="F40" s="29">
        <f t="shared" si="9"/>
        <v>0</v>
      </c>
      <c r="G40" s="29">
        <f t="shared" si="9"/>
        <v>0</v>
      </c>
      <c r="H40" s="29">
        <f t="shared" si="9"/>
        <v>0.29565</v>
      </c>
      <c r="I40" s="29">
        <f t="shared" si="9"/>
        <v>0</v>
      </c>
      <c r="J40" s="29">
        <f t="shared" si="9"/>
        <v>0</v>
      </c>
      <c r="K40" s="29">
        <f t="shared" si="9"/>
        <v>0.06075</v>
      </c>
      <c r="L40" s="29">
        <f t="shared" si="9"/>
        <v>0</v>
      </c>
      <c r="M40" s="29">
        <f t="shared" si="9"/>
        <v>0.004050000000000001</v>
      </c>
      <c r="N40" s="29">
        <f t="shared" si="9"/>
        <v>0</v>
      </c>
      <c r="O40" s="30">
        <f t="shared" si="9"/>
        <v>0</v>
      </c>
    </row>
    <row r="41" spans="1:15" ht="12.75">
      <c r="A41" s="6" t="s">
        <v>79</v>
      </c>
      <c r="B41" s="29">
        <f aca="true" t="shared" si="10" ref="B41:O41">B$31*B12*B$13</f>
        <v>0.02646</v>
      </c>
      <c r="C41" s="29">
        <f t="shared" si="10"/>
        <v>0</v>
      </c>
      <c r="D41" s="29">
        <f t="shared" si="10"/>
        <v>0.018630000000000004</v>
      </c>
      <c r="E41" s="29">
        <f t="shared" si="10"/>
        <v>0</v>
      </c>
      <c r="F41" s="29">
        <f t="shared" si="10"/>
        <v>0</v>
      </c>
      <c r="G41" s="29">
        <f t="shared" si="10"/>
        <v>0</v>
      </c>
      <c r="H41" s="29">
        <f t="shared" si="10"/>
        <v>0.5913</v>
      </c>
      <c r="I41" s="29">
        <f t="shared" si="10"/>
        <v>0</v>
      </c>
      <c r="J41" s="29">
        <f t="shared" si="10"/>
        <v>0</v>
      </c>
      <c r="K41" s="29">
        <f t="shared" si="10"/>
        <v>0.03105</v>
      </c>
      <c r="L41" s="29">
        <f t="shared" si="10"/>
        <v>0</v>
      </c>
      <c r="M41" s="29">
        <f t="shared" si="10"/>
        <v>0.0008100000000000002</v>
      </c>
      <c r="N41" s="29">
        <f t="shared" si="10"/>
        <v>0</v>
      </c>
      <c r="O41" s="30">
        <f t="shared" si="10"/>
        <v>0</v>
      </c>
    </row>
    <row r="42" spans="1:15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6.5" thickBot="1">
      <c r="A44" s="7" t="s">
        <v>74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39" thickBot="1">
      <c r="A45" s="27"/>
      <c r="B45" s="46" t="s">
        <v>22</v>
      </c>
      <c r="C45" s="46" t="s">
        <v>21</v>
      </c>
      <c r="D45" s="46" t="s">
        <v>20</v>
      </c>
      <c r="E45" s="46" t="s">
        <v>23</v>
      </c>
      <c r="F45" s="46" t="s">
        <v>24</v>
      </c>
      <c r="G45" s="46" t="s">
        <v>25</v>
      </c>
      <c r="H45" s="46" t="s">
        <v>26</v>
      </c>
      <c r="I45" s="46" t="s">
        <v>27</v>
      </c>
      <c r="J45" s="46" t="s">
        <v>28</v>
      </c>
      <c r="K45" s="46" t="s">
        <v>29</v>
      </c>
      <c r="L45" s="46" t="s">
        <v>30</v>
      </c>
      <c r="M45" s="46" t="s">
        <v>31</v>
      </c>
      <c r="N45" s="46" t="s">
        <v>32</v>
      </c>
      <c r="O45" s="47" t="s">
        <v>33</v>
      </c>
    </row>
    <row r="46" spans="1:15" ht="12.75">
      <c r="A46" s="28"/>
      <c r="B46" s="14">
        <v>401</v>
      </c>
      <c r="C46" s="14">
        <v>11</v>
      </c>
      <c r="D46" s="14">
        <v>224</v>
      </c>
      <c r="E46" s="14">
        <v>28</v>
      </c>
      <c r="F46" s="14">
        <v>0</v>
      </c>
      <c r="G46" s="14">
        <v>0</v>
      </c>
      <c r="H46" s="14">
        <v>2036</v>
      </c>
      <c r="I46" s="14">
        <v>4</v>
      </c>
      <c r="J46" s="14">
        <v>0</v>
      </c>
      <c r="K46" s="14">
        <v>10</v>
      </c>
      <c r="L46" s="14">
        <v>0</v>
      </c>
      <c r="M46" s="14">
        <v>9</v>
      </c>
      <c r="N46" s="14">
        <v>0</v>
      </c>
      <c r="O46" s="15">
        <v>0</v>
      </c>
    </row>
    <row r="47" spans="1:15" ht="12.75">
      <c r="A47" s="2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</row>
    <row r="48" spans="1:15" ht="12.75">
      <c r="A48" s="2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</row>
    <row r="49" spans="1:15" ht="12.75">
      <c r="A49" s="2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</row>
    <row r="50" spans="1:15" ht="12.75">
      <c r="A50" s="6" t="s">
        <v>10</v>
      </c>
      <c r="B50" s="29">
        <f>B$46*B6*B$13</f>
        <v>533.98764</v>
      </c>
      <c r="C50" s="29">
        <f aca="true" t="shared" si="11" ref="C50:O50">C$46*C6*C$13</f>
        <v>14.83812</v>
      </c>
      <c r="D50" s="29">
        <f t="shared" si="11"/>
        <v>299.40624</v>
      </c>
      <c r="E50" s="29">
        <f t="shared" si="11"/>
        <v>21.020580000000002</v>
      </c>
      <c r="F50" s="29">
        <f t="shared" si="11"/>
        <v>0</v>
      </c>
      <c r="G50" s="29">
        <f t="shared" si="11"/>
        <v>0</v>
      </c>
      <c r="H50" s="29">
        <f t="shared" si="11"/>
        <v>2733.7575600000005</v>
      </c>
      <c r="I50" s="29">
        <f t="shared" si="11"/>
        <v>3.8140200000000006</v>
      </c>
      <c r="J50" s="29">
        <f t="shared" si="11"/>
        <v>0</v>
      </c>
      <c r="K50" s="29">
        <f t="shared" si="11"/>
        <v>11.8206</v>
      </c>
      <c r="L50" s="29">
        <f t="shared" si="11"/>
        <v>0</v>
      </c>
      <c r="M50" s="29">
        <f t="shared" si="11"/>
        <v>11.988405</v>
      </c>
      <c r="N50" s="29">
        <f t="shared" si="11"/>
        <v>0</v>
      </c>
      <c r="O50" s="29">
        <f t="shared" si="11"/>
        <v>0</v>
      </c>
    </row>
    <row r="51" spans="1:15" ht="12.75">
      <c r="A51" s="6" t="s">
        <v>53</v>
      </c>
      <c r="B51" s="29">
        <f aca="true" t="shared" si="12" ref="B51:O51">B$46*B7*B$13</f>
        <v>2.4902100000000003</v>
      </c>
      <c r="C51" s="29">
        <f t="shared" si="12"/>
        <v>0.005940000000000001</v>
      </c>
      <c r="D51" s="29">
        <f t="shared" si="12"/>
        <v>0.9072000000000001</v>
      </c>
      <c r="E51" s="29">
        <f t="shared" si="12"/>
        <v>15.45642</v>
      </c>
      <c r="F51" s="29">
        <f t="shared" si="12"/>
        <v>0</v>
      </c>
      <c r="G51" s="29">
        <f t="shared" si="12"/>
        <v>0</v>
      </c>
      <c r="H51" s="29">
        <f t="shared" si="12"/>
        <v>12.368699999999999</v>
      </c>
      <c r="I51" s="29">
        <f t="shared" si="12"/>
        <v>1.47258</v>
      </c>
      <c r="J51" s="29">
        <f t="shared" si="12"/>
        <v>0</v>
      </c>
      <c r="K51" s="29">
        <f t="shared" si="12"/>
        <v>1.4796000000000002</v>
      </c>
      <c r="L51" s="29">
        <f t="shared" si="12"/>
        <v>0</v>
      </c>
      <c r="M51" s="29">
        <f t="shared" si="12"/>
        <v>0.134865</v>
      </c>
      <c r="N51" s="29">
        <f t="shared" si="12"/>
        <v>0</v>
      </c>
      <c r="O51" s="29">
        <f t="shared" si="12"/>
        <v>0</v>
      </c>
    </row>
    <row r="52" spans="1:15" ht="12.75">
      <c r="A52" s="6" t="s">
        <v>54</v>
      </c>
      <c r="B52" s="29">
        <f aca="true" t="shared" si="13" ref="B52:O52">B$46*B8*B$13</f>
        <v>1.136835</v>
      </c>
      <c r="C52" s="29">
        <f t="shared" si="13"/>
        <v>0.005940000000000001</v>
      </c>
      <c r="D52" s="29">
        <f t="shared" si="13"/>
        <v>0.51408</v>
      </c>
      <c r="E52" s="29">
        <f t="shared" si="13"/>
        <v>0.53676</v>
      </c>
      <c r="F52" s="29">
        <f t="shared" si="13"/>
        <v>0</v>
      </c>
      <c r="G52" s="29">
        <f t="shared" si="13"/>
        <v>0</v>
      </c>
      <c r="H52" s="29">
        <f t="shared" si="13"/>
        <v>0</v>
      </c>
      <c r="I52" s="29">
        <f t="shared" si="13"/>
        <v>0</v>
      </c>
      <c r="J52" s="29">
        <f t="shared" si="13"/>
        <v>0</v>
      </c>
      <c r="K52" s="29">
        <f t="shared" si="13"/>
        <v>0</v>
      </c>
      <c r="L52" s="29">
        <f t="shared" si="13"/>
        <v>0</v>
      </c>
      <c r="M52" s="29">
        <f t="shared" si="13"/>
        <v>0.0024300000000000003</v>
      </c>
      <c r="N52" s="29">
        <f t="shared" si="13"/>
        <v>0</v>
      </c>
      <c r="O52" s="29">
        <f t="shared" si="13"/>
        <v>0</v>
      </c>
    </row>
    <row r="53" spans="1:15" ht="12.75">
      <c r="A53" s="6" t="s">
        <v>55</v>
      </c>
      <c r="B53" s="29">
        <f aca="true" t="shared" si="14" ref="B53:O53">B$46*B9*B$13</f>
        <v>1.786455</v>
      </c>
      <c r="C53" s="29">
        <f t="shared" si="14"/>
        <v>0</v>
      </c>
      <c r="D53" s="29">
        <f t="shared" si="14"/>
        <v>0.6048</v>
      </c>
      <c r="E53" s="29">
        <f t="shared" si="14"/>
        <v>0.37422000000000005</v>
      </c>
      <c r="F53" s="29">
        <f t="shared" si="14"/>
        <v>0</v>
      </c>
      <c r="G53" s="29">
        <f t="shared" si="14"/>
        <v>0</v>
      </c>
      <c r="H53" s="29">
        <f t="shared" si="14"/>
        <v>1.0994400000000002</v>
      </c>
      <c r="I53" s="29">
        <f t="shared" si="14"/>
        <v>0</v>
      </c>
      <c r="J53" s="29">
        <f t="shared" si="14"/>
        <v>0</v>
      </c>
      <c r="K53" s="29">
        <f t="shared" si="14"/>
        <v>0.054000000000000006</v>
      </c>
      <c r="L53" s="29">
        <f t="shared" si="14"/>
        <v>0</v>
      </c>
      <c r="M53" s="29">
        <f t="shared" si="14"/>
        <v>0.009720000000000001</v>
      </c>
      <c r="N53" s="29">
        <f t="shared" si="14"/>
        <v>0</v>
      </c>
      <c r="O53" s="29">
        <f t="shared" si="14"/>
        <v>0</v>
      </c>
    </row>
    <row r="54" spans="1:15" ht="12.75">
      <c r="A54" s="6" t="s">
        <v>56</v>
      </c>
      <c r="B54" s="29">
        <f aca="true" t="shared" si="15" ref="B54:O54">B$46*B10*B$13</f>
        <v>1.29924</v>
      </c>
      <c r="C54" s="29">
        <f t="shared" si="15"/>
        <v>0</v>
      </c>
      <c r="D54" s="29">
        <f t="shared" si="15"/>
        <v>0.54432</v>
      </c>
      <c r="E54" s="29">
        <f t="shared" si="15"/>
        <v>0.21168</v>
      </c>
      <c r="F54" s="29">
        <f t="shared" si="15"/>
        <v>0</v>
      </c>
      <c r="G54" s="29">
        <f t="shared" si="15"/>
        <v>0</v>
      </c>
      <c r="H54" s="29">
        <f t="shared" si="15"/>
        <v>0.27486000000000005</v>
      </c>
      <c r="I54" s="29">
        <f t="shared" si="15"/>
        <v>0</v>
      </c>
      <c r="J54" s="29">
        <f t="shared" si="15"/>
        <v>0</v>
      </c>
      <c r="K54" s="29">
        <f t="shared" si="15"/>
        <v>0.054000000000000006</v>
      </c>
      <c r="L54" s="29">
        <f t="shared" si="15"/>
        <v>0</v>
      </c>
      <c r="M54" s="29">
        <f t="shared" si="15"/>
        <v>0.00729</v>
      </c>
      <c r="N54" s="29">
        <f t="shared" si="15"/>
        <v>0</v>
      </c>
      <c r="O54" s="29">
        <f t="shared" si="15"/>
        <v>0</v>
      </c>
    </row>
    <row r="55" spans="1:15" ht="12.75">
      <c r="A55" s="6" t="s">
        <v>57</v>
      </c>
      <c r="B55" s="29">
        <f aca="true" t="shared" si="16" ref="B55:O55">B$46*B11*B$13</f>
        <v>0.5954850000000002</v>
      </c>
      <c r="C55" s="29">
        <f t="shared" si="16"/>
        <v>0</v>
      </c>
      <c r="D55" s="29">
        <f t="shared" si="16"/>
        <v>0.33264000000000005</v>
      </c>
      <c r="E55" s="29">
        <f t="shared" si="16"/>
        <v>0.14742</v>
      </c>
      <c r="F55" s="29">
        <f t="shared" si="16"/>
        <v>0</v>
      </c>
      <c r="G55" s="29">
        <f t="shared" si="16"/>
        <v>0</v>
      </c>
      <c r="H55" s="29">
        <f t="shared" si="16"/>
        <v>0.27486000000000005</v>
      </c>
      <c r="I55" s="29">
        <f t="shared" si="16"/>
        <v>0.0378</v>
      </c>
      <c r="J55" s="29">
        <f t="shared" si="16"/>
        <v>0</v>
      </c>
      <c r="K55" s="29">
        <f t="shared" si="16"/>
        <v>0.06075</v>
      </c>
      <c r="L55" s="29">
        <f t="shared" si="16"/>
        <v>0</v>
      </c>
      <c r="M55" s="29">
        <f t="shared" si="16"/>
        <v>0.006075000000000001</v>
      </c>
      <c r="N55" s="29">
        <f t="shared" si="16"/>
        <v>0</v>
      </c>
      <c r="O55" s="29">
        <f t="shared" si="16"/>
        <v>0</v>
      </c>
    </row>
    <row r="56" spans="1:15" ht="12.75">
      <c r="A56" s="6" t="s">
        <v>79</v>
      </c>
      <c r="B56" s="29">
        <f aca="true" t="shared" si="17" ref="B56:O56">B$46*B12*B$13</f>
        <v>0.10827000000000002</v>
      </c>
      <c r="C56" s="29">
        <f t="shared" si="17"/>
        <v>0</v>
      </c>
      <c r="D56" s="29">
        <f t="shared" si="17"/>
        <v>0.030240000000000003</v>
      </c>
      <c r="E56" s="29">
        <f t="shared" si="17"/>
        <v>0.04914</v>
      </c>
      <c r="F56" s="29">
        <f t="shared" si="17"/>
        <v>0</v>
      </c>
      <c r="G56" s="29">
        <f t="shared" si="17"/>
        <v>0</v>
      </c>
      <c r="H56" s="29">
        <f t="shared" si="17"/>
        <v>0.5497200000000001</v>
      </c>
      <c r="I56" s="29">
        <f t="shared" si="17"/>
        <v>0.0756</v>
      </c>
      <c r="J56" s="29">
        <f t="shared" si="17"/>
        <v>0</v>
      </c>
      <c r="K56" s="29">
        <f t="shared" si="17"/>
        <v>0.03105</v>
      </c>
      <c r="L56" s="29">
        <f t="shared" si="17"/>
        <v>0</v>
      </c>
      <c r="M56" s="29">
        <f t="shared" si="17"/>
        <v>0.0012150000000000002</v>
      </c>
      <c r="N56" s="29">
        <f t="shared" si="17"/>
        <v>0</v>
      </c>
      <c r="O56" s="29">
        <f t="shared" si="17"/>
        <v>0</v>
      </c>
    </row>
    <row r="57" spans="1:15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6.5" thickBot="1">
      <c r="A59" s="7" t="s">
        <v>73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39" thickBot="1">
      <c r="A60" s="27"/>
      <c r="B60" s="46" t="s">
        <v>22</v>
      </c>
      <c r="C60" s="46" t="s">
        <v>21</v>
      </c>
      <c r="D60" s="46" t="s">
        <v>20</v>
      </c>
      <c r="E60" s="46" t="s">
        <v>23</v>
      </c>
      <c r="F60" s="46" t="s">
        <v>24</v>
      </c>
      <c r="G60" s="46" t="s">
        <v>25</v>
      </c>
      <c r="H60" s="46" t="s">
        <v>26</v>
      </c>
      <c r="I60" s="46" t="s">
        <v>27</v>
      </c>
      <c r="J60" s="46" t="s">
        <v>28</v>
      </c>
      <c r="K60" s="46" t="s">
        <v>29</v>
      </c>
      <c r="L60" s="46" t="s">
        <v>30</v>
      </c>
      <c r="M60" s="46" t="s">
        <v>31</v>
      </c>
      <c r="N60" s="46" t="s">
        <v>32</v>
      </c>
      <c r="O60" s="47" t="s">
        <v>33</v>
      </c>
    </row>
    <row r="61" spans="1:15" ht="12.75">
      <c r="A61" s="28"/>
      <c r="B61" s="14">
        <v>553</v>
      </c>
      <c r="C61" s="14">
        <v>429</v>
      </c>
      <c r="D61" s="14">
        <v>875</v>
      </c>
      <c r="E61" s="14">
        <v>13</v>
      </c>
      <c r="F61" s="14">
        <v>0</v>
      </c>
      <c r="G61" s="14">
        <v>8</v>
      </c>
      <c r="H61" s="14">
        <v>5457</v>
      </c>
      <c r="I61" s="14">
        <v>26</v>
      </c>
      <c r="J61" s="14">
        <v>0</v>
      </c>
      <c r="K61" s="14">
        <v>23</v>
      </c>
      <c r="L61" s="14">
        <v>0</v>
      </c>
      <c r="M61" s="14">
        <v>14</v>
      </c>
      <c r="N61" s="14">
        <v>0</v>
      </c>
      <c r="O61" s="15">
        <v>0</v>
      </c>
    </row>
    <row r="62" spans="1:15" ht="12.75">
      <c r="A62" s="2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2.75">
      <c r="A63" s="2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2.75">
      <c r="A64" s="2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2.75">
      <c r="A65" s="6" t="s">
        <v>10</v>
      </c>
      <c r="B65" s="29">
        <f>B$61*B6*B$13</f>
        <v>736.39692</v>
      </c>
      <c r="C65" s="29">
        <f aca="true" t="shared" si="18" ref="C65:O65">C$61*C6*C$13</f>
        <v>578.68668</v>
      </c>
      <c r="D65" s="29">
        <f t="shared" si="18"/>
        <v>1169.555625</v>
      </c>
      <c r="E65" s="29">
        <f t="shared" si="18"/>
        <v>9.759555</v>
      </c>
      <c r="F65" s="29">
        <f t="shared" si="18"/>
        <v>0</v>
      </c>
      <c r="G65" s="29">
        <f t="shared" si="18"/>
        <v>7.76304</v>
      </c>
      <c r="H65" s="29">
        <f t="shared" si="18"/>
        <v>7327.168470000001</v>
      </c>
      <c r="I65" s="29">
        <f t="shared" si="18"/>
        <v>24.791130000000003</v>
      </c>
      <c r="J65" s="29">
        <f t="shared" si="18"/>
        <v>0</v>
      </c>
      <c r="K65" s="29">
        <f t="shared" si="18"/>
        <v>27.18738</v>
      </c>
      <c r="L65" s="29">
        <f t="shared" si="18"/>
        <v>0</v>
      </c>
      <c r="M65" s="29">
        <f t="shared" si="18"/>
        <v>18.64863</v>
      </c>
      <c r="N65" s="29">
        <f t="shared" si="18"/>
        <v>0</v>
      </c>
      <c r="O65" s="29">
        <f t="shared" si="18"/>
        <v>0</v>
      </c>
    </row>
    <row r="66" spans="1:15" ht="12.75">
      <c r="A66" s="6" t="s">
        <v>53</v>
      </c>
      <c r="B66" s="29">
        <f aca="true" t="shared" si="19" ref="B66:O66">B$61*B7*B$13</f>
        <v>3.43413</v>
      </c>
      <c r="C66" s="29">
        <f t="shared" si="19"/>
        <v>0.23166</v>
      </c>
      <c r="D66" s="29">
        <f t="shared" si="19"/>
        <v>3.54375</v>
      </c>
      <c r="E66" s="29">
        <f t="shared" si="19"/>
        <v>7.176195</v>
      </c>
      <c r="F66" s="29">
        <f t="shared" si="19"/>
        <v>0</v>
      </c>
      <c r="G66" s="29">
        <f t="shared" si="19"/>
        <v>2.9808000000000003</v>
      </c>
      <c r="H66" s="29">
        <f t="shared" si="19"/>
        <v>33.151275000000005</v>
      </c>
      <c r="I66" s="29">
        <f t="shared" si="19"/>
        <v>9.57177</v>
      </c>
      <c r="J66" s="29">
        <f t="shared" si="19"/>
        <v>0</v>
      </c>
      <c r="K66" s="29">
        <f t="shared" si="19"/>
        <v>3.40308</v>
      </c>
      <c r="L66" s="29">
        <f t="shared" si="19"/>
        <v>0</v>
      </c>
      <c r="M66" s="29">
        <f t="shared" si="19"/>
        <v>0.20979000000000003</v>
      </c>
      <c r="N66" s="29">
        <f t="shared" si="19"/>
        <v>0</v>
      </c>
      <c r="O66" s="29">
        <f t="shared" si="19"/>
        <v>0</v>
      </c>
    </row>
    <row r="67" spans="1:15" ht="12.75">
      <c r="A67" s="6" t="s">
        <v>54</v>
      </c>
      <c r="B67" s="29">
        <f aca="true" t="shared" si="20" ref="B67:O67">B$61*B8*B$13</f>
        <v>1.567755</v>
      </c>
      <c r="C67" s="29">
        <f t="shared" si="20"/>
        <v>0.23166</v>
      </c>
      <c r="D67" s="29">
        <f t="shared" si="20"/>
        <v>2.0081249999999997</v>
      </c>
      <c r="E67" s="29">
        <f t="shared" si="20"/>
        <v>0.24921000000000004</v>
      </c>
      <c r="F67" s="29">
        <f t="shared" si="20"/>
        <v>0</v>
      </c>
      <c r="G67" s="29">
        <f t="shared" si="20"/>
        <v>0.05616</v>
      </c>
      <c r="H67" s="29">
        <f t="shared" si="20"/>
        <v>0</v>
      </c>
      <c r="I67" s="29">
        <f t="shared" si="20"/>
        <v>0</v>
      </c>
      <c r="J67" s="29">
        <f t="shared" si="20"/>
        <v>0</v>
      </c>
      <c r="K67" s="29">
        <f t="shared" si="20"/>
        <v>0</v>
      </c>
      <c r="L67" s="29">
        <f t="shared" si="20"/>
        <v>0</v>
      </c>
      <c r="M67" s="29">
        <f t="shared" si="20"/>
        <v>0.0037800000000000004</v>
      </c>
      <c r="N67" s="29">
        <f t="shared" si="20"/>
        <v>0</v>
      </c>
      <c r="O67" s="29">
        <f t="shared" si="20"/>
        <v>0</v>
      </c>
    </row>
    <row r="68" spans="1:15" ht="12.75">
      <c r="A68" s="6" t="s">
        <v>55</v>
      </c>
      <c r="B68" s="29">
        <f aca="true" t="shared" si="21" ref="B68:O68">B$61*B9*B$13</f>
        <v>2.4636150000000003</v>
      </c>
      <c r="C68" s="29">
        <f t="shared" si="21"/>
        <v>0</v>
      </c>
      <c r="D68" s="29">
        <f t="shared" si="21"/>
        <v>2.3625000000000003</v>
      </c>
      <c r="E68" s="29">
        <f t="shared" si="21"/>
        <v>0.173745</v>
      </c>
      <c r="F68" s="29">
        <f t="shared" si="21"/>
        <v>0</v>
      </c>
      <c r="G68" s="29">
        <f t="shared" si="21"/>
        <v>0</v>
      </c>
      <c r="H68" s="29">
        <f t="shared" si="21"/>
        <v>2.9467800000000004</v>
      </c>
      <c r="I68" s="29">
        <f t="shared" si="21"/>
        <v>0</v>
      </c>
      <c r="J68" s="29">
        <f t="shared" si="21"/>
        <v>0</v>
      </c>
      <c r="K68" s="29">
        <f t="shared" si="21"/>
        <v>0.1242</v>
      </c>
      <c r="L68" s="29">
        <f t="shared" si="21"/>
        <v>0</v>
      </c>
      <c r="M68" s="29">
        <f t="shared" si="21"/>
        <v>0.015120000000000001</v>
      </c>
      <c r="N68" s="29">
        <f t="shared" si="21"/>
        <v>0</v>
      </c>
      <c r="O68" s="29">
        <f t="shared" si="21"/>
        <v>0</v>
      </c>
    </row>
    <row r="69" spans="1:15" ht="12.75">
      <c r="A69" s="6" t="s">
        <v>56</v>
      </c>
      <c r="B69" s="29">
        <f aca="true" t="shared" si="22" ref="B69:O69">B$61*B10*B$13</f>
        <v>1.79172</v>
      </c>
      <c r="C69" s="29">
        <f t="shared" si="22"/>
        <v>0</v>
      </c>
      <c r="D69" s="29">
        <f t="shared" si="22"/>
        <v>2.12625</v>
      </c>
      <c r="E69" s="29">
        <f t="shared" si="22"/>
        <v>0.09828</v>
      </c>
      <c r="F69" s="29">
        <f t="shared" si="22"/>
        <v>0</v>
      </c>
      <c r="G69" s="29">
        <f t="shared" si="22"/>
        <v>0</v>
      </c>
      <c r="H69" s="29">
        <f t="shared" si="22"/>
        <v>0.7366950000000001</v>
      </c>
      <c r="I69" s="29">
        <f t="shared" si="22"/>
        <v>0</v>
      </c>
      <c r="J69" s="29">
        <f t="shared" si="22"/>
        <v>0</v>
      </c>
      <c r="K69" s="29">
        <f t="shared" si="22"/>
        <v>0.1242</v>
      </c>
      <c r="L69" s="29">
        <f t="shared" si="22"/>
        <v>0</v>
      </c>
      <c r="M69" s="29">
        <f t="shared" si="22"/>
        <v>0.01134</v>
      </c>
      <c r="N69" s="29">
        <f t="shared" si="22"/>
        <v>0</v>
      </c>
      <c r="O69" s="29">
        <f t="shared" si="22"/>
        <v>0</v>
      </c>
    </row>
    <row r="70" spans="1:15" ht="12.75">
      <c r="A70" s="6" t="s">
        <v>57</v>
      </c>
      <c r="B70" s="29">
        <f aca="true" t="shared" si="23" ref="B70:O70">B$61*B11*B$13</f>
        <v>0.8212050000000002</v>
      </c>
      <c r="C70" s="29">
        <f t="shared" si="23"/>
        <v>0</v>
      </c>
      <c r="D70" s="29">
        <f t="shared" si="23"/>
        <v>1.2993750000000002</v>
      </c>
      <c r="E70" s="29">
        <f t="shared" si="23"/>
        <v>0.06844499999999999</v>
      </c>
      <c r="F70" s="29">
        <f t="shared" si="23"/>
        <v>0</v>
      </c>
      <c r="G70" s="29">
        <f t="shared" si="23"/>
        <v>0</v>
      </c>
      <c r="H70" s="29">
        <f t="shared" si="23"/>
        <v>0.7366950000000001</v>
      </c>
      <c r="I70" s="29">
        <f t="shared" si="23"/>
        <v>0.2457</v>
      </c>
      <c r="J70" s="29">
        <f t="shared" si="23"/>
        <v>0</v>
      </c>
      <c r="K70" s="29">
        <f t="shared" si="23"/>
        <v>0.13972500000000002</v>
      </c>
      <c r="L70" s="29">
        <f t="shared" si="23"/>
        <v>0</v>
      </c>
      <c r="M70" s="29">
        <f t="shared" si="23"/>
        <v>0.00945</v>
      </c>
      <c r="N70" s="29">
        <f t="shared" si="23"/>
        <v>0</v>
      </c>
      <c r="O70" s="29">
        <f t="shared" si="23"/>
        <v>0</v>
      </c>
    </row>
    <row r="71" spans="1:15" ht="12.75">
      <c r="A71" s="6" t="s">
        <v>79</v>
      </c>
      <c r="B71" s="29">
        <f aca="true" t="shared" si="24" ref="B71:O71">B$61*B12*B$13</f>
        <v>0.14931000000000003</v>
      </c>
      <c r="C71" s="29">
        <f t="shared" si="24"/>
        <v>0</v>
      </c>
      <c r="D71" s="29">
        <f t="shared" si="24"/>
        <v>0.11812500000000002</v>
      </c>
      <c r="E71" s="29">
        <f t="shared" si="24"/>
        <v>0.022815</v>
      </c>
      <c r="F71" s="29">
        <f t="shared" si="24"/>
        <v>0</v>
      </c>
      <c r="G71" s="29">
        <f t="shared" si="24"/>
        <v>0</v>
      </c>
      <c r="H71" s="29">
        <f t="shared" si="24"/>
        <v>1.4733900000000002</v>
      </c>
      <c r="I71" s="29">
        <f t="shared" si="24"/>
        <v>0.4914</v>
      </c>
      <c r="J71" s="29">
        <f t="shared" si="24"/>
        <v>0</v>
      </c>
      <c r="K71" s="29">
        <f t="shared" si="24"/>
        <v>0.071415</v>
      </c>
      <c r="L71" s="29">
        <f t="shared" si="24"/>
        <v>0</v>
      </c>
      <c r="M71" s="29">
        <f t="shared" si="24"/>
        <v>0.0018900000000000002</v>
      </c>
      <c r="N71" s="29">
        <f t="shared" si="24"/>
        <v>0</v>
      </c>
      <c r="O71" s="29">
        <f t="shared" si="24"/>
        <v>0</v>
      </c>
    </row>
    <row r="72" spans="1:15" ht="12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6.5" thickBot="1">
      <c r="A74" s="7" t="s">
        <v>72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39" thickBot="1">
      <c r="A75" s="27"/>
      <c r="B75" s="46" t="s">
        <v>22</v>
      </c>
      <c r="C75" s="46" t="s">
        <v>21</v>
      </c>
      <c r="D75" s="46" t="s">
        <v>20</v>
      </c>
      <c r="E75" s="46" t="s">
        <v>23</v>
      </c>
      <c r="F75" s="46" t="s">
        <v>24</v>
      </c>
      <c r="G75" s="46" t="s">
        <v>25</v>
      </c>
      <c r="H75" s="46" t="s">
        <v>26</v>
      </c>
      <c r="I75" s="46" t="s">
        <v>27</v>
      </c>
      <c r="J75" s="46" t="s">
        <v>28</v>
      </c>
      <c r="K75" s="46" t="s">
        <v>29</v>
      </c>
      <c r="L75" s="46" t="s">
        <v>30</v>
      </c>
      <c r="M75" s="46" t="s">
        <v>31</v>
      </c>
      <c r="N75" s="46" t="s">
        <v>32</v>
      </c>
      <c r="O75" s="47" t="s">
        <v>33</v>
      </c>
    </row>
    <row r="76" spans="1:15" ht="12.75">
      <c r="A76" s="28"/>
      <c r="B76" s="14">
        <v>1054</v>
      </c>
      <c r="C76" s="14">
        <v>51</v>
      </c>
      <c r="D76" s="14">
        <v>413</v>
      </c>
      <c r="E76" s="14">
        <v>20</v>
      </c>
      <c r="F76" s="14">
        <v>0</v>
      </c>
      <c r="G76" s="14">
        <v>0</v>
      </c>
      <c r="H76" s="14">
        <v>4055</v>
      </c>
      <c r="I76" s="14">
        <v>0</v>
      </c>
      <c r="J76" s="14">
        <v>0</v>
      </c>
      <c r="K76" s="14">
        <v>30</v>
      </c>
      <c r="L76" s="14">
        <v>0</v>
      </c>
      <c r="M76" s="14">
        <v>19</v>
      </c>
      <c r="N76" s="14">
        <v>0</v>
      </c>
      <c r="O76" s="15">
        <v>0</v>
      </c>
    </row>
    <row r="77" spans="1:15" ht="12.75">
      <c r="A77" s="2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</row>
    <row r="78" spans="1:15" ht="12.75">
      <c r="A78" s="2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</row>
    <row r="79" spans="1:15" ht="12.75">
      <c r="A79" s="2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</row>
    <row r="80" spans="1:15" ht="12.75">
      <c r="A80" s="6" t="s">
        <v>10</v>
      </c>
      <c r="B80" s="29">
        <f>B$76*B6*B$13</f>
        <v>1403.5485600000002</v>
      </c>
      <c r="C80" s="29">
        <f aca="true" t="shared" si="25" ref="C80:O80">C$76*C6*C$13</f>
        <v>68.79492</v>
      </c>
      <c r="D80" s="29">
        <f t="shared" si="25"/>
        <v>552.030255</v>
      </c>
      <c r="E80" s="29">
        <f t="shared" si="25"/>
        <v>15.014700000000001</v>
      </c>
      <c r="F80" s="29">
        <f t="shared" si="25"/>
        <v>0</v>
      </c>
      <c r="G80" s="29">
        <f t="shared" si="25"/>
        <v>0</v>
      </c>
      <c r="H80" s="29">
        <f t="shared" si="25"/>
        <v>5444.689050000001</v>
      </c>
      <c r="I80" s="29">
        <f t="shared" si="25"/>
        <v>0</v>
      </c>
      <c r="J80" s="29">
        <f t="shared" si="25"/>
        <v>0</v>
      </c>
      <c r="K80" s="29">
        <f t="shared" si="25"/>
        <v>35.461800000000004</v>
      </c>
      <c r="L80" s="29">
        <f t="shared" si="25"/>
        <v>0</v>
      </c>
      <c r="M80" s="29">
        <f t="shared" si="25"/>
        <v>25.308855</v>
      </c>
      <c r="N80" s="29">
        <f t="shared" si="25"/>
        <v>0</v>
      </c>
      <c r="O80" s="29">
        <f t="shared" si="25"/>
        <v>0</v>
      </c>
    </row>
    <row r="81" spans="1:15" ht="12.75">
      <c r="A81" s="6" t="s">
        <v>53</v>
      </c>
      <c r="B81" s="29">
        <f aca="true" t="shared" si="26" ref="B81:O81">B$76*B7*B$13</f>
        <v>6.54534</v>
      </c>
      <c r="C81" s="29">
        <f t="shared" si="26"/>
        <v>0.027540000000000005</v>
      </c>
      <c r="D81" s="29">
        <f t="shared" si="26"/>
        <v>1.6726500000000002</v>
      </c>
      <c r="E81" s="29">
        <f t="shared" si="26"/>
        <v>11.0403</v>
      </c>
      <c r="F81" s="29">
        <f t="shared" si="26"/>
        <v>0</v>
      </c>
      <c r="G81" s="29">
        <f t="shared" si="26"/>
        <v>0</v>
      </c>
      <c r="H81" s="29">
        <f t="shared" si="26"/>
        <v>24.634125</v>
      </c>
      <c r="I81" s="29">
        <f t="shared" si="26"/>
        <v>0</v>
      </c>
      <c r="J81" s="29">
        <f t="shared" si="26"/>
        <v>0</v>
      </c>
      <c r="K81" s="29">
        <f t="shared" si="26"/>
        <v>4.4388000000000005</v>
      </c>
      <c r="L81" s="29">
        <f t="shared" si="26"/>
        <v>0</v>
      </c>
      <c r="M81" s="29">
        <f t="shared" si="26"/>
        <v>0.28471500000000005</v>
      </c>
      <c r="N81" s="29">
        <f t="shared" si="26"/>
        <v>0</v>
      </c>
      <c r="O81" s="29">
        <f t="shared" si="26"/>
        <v>0</v>
      </c>
    </row>
    <row r="82" spans="1:15" ht="12.75">
      <c r="A82" s="6" t="s">
        <v>54</v>
      </c>
      <c r="B82" s="29">
        <f aca="true" t="shared" si="27" ref="B82:O82">B$76*B8*B$13</f>
        <v>2.98809</v>
      </c>
      <c r="C82" s="29">
        <f t="shared" si="27"/>
        <v>0.027540000000000005</v>
      </c>
      <c r="D82" s="29">
        <f t="shared" si="27"/>
        <v>0.947835</v>
      </c>
      <c r="E82" s="29">
        <f t="shared" si="27"/>
        <v>0.3834000000000001</v>
      </c>
      <c r="F82" s="29">
        <f t="shared" si="27"/>
        <v>0</v>
      </c>
      <c r="G82" s="29">
        <f t="shared" si="27"/>
        <v>0</v>
      </c>
      <c r="H82" s="29">
        <f t="shared" si="27"/>
        <v>0</v>
      </c>
      <c r="I82" s="29">
        <f t="shared" si="27"/>
        <v>0</v>
      </c>
      <c r="J82" s="29">
        <f t="shared" si="27"/>
        <v>0</v>
      </c>
      <c r="K82" s="29">
        <f t="shared" si="27"/>
        <v>0</v>
      </c>
      <c r="L82" s="29">
        <f t="shared" si="27"/>
        <v>0</v>
      </c>
      <c r="M82" s="29">
        <f t="shared" si="27"/>
        <v>0.00513</v>
      </c>
      <c r="N82" s="29">
        <f t="shared" si="27"/>
        <v>0</v>
      </c>
      <c r="O82" s="29">
        <f t="shared" si="27"/>
        <v>0</v>
      </c>
    </row>
    <row r="83" spans="1:15" ht="12.75">
      <c r="A83" s="6" t="s">
        <v>55</v>
      </c>
      <c r="B83" s="29">
        <f aca="true" t="shared" si="28" ref="B83:O83">B$76*B9*B$13</f>
        <v>4.695570000000001</v>
      </c>
      <c r="C83" s="29">
        <f t="shared" si="28"/>
        <v>0</v>
      </c>
      <c r="D83" s="29">
        <f t="shared" si="28"/>
        <v>1.1151000000000002</v>
      </c>
      <c r="E83" s="29">
        <f t="shared" si="28"/>
        <v>0.26730000000000004</v>
      </c>
      <c r="F83" s="29">
        <f t="shared" si="28"/>
        <v>0</v>
      </c>
      <c r="G83" s="29">
        <f t="shared" si="28"/>
        <v>0</v>
      </c>
      <c r="H83" s="29">
        <f t="shared" si="28"/>
        <v>2.1897</v>
      </c>
      <c r="I83" s="29">
        <f t="shared" si="28"/>
        <v>0</v>
      </c>
      <c r="J83" s="29">
        <f t="shared" si="28"/>
        <v>0</v>
      </c>
      <c r="K83" s="29">
        <f t="shared" si="28"/>
        <v>0.162</v>
      </c>
      <c r="L83" s="29">
        <f t="shared" si="28"/>
        <v>0</v>
      </c>
      <c r="M83" s="29">
        <f t="shared" si="28"/>
        <v>0.02052</v>
      </c>
      <c r="N83" s="29">
        <f t="shared" si="28"/>
        <v>0</v>
      </c>
      <c r="O83" s="29">
        <f t="shared" si="28"/>
        <v>0</v>
      </c>
    </row>
    <row r="84" spans="1:15" ht="12.75">
      <c r="A84" s="6" t="s">
        <v>56</v>
      </c>
      <c r="B84" s="29">
        <f aca="true" t="shared" si="29" ref="B84:O84">B$76*B10*B$13</f>
        <v>3.41496</v>
      </c>
      <c r="C84" s="29">
        <f t="shared" si="29"/>
        <v>0</v>
      </c>
      <c r="D84" s="29">
        <f t="shared" si="29"/>
        <v>1.00359</v>
      </c>
      <c r="E84" s="29">
        <f t="shared" si="29"/>
        <v>0.1512</v>
      </c>
      <c r="F84" s="29">
        <f t="shared" si="29"/>
        <v>0</v>
      </c>
      <c r="G84" s="29">
        <f t="shared" si="29"/>
        <v>0</v>
      </c>
      <c r="H84" s="29">
        <f t="shared" si="29"/>
        <v>0.547425</v>
      </c>
      <c r="I84" s="29">
        <f t="shared" si="29"/>
        <v>0</v>
      </c>
      <c r="J84" s="29">
        <f t="shared" si="29"/>
        <v>0</v>
      </c>
      <c r="K84" s="29">
        <f t="shared" si="29"/>
        <v>0.162</v>
      </c>
      <c r="L84" s="29">
        <f t="shared" si="29"/>
        <v>0</v>
      </c>
      <c r="M84" s="29">
        <f t="shared" si="29"/>
        <v>0.01539</v>
      </c>
      <c r="N84" s="29">
        <f t="shared" si="29"/>
        <v>0</v>
      </c>
      <c r="O84" s="29">
        <f t="shared" si="29"/>
        <v>0</v>
      </c>
    </row>
    <row r="85" spans="1:15" ht="12.75">
      <c r="A85" s="6" t="s">
        <v>57</v>
      </c>
      <c r="B85" s="29">
        <f aca="true" t="shared" si="30" ref="B85:O85">B$76*B11*B$13</f>
        <v>1.56519</v>
      </c>
      <c r="C85" s="29">
        <f t="shared" si="30"/>
        <v>0</v>
      </c>
      <c r="D85" s="29">
        <f t="shared" si="30"/>
        <v>0.6133050000000001</v>
      </c>
      <c r="E85" s="29">
        <f t="shared" si="30"/>
        <v>0.1053</v>
      </c>
      <c r="F85" s="29">
        <f t="shared" si="30"/>
        <v>0</v>
      </c>
      <c r="G85" s="29">
        <f t="shared" si="30"/>
        <v>0</v>
      </c>
      <c r="H85" s="29">
        <f t="shared" si="30"/>
        <v>0.547425</v>
      </c>
      <c r="I85" s="29">
        <f t="shared" si="30"/>
        <v>0</v>
      </c>
      <c r="J85" s="29">
        <f t="shared" si="30"/>
        <v>0</v>
      </c>
      <c r="K85" s="29">
        <f t="shared" si="30"/>
        <v>0.18225</v>
      </c>
      <c r="L85" s="29">
        <f t="shared" si="30"/>
        <v>0</v>
      </c>
      <c r="M85" s="29">
        <f t="shared" si="30"/>
        <v>0.012825000000000001</v>
      </c>
      <c r="N85" s="29">
        <f t="shared" si="30"/>
        <v>0</v>
      </c>
      <c r="O85" s="29">
        <f t="shared" si="30"/>
        <v>0</v>
      </c>
    </row>
    <row r="86" spans="1:15" ht="12.75">
      <c r="A86" s="6" t="s">
        <v>79</v>
      </c>
      <c r="B86" s="29">
        <f aca="true" t="shared" si="31" ref="B86:O86">B$76*B12*B$13</f>
        <v>0.28458000000000006</v>
      </c>
      <c r="C86" s="29">
        <f t="shared" si="31"/>
        <v>0</v>
      </c>
      <c r="D86" s="29">
        <f t="shared" si="31"/>
        <v>0.055755000000000006</v>
      </c>
      <c r="E86" s="29">
        <f t="shared" si="31"/>
        <v>0.0351</v>
      </c>
      <c r="F86" s="29">
        <f t="shared" si="31"/>
        <v>0</v>
      </c>
      <c r="G86" s="29">
        <f t="shared" si="31"/>
        <v>0</v>
      </c>
      <c r="H86" s="29">
        <f t="shared" si="31"/>
        <v>1.09485</v>
      </c>
      <c r="I86" s="29">
        <f t="shared" si="31"/>
        <v>0</v>
      </c>
      <c r="J86" s="29">
        <f t="shared" si="31"/>
        <v>0</v>
      </c>
      <c r="K86" s="29">
        <f t="shared" si="31"/>
        <v>0.09315000000000001</v>
      </c>
      <c r="L86" s="29">
        <f t="shared" si="31"/>
        <v>0</v>
      </c>
      <c r="M86" s="29">
        <f t="shared" si="31"/>
        <v>0.002565</v>
      </c>
      <c r="N86" s="29">
        <f t="shared" si="31"/>
        <v>0</v>
      </c>
      <c r="O86" s="29">
        <f t="shared" si="31"/>
        <v>0</v>
      </c>
    </row>
    <row r="87" spans="1:15" ht="12.7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2.7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6.5" thickBot="1">
      <c r="A89" s="7" t="s">
        <v>71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39" thickBot="1">
      <c r="A90" s="27"/>
      <c r="B90" s="46" t="s">
        <v>22</v>
      </c>
      <c r="C90" s="46" t="s">
        <v>21</v>
      </c>
      <c r="D90" s="46" t="s">
        <v>20</v>
      </c>
      <c r="E90" s="46" t="s">
        <v>23</v>
      </c>
      <c r="F90" s="46" t="s">
        <v>24</v>
      </c>
      <c r="G90" s="46" t="s">
        <v>25</v>
      </c>
      <c r="H90" s="46" t="s">
        <v>26</v>
      </c>
      <c r="I90" s="46" t="s">
        <v>27</v>
      </c>
      <c r="J90" s="46" t="s">
        <v>28</v>
      </c>
      <c r="K90" s="46" t="s">
        <v>29</v>
      </c>
      <c r="L90" s="46" t="s">
        <v>30</v>
      </c>
      <c r="M90" s="46" t="s">
        <v>31</v>
      </c>
      <c r="N90" s="46" t="s">
        <v>32</v>
      </c>
      <c r="O90" s="47" t="s">
        <v>33</v>
      </c>
    </row>
    <row r="91" spans="1:15" ht="12.75">
      <c r="A91" s="28"/>
      <c r="B91" s="14">
        <v>35</v>
      </c>
      <c r="C91" s="14">
        <v>0</v>
      </c>
      <c r="D91" s="14">
        <v>588</v>
      </c>
      <c r="E91" s="14">
        <v>0</v>
      </c>
      <c r="F91" s="14">
        <v>0</v>
      </c>
      <c r="G91" s="14">
        <v>0</v>
      </c>
      <c r="H91" s="14">
        <v>1868</v>
      </c>
      <c r="I91" s="14">
        <v>0</v>
      </c>
      <c r="J91" s="14">
        <v>0</v>
      </c>
      <c r="K91" s="14">
        <v>24</v>
      </c>
      <c r="L91" s="14">
        <v>0</v>
      </c>
      <c r="M91" s="14">
        <v>9</v>
      </c>
      <c r="N91" s="14"/>
      <c r="O91" s="15">
        <v>0</v>
      </c>
    </row>
    <row r="92" spans="1:15" ht="12.75">
      <c r="A92" s="2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</row>
    <row r="93" spans="1:15" ht="12.75">
      <c r="A93" s="2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</row>
    <row r="94" spans="1:15" ht="12.75">
      <c r="A94" s="2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</row>
    <row r="95" spans="1:15" ht="12.75">
      <c r="A95" s="6" t="s">
        <v>10</v>
      </c>
      <c r="B95" s="29">
        <f>B$91*B6*B$13</f>
        <v>46.607400000000005</v>
      </c>
      <c r="C95" s="29">
        <f aca="true" t="shared" si="32" ref="C95:O95">C$91*C6*C$13</f>
        <v>0</v>
      </c>
      <c r="D95" s="29">
        <f t="shared" si="32"/>
        <v>785.9413800000001</v>
      </c>
      <c r="E95" s="29">
        <f t="shared" si="32"/>
        <v>0</v>
      </c>
      <c r="F95" s="29">
        <f t="shared" si="32"/>
        <v>0</v>
      </c>
      <c r="G95" s="29">
        <f t="shared" si="32"/>
        <v>0</v>
      </c>
      <c r="H95" s="29">
        <f t="shared" si="32"/>
        <v>2508.1822800000004</v>
      </c>
      <c r="I95" s="29">
        <f t="shared" si="32"/>
        <v>0</v>
      </c>
      <c r="J95" s="29">
        <f t="shared" si="32"/>
        <v>0</v>
      </c>
      <c r="K95" s="29">
        <f t="shared" si="32"/>
        <v>28.369440000000004</v>
      </c>
      <c r="L95" s="29">
        <f t="shared" si="32"/>
        <v>0</v>
      </c>
      <c r="M95" s="29">
        <f t="shared" si="32"/>
        <v>11.988405</v>
      </c>
      <c r="N95" s="29">
        <f t="shared" si="32"/>
        <v>0</v>
      </c>
      <c r="O95" s="29">
        <f t="shared" si="32"/>
        <v>0</v>
      </c>
    </row>
    <row r="96" spans="1:15" ht="12.75">
      <c r="A96" s="6" t="s">
        <v>53</v>
      </c>
      <c r="B96" s="29">
        <f aca="true" t="shared" si="33" ref="B96:O96">B$91*B7*B$13</f>
        <v>0.21735000000000002</v>
      </c>
      <c r="C96" s="29">
        <f t="shared" si="33"/>
        <v>0</v>
      </c>
      <c r="D96" s="29">
        <f t="shared" si="33"/>
        <v>2.3814</v>
      </c>
      <c r="E96" s="29">
        <f t="shared" si="33"/>
        <v>0</v>
      </c>
      <c r="F96" s="29">
        <f t="shared" si="33"/>
        <v>0</v>
      </c>
      <c r="G96" s="29">
        <f t="shared" si="33"/>
        <v>0</v>
      </c>
      <c r="H96" s="29">
        <f t="shared" si="33"/>
        <v>11.348099999999999</v>
      </c>
      <c r="I96" s="29">
        <f t="shared" si="33"/>
        <v>0</v>
      </c>
      <c r="J96" s="29">
        <f t="shared" si="33"/>
        <v>0</v>
      </c>
      <c r="K96" s="29">
        <f t="shared" si="33"/>
        <v>3.55104</v>
      </c>
      <c r="L96" s="29">
        <f t="shared" si="33"/>
        <v>0</v>
      </c>
      <c r="M96" s="29">
        <f t="shared" si="33"/>
        <v>0.134865</v>
      </c>
      <c r="N96" s="29">
        <f t="shared" si="33"/>
        <v>0</v>
      </c>
      <c r="O96" s="29">
        <f t="shared" si="33"/>
        <v>0</v>
      </c>
    </row>
    <row r="97" spans="1:15" ht="12.75">
      <c r="A97" s="6" t="s">
        <v>54</v>
      </c>
      <c r="B97" s="29">
        <f aca="true" t="shared" si="34" ref="B97:O97">B$91*B8*B$13</f>
        <v>0.09922500000000001</v>
      </c>
      <c r="C97" s="29">
        <f t="shared" si="34"/>
        <v>0</v>
      </c>
      <c r="D97" s="29">
        <f t="shared" si="34"/>
        <v>1.34946</v>
      </c>
      <c r="E97" s="29">
        <f t="shared" si="34"/>
        <v>0</v>
      </c>
      <c r="F97" s="29">
        <f t="shared" si="34"/>
        <v>0</v>
      </c>
      <c r="G97" s="29">
        <f t="shared" si="34"/>
        <v>0</v>
      </c>
      <c r="H97" s="29">
        <f t="shared" si="34"/>
        <v>0</v>
      </c>
      <c r="I97" s="29">
        <f t="shared" si="34"/>
        <v>0</v>
      </c>
      <c r="J97" s="29">
        <f t="shared" si="34"/>
        <v>0</v>
      </c>
      <c r="K97" s="29">
        <f t="shared" si="34"/>
        <v>0</v>
      </c>
      <c r="L97" s="29">
        <f t="shared" si="34"/>
        <v>0</v>
      </c>
      <c r="M97" s="29">
        <f t="shared" si="34"/>
        <v>0.0024300000000000003</v>
      </c>
      <c r="N97" s="29">
        <f t="shared" si="34"/>
        <v>0</v>
      </c>
      <c r="O97" s="29">
        <f t="shared" si="34"/>
        <v>0</v>
      </c>
    </row>
    <row r="98" spans="1:15" ht="12.75">
      <c r="A98" s="6" t="s">
        <v>55</v>
      </c>
      <c r="B98" s="29">
        <f aca="true" t="shared" si="35" ref="B98:O98">B$91*B9*B$13</f>
        <v>0.155925</v>
      </c>
      <c r="C98" s="29">
        <f t="shared" si="35"/>
        <v>0</v>
      </c>
      <c r="D98" s="29">
        <f t="shared" si="35"/>
        <v>1.5876000000000001</v>
      </c>
      <c r="E98" s="29">
        <f t="shared" si="35"/>
        <v>0</v>
      </c>
      <c r="F98" s="29">
        <f t="shared" si="35"/>
        <v>0</v>
      </c>
      <c r="G98" s="29">
        <f t="shared" si="35"/>
        <v>0</v>
      </c>
      <c r="H98" s="29">
        <f t="shared" si="35"/>
        <v>1.0087200000000003</v>
      </c>
      <c r="I98" s="29">
        <f t="shared" si="35"/>
        <v>0</v>
      </c>
      <c r="J98" s="29">
        <f t="shared" si="35"/>
        <v>0</v>
      </c>
      <c r="K98" s="29">
        <f t="shared" si="35"/>
        <v>0.12960000000000002</v>
      </c>
      <c r="L98" s="29">
        <f t="shared" si="35"/>
        <v>0</v>
      </c>
      <c r="M98" s="29">
        <f t="shared" si="35"/>
        <v>0.009720000000000001</v>
      </c>
      <c r="N98" s="29">
        <f t="shared" si="35"/>
        <v>0</v>
      </c>
      <c r="O98" s="29">
        <f t="shared" si="35"/>
        <v>0</v>
      </c>
    </row>
    <row r="99" spans="1:15" ht="12.75">
      <c r="A99" s="6" t="s">
        <v>56</v>
      </c>
      <c r="B99" s="29">
        <f aca="true" t="shared" si="36" ref="B99:O99">B$91*B10*B$13</f>
        <v>0.1134</v>
      </c>
      <c r="C99" s="29">
        <f t="shared" si="36"/>
        <v>0</v>
      </c>
      <c r="D99" s="29">
        <f t="shared" si="36"/>
        <v>1.42884</v>
      </c>
      <c r="E99" s="29">
        <f t="shared" si="36"/>
        <v>0</v>
      </c>
      <c r="F99" s="29">
        <f t="shared" si="36"/>
        <v>0</v>
      </c>
      <c r="G99" s="29">
        <f t="shared" si="36"/>
        <v>0</v>
      </c>
      <c r="H99" s="29">
        <f t="shared" si="36"/>
        <v>0.25218000000000007</v>
      </c>
      <c r="I99" s="29">
        <f t="shared" si="36"/>
        <v>0</v>
      </c>
      <c r="J99" s="29">
        <f t="shared" si="36"/>
        <v>0</v>
      </c>
      <c r="K99" s="29">
        <f t="shared" si="36"/>
        <v>0.12960000000000002</v>
      </c>
      <c r="L99" s="29">
        <f t="shared" si="36"/>
        <v>0</v>
      </c>
      <c r="M99" s="29">
        <f t="shared" si="36"/>
        <v>0.00729</v>
      </c>
      <c r="N99" s="29">
        <f t="shared" si="36"/>
        <v>0</v>
      </c>
      <c r="O99" s="29">
        <f t="shared" si="36"/>
        <v>0</v>
      </c>
    </row>
    <row r="100" spans="1:15" ht="12.75">
      <c r="A100" s="6" t="s">
        <v>57</v>
      </c>
      <c r="B100" s="29">
        <f aca="true" t="shared" si="37" ref="B100:O100">B$91*B11*B$13</f>
        <v>0.051975</v>
      </c>
      <c r="C100" s="29">
        <f t="shared" si="37"/>
        <v>0</v>
      </c>
      <c r="D100" s="29">
        <f t="shared" si="37"/>
        <v>0.8731800000000001</v>
      </c>
      <c r="E100" s="29">
        <f t="shared" si="37"/>
        <v>0</v>
      </c>
      <c r="F100" s="29">
        <f t="shared" si="37"/>
        <v>0</v>
      </c>
      <c r="G100" s="29">
        <f t="shared" si="37"/>
        <v>0</v>
      </c>
      <c r="H100" s="29">
        <f t="shared" si="37"/>
        <v>0.25218000000000007</v>
      </c>
      <c r="I100" s="29">
        <f t="shared" si="37"/>
        <v>0</v>
      </c>
      <c r="J100" s="29">
        <f t="shared" si="37"/>
        <v>0</v>
      </c>
      <c r="K100" s="29">
        <f t="shared" si="37"/>
        <v>0.14579999999999999</v>
      </c>
      <c r="L100" s="29">
        <f t="shared" si="37"/>
        <v>0</v>
      </c>
      <c r="M100" s="29">
        <f t="shared" si="37"/>
        <v>0.006075000000000001</v>
      </c>
      <c r="N100" s="29">
        <f t="shared" si="37"/>
        <v>0</v>
      </c>
      <c r="O100" s="29">
        <f t="shared" si="37"/>
        <v>0</v>
      </c>
    </row>
    <row r="101" spans="1:15" ht="12.75">
      <c r="A101" s="6" t="s">
        <v>79</v>
      </c>
      <c r="B101" s="29">
        <f aca="true" t="shared" si="38" ref="B101:O101">B$91*B12*B$13</f>
        <v>0.00945</v>
      </c>
      <c r="C101" s="29">
        <f t="shared" si="38"/>
        <v>0</v>
      </c>
      <c r="D101" s="29">
        <f t="shared" si="38"/>
        <v>0.07938</v>
      </c>
      <c r="E101" s="29">
        <f t="shared" si="38"/>
        <v>0</v>
      </c>
      <c r="F101" s="29">
        <f t="shared" si="38"/>
        <v>0</v>
      </c>
      <c r="G101" s="29">
        <f t="shared" si="38"/>
        <v>0</v>
      </c>
      <c r="H101" s="29">
        <f t="shared" si="38"/>
        <v>0.5043600000000001</v>
      </c>
      <c r="I101" s="29">
        <f t="shared" si="38"/>
        <v>0</v>
      </c>
      <c r="J101" s="29">
        <f t="shared" si="38"/>
        <v>0</v>
      </c>
      <c r="K101" s="29">
        <f t="shared" si="38"/>
        <v>0.07452</v>
      </c>
      <c r="L101" s="29">
        <f t="shared" si="38"/>
        <v>0</v>
      </c>
      <c r="M101" s="29">
        <f t="shared" si="38"/>
        <v>0.0012150000000000002</v>
      </c>
      <c r="N101" s="29">
        <f t="shared" si="38"/>
        <v>0</v>
      </c>
      <c r="O101" s="29">
        <f t="shared" si="38"/>
        <v>0</v>
      </c>
    </row>
    <row r="102" spans="1:15" ht="12.7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6"/>
      <c r="O102" s="12"/>
    </row>
    <row r="103" spans="1:15" ht="12.7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6"/>
      <c r="O103" s="12"/>
    </row>
    <row r="104" spans="1:15" ht="16.5" thickBot="1">
      <c r="A104" s="7" t="s">
        <v>70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39" thickBot="1">
      <c r="A105" s="27"/>
      <c r="B105" s="46" t="s">
        <v>22</v>
      </c>
      <c r="C105" s="46" t="s">
        <v>21</v>
      </c>
      <c r="D105" s="46" t="s">
        <v>20</v>
      </c>
      <c r="E105" s="46" t="s">
        <v>23</v>
      </c>
      <c r="F105" s="46" t="s">
        <v>24</v>
      </c>
      <c r="G105" s="46" t="s">
        <v>25</v>
      </c>
      <c r="H105" s="46" t="s">
        <v>26</v>
      </c>
      <c r="I105" s="46" t="s">
        <v>27</v>
      </c>
      <c r="J105" s="46" t="s">
        <v>28</v>
      </c>
      <c r="K105" s="46" t="s">
        <v>29</v>
      </c>
      <c r="L105" s="46" t="s">
        <v>30</v>
      </c>
      <c r="M105" s="46" t="s">
        <v>31</v>
      </c>
      <c r="N105" s="46" t="s">
        <v>32</v>
      </c>
      <c r="O105" s="47" t="s">
        <v>33</v>
      </c>
    </row>
    <row r="106" spans="1:15" ht="12.75">
      <c r="A106" s="28"/>
      <c r="B106" s="14">
        <v>325</v>
      </c>
      <c r="C106" s="14">
        <v>0</v>
      </c>
      <c r="D106" s="14">
        <v>95</v>
      </c>
      <c r="E106" s="14">
        <v>15</v>
      </c>
      <c r="F106" s="14">
        <v>0</v>
      </c>
      <c r="G106" s="14">
        <v>0</v>
      </c>
      <c r="H106" s="14">
        <v>1187</v>
      </c>
      <c r="I106" s="14">
        <v>0</v>
      </c>
      <c r="J106" s="14">
        <v>0</v>
      </c>
      <c r="K106" s="14">
        <v>16</v>
      </c>
      <c r="L106" s="14">
        <v>0</v>
      </c>
      <c r="M106" s="14">
        <v>9</v>
      </c>
      <c r="N106" s="14">
        <v>0</v>
      </c>
      <c r="O106" s="15">
        <v>0</v>
      </c>
    </row>
    <row r="107" spans="1:15" ht="12.75">
      <c r="A107" s="2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</row>
    <row r="108" spans="1:15" ht="12.75">
      <c r="A108" s="2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</row>
    <row r="109" spans="1:15" ht="12.75">
      <c r="A109" s="2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</row>
    <row r="110" spans="1:15" ht="12.75">
      <c r="A110" s="6" t="s">
        <v>10</v>
      </c>
      <c r="B110" s="29">
        <f>B$106*B6*B$13</f>
        <v>432.7830000000001</v>
      </c>
      <c r="C110" s="29">
        <f aca="true" t="shared" si="39" ref="C110:O110">C$106*C6*C$13</f>
        <v>0</v>
      </c>
      <c r="D110" s="29">
        <f t="shared" si="39"/>
        <v>126.98032500000001</v>
      </c>
      <c r="E110" s="29">
        <f t="shared" si="39"/>
        <v>11.261025</v>
      </c>
      <c r="F110" s="29">
        <f t="shared" si="39"/>
        <v>0</v>
      </c>
      <c r="G110" s="29">
        <f t="shared" si="39"/>
        <v>0</v>
      </c>
      <c r="H110" s="29">
        <f t="shared" si="39"/>
        <v>1593.7967700000002</v>
      </c>
      <c r="I110" s="29">
        <f t="shared" si="39"/>
        <v>0</v>
      </c>
      <c r="J110" s="29">
        <f t="shared" si="39"/>
        <v>0</v>
      </c>
      <c r="K110" s="29">
        <f t="shared" si="39"/>
        <v>18.91296</v>
      </c>
      <c r="L110" s="29">
        <f t="shared" si="39"/>
        <v>0</v>
      </c>
      <c r="M110" s="29">
        <f t="shared" si="39"/>
        <v>11.988405</v>
      </c>
      <c r="N110" s="29">
        <f t="shared" si="39"/>
        <v>0</v>
      </c>
      <c r="O110" s="29">
        <f t="shared" si="39"/>
        <v>0</v>
      </c>
    </row>
    <row r="111" spans="1:15" ht="12.75">
      <c r="A111" s="6" t="s">
        <v>53</v>
      </c>
      <c r="B111" s="29">
        <f aca="true" t="shared" si="40" ref="B111:O111">B$106*B7*B$13</f>
        <v>2.01825</v>
      </c>
      <c r="C111" s="29">
        <f t="shared" si="40"/>
        <v>0</v>
      </c>
      <c r="D111" s="29">
        <f t="shared" si="40"/>
        <v>0.3847500000000001</v>
      </c>
      <c r="E111" s="29">
        <f t="shared" si="40"/>
        <v>8.280225</v>
      </c>
      <c r="F111" s="29">
        <f t="shared" si="40"/>
        <v>0</v>
      </c>
      <c r="G111" s="29">
        <f t="shared" si="40"/>
        <v>0</v>
      </c>
      <c r="H111" s="29">
        <f t="shared" si="40"/>
        <v>7.211025</v>
      </c>
      <c r="I111" s="29">
        <f t="shared" si="40"/>
        <v>0</v>
      </c>
      <c r="J111" s="29">
        <f t="shared" si="40"/>
        <v>0</v>
      </c>
      <c r="K111" s="29">
        <f t="shared" si="40"/>
        <v>2.36736</v>
      </c>
      <c r="L111" s="29">
        <f t="shared" si="40"/>
        <v>0</v>
      </c>
      <c r="M111" s="29">
        <f t="shared" si="40"/>
        <v>0.134865</v>
      </c>
      <c r="N111" s="29">
        <f t="shared" si="40"/>
        <v>0</v>
      </c>
      <c r="O111" s="29">
        <f t="shared" si="40"/>
        <v>0</v>
      </c>
    </row>
    <row r="112" spans="1:15" ht="12.75">
      <c r="A112" s="6" t="s">
        <v>54</v>
      </c>
      <c r="B112" s="29">
        <f aca="true" t="shared" si="41" ref="B112:O112">B$106*B8*B$13</f>
        <v>0.921375</v>
      </c>
      <c r="C112" s="29">
        <f t="shared" si="41"/>
        <v>0</v>
      </c>
      <c r="D112" s="29">
        <f t="shared" si="41"/>
        <v>0.21802500000000002</v>
      </c>
      <c r="E112" s="29">
        <f t="shared" si="41"/>
        <v>0.28755000000000003</v>
      </c>
      <c r="F112" s="29">
        <f t="shared" si="41"/>
        <v>0</v>
      </c>
      <c r="G112" s="29">
        <f t="shared" si="41"/>
        <v>0</v>
      </c>
      <c r="H112" s="29">
        <f t="shared" si="41"/>
        <v>0</v>
      </c>
      <c r="I112" s="29">
        <f t="shared" si="41"/>
        <v>0</v>
      </c>
      <c r="J112" s="29">
        <f t="shared" si="41"/>
        <v>0</v>
      </c>
      <c r="K112" s="29">
        <f t="shared" si="41"/>
        <v>0</v>
      </c>
      <c r="L112" s="29">
        <f t="shared" si="41"/>
        <v>0</v>
      </c>
      <c r="M112" s="29">
        <f t="shared" si="41"/>
        <v>0.0024300000000000003</v>
      </c>
      <c r="N112" s="29">
        <f t="shared" si="41"/>
        <v>0</v>
      </c>
      <c r="O112" s="29">
        <f t="shared" si="41"/>
        <v>0</v>
      </c>
    </row>
    <row r="113" spans="1:15" ht="12.75">
      <c r="A113" s="6" t="s">
        <v>55</v>
      </c>
      <c r="B113" s="29">
        <f aca="true" t="shared" si="42" ref="B113:O113">B$106*B9*B$13</f>
        <v>1.447875</v>
      </c>
      <c r="C113" s="29">
        <f t="shared" si="42"/>
        <v>0</v>
      </c>
      <c r="D113" s="29">
        <f t="shared" si="42"/>
        <v>0.2565</v>
      </c>
      <c r="E113" s="29">
        <f t="shared" si="42"/>
        <v>0.20047500000000004</v>
      </c>
      <c r="F113" s="29">
        <f t="shared" si="42"/>
        <v>0</v>
      </c>
      <c r="G113" s="29">
        <f t="shared" si="42"/>
        <v>0</v>
      </c>
      <c r="H113" s="29">
        <f t="shared" si="42"/>
        <v>0.64098</v>
      </c>
      <c r="I113" s="29">
        <f t="shared" si="42"/>
        <v>0</v>
      </c>
      <c r="J113" s="29">
        <f t="shared" si="42"/>
        <v>0</v>
      </c>
      <c r="K113" s="29">
        <f t="shared" si="42"/>
        <v>0.0864</v>
      </c>
      <c r="L113" s="29">
        <f t="shared" si="42"/>
        <v>0</v>
      </c>
      <c r="M113" s="29">
        <f t="shared" si="42"/>
        <v>0.009720000000000001</v>
      </c>
      <c r="N113" s="29">
        <f t="shared" si="42"/>
        <v>0</v>
      </c>
      <c r="O113" s="29">
        <f t="shared" si="42"/>
        <v>0</v>
      </c>
    </row>
    <row r="114" spans="1:15" ht="12.75">
      <c r="A114" s="6" t="s">
        <v>56</v>
      </c>
      <c r="B114" s="29">
        <f aca="true" t="shared" si="43" ref="B114:O114">B$106*B10*B$13</f>
        <v>1.053</v>
      </c>
      <c r="C114" s="29">
        <f t="shared" si="43"/>
        <v>0</v>
      </c>
      <c r="D114" s="29">
        <f t="shared" si="43"/>
        <v>0.23085</v>
      </c>
      <c r="E114" s="29">
        <f t="shared" si="43"/>
        <v>0.11340000000000001</v>
      </c>
      <c r="F114" s="29">
        <f t="shared" si="43"/>
        <v>0</v>
      </c>
      <c r="G114" s="29">
        <f t="shared" si="43"/>
        <v>0</v>
      </c>
      <c r="H114" s="29">
        <f t="shared" si="43"/>
        <v>0.160245</v>
      </c>
      <c r="I114" s="29">
        <f t="shared" si="43"/>
        <v>0</v>
      </c>
      <c r="J114" s="29">
        <f t="shared" si="43"/>
        <v>0</v>
      </c>
      <c r="K114" s="29">
        <f t="shared" si="43"/>
        <v>0.0864</v>
      </c>
      <c r="L114" s="29">
        <f t="shared" si="43"/>
        <v>0</v>
      </c>
      <c r="M114" s="29">
        <f t="shared" si="43"/>
        <v>0.00729</v>
      </c>
      <c r="N114" s="29">
        <f t="shared" si="43"/>
        <v>0</v>
      </c>
      <c r="O114" s="29">
        <f t="shared" si="43"/>
        <v>0</v>
      </c>
    </row>
    <row r="115" spans="1:15" ht="12.75">
      <c r="A115" s="6" t="s">
        <v>57</v>
      </c>
      <c r="B115" s="29">
        <f aca="true" t="shared" si="44" ref="B115:O115">B$106*B11*B$13</f>
        <v>0.4826250000000001</v>
      </c>
      <c r="C115" s="29">
        <f t="shared" si="44"/>
        <v>0</v>
      </c>
      <c r="D115" s="29">
        <f t="shared" si="44"/>
        <v>0.14107500000000003</v>
      </c>
      <c r="E115" s="29">
        <f t="shared" si="44"/>
        <v>0.078975</v>
      </c>
      <c r="F115" s="29">
        <f t="shared" si="44"/>
        <v>0</v>
      </c>
      <c r="G115" s="29">
        <f t="shared" si="44"/>
        <v>0</v>
      </c>
      <c r="H115" s="29">
        <f t="shared" si="44"/>
        <v>0.160245</v>
      </c>
      <c r="I115" s="29">
        <f t="shared" si="44"/>
        <v>0</v>
      </c>
      <c r="J115" s="29">
        <f t="shared" si="44"/>
        <v>0</v>
      </c>
      <c r="K115" s="29">
        <f t="shared" si="44"/>
        <v>0.0972</v>
      </c>
      <c r="L115" s="29">
        <f t="shared" si="44"/>
        <v>0</v>
      </c>
      <c r="M115" s="29">
        <f t="shared" si="44"/>
        <v>0.006075000000000001</v>
      </c>
      <c r="N115" s="29">
        <f t="shared" si="44"/>
        <v>0</v>
      </c>
      <c r="O115" s="29">
        <f t="shared" si="44"/>
        <v>0</v>
      </c>
    </row>
    <row r="116" spans="1:15" ht="12.75">
      <c r="A116" s="6" t="s">
        <v>79</v>
      </c>
      <c r="B116" s="29">
        <f aca="true" t="shared" si="45" ref="B116:O116">B$106*B12*B$13</f>
        <v>0.08775000000000001</v>
      </c>
      <c r="C116" s="29">
        <f t="shared" si="45"/>
        <v>0</v>
      </c>
      <c r="D116" s="29">
        <f t="shared" si="45"/>
        <v>0.012825000000000001</v>
      </c>
      <c r="E116" s="29">
        <f t="shared" si="45"/>
        <v>0.026325</v>
      </c>
      <c r="F116" s="29">
        <f t="shared" si="45"/>
        <v>0</v>
      </c>
      <c r="G116" s="29">
        <f t="shared" si="45"/>
        <v>0</v>
      </c>
      <c r="H116" s="29">
        <f t="shared" si="45"/>
        <v>0.32049</v>
      </c>
      <c r="I116" s="29">
        <f t="shared" si="45"/>
        <v>0</v>
      </c>
      <c r="J116" s="29">
        <f t="shared" si="45"/>
        <v>0</v>
      </c>
      <c r="K116" s="29">
        <f t="shared" si="45"/>
        <v>0.04968</v>
      </c>
      <c r="L116" s="29">
        <f t="shared" si="45"/>
        <v>0</v>
      </c>
      <c r="M116" s="29">
        <f t="shared" si="45"/>
        <v>0.0012150000000000002</v>
      </c>
      <c r="N116" s="29">
        <f t="shared" si="45"/>
        <v>0</v>
      </c>
      <c r="O116" s="29">
        <f t="shared" si="45"/>
        <v>0</v>
      </c>
    </row>
    <row r="117" spans="1:15" ht="12.7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6.5" thickBot="1">
      <c r="A118" s="7" t="s">
        <v>113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39" thickBot="1">
      <c r="A119" s="27"/>
      <c r="B119" s="46" t="s">
        <v>22</v>
      </c>
      <c r="C119" s="46" t="s">
        <v>21</v>
      </c>
      <c r="D119" s="46" t="s">
        <v>20</v>
      </c>
      <c r="E119" s="46" t="s">
        <v>23</v>
      </c>
      <c r="F119" s="46" t="s">
        <v>24</v>
      </c>
      <c r="G119" s="46" t="s">
        <v>25</v>
      </c>
      <c r="H119" s="46" t="s">
        <v>26</v>
      </c>
      <c r="I119" s="46" t="s">
        <v>27</v>
      </c>
      <c r="J119" s="46" t="s">
        <v>28</v>
      </c>
      <c r="K119" s="46" t="s">
        <v>29</v>
      </c>
      <c r="L119" s="46" t="s">
        <v>30</v>
      </c>
      <c r="M119" s="46" t="s">
        <v>31</v>
      </c>
      <c r="N119" s="46" t="s">
        <v>32</v>
      </c>
      <c r="O119" s="47" t="s">
        <v>33</v>
      </c>
    </row>
    <row r="120" spans="1:15" ht="12.75">
      <c r="A120" s="28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5"/>
    </row>
    <row r="121" spans="1:15" ht="12.75">
      <c r="A121" s="20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2.75">
      <c r="A122" s="20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2.75">
      <c r="A123" s="2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2.75">
      <c r="A124" s="6" t="s">
        <v>10</v>
      </c>
      <c r="B124" s="29">
        <f>B$120*B6*B$13</f>
        <v>0</v>
      </c>
      <c r="C124" s="29">
        <f aca="true" t="shared" si="46" ref="C124:O124">C$120*C6*C$13</f>
        <v>0</v>
      </c>
      <c r="D124" s="29">
        <f t="shared" si="46"/>
        <v>0</v>
      </c>
      <c r="E124" s="29">
        <f t="shared" si="46"/>
        <v>0</v>
      </c>
      <c r="F124" s="29">
        <f t="shared" si="46"/>
        <v>0</v>
      </c>
      <c r="G124" s="29">
        <f t="shared" si="46"/>
        <v>0</v>
      </c>
      <c r="H124" s="29">
        <f t="shared" si="46"/>
        <v>0</v>
      </c>
      <c r="I124" s="29">
        <f t="shared" si="46"/>
        <v>0</v>
      </c>
      <c r="J124" s="29">
        <f t="shared" si="46"/>
        <v>0</v>
      </c>
      <c r="K124" s="29">
        <f t="shared" si="46"/>
        <v>0</v>
      </c>
      <c r="L124" s="29">
        <f t="shared" si="46"/>
        <v>0</v>
      </c>
      <c r="M124" s="29">
        <f t="shared" si="46"/>
        <v>0</v>
      </c>
      <c r="N124" s="29">
        <f t="shared" si="46"/>
        <v>0</v>
      </c>
      <c r="O124" s="29">
        <f t="shared" si="46"/>
        <v>0</v>
      </c>
    </row>
    <row r="125" spans="1:15" ht="12.75">
      <c r="A125" s="6" t="s">
        <v>53</v>
      </c>
      <c r="B125" s="29">
        <f aca="true" t="shared" si="47" ref="B125:O125">B$120*B7*B$13</f>
        <v>0</v>
      </c>
      <c r="C125" s="29">
        <f t="shared" si="47"/>
        <v>0</v>
      </c>
      <c r="D125" s="29">
        <f t="shared" si="47"/>
        <v>0</v>
      </c>
      <c r="E125" s="29">
        <f t="shared" si="47"/>
        <v>0</v>
      </c>
      <c r="F125" s="29">
        <f t="shared" si="47"/>
        <v>0</v>
      </c>
      <c r="G125" s="29">
        <f t="shared" si="47"/>
        <v>0</v>
      </c>
      <c r="H125" s="29">
        <f t="shared" si="47"/>
        <v>0</v>
      </c>
      <c r="I125" s="29">
        <f t="shared" si="47"/>
        <v>0</v>
      </c>
      <c r="J125" s="29">
        <f t="shared" si="47"/>
        <v>0</v>
      </c>
      <c r="K125" s="29">
        <f t="shared" si="47"/>
        <v>0</v>
      </c>
      <c r="L125" s="29">
        <f t="shared" si="47"/>
        <v>0</v>
      </c>
      <c r="M125" s="29">
        <f t="shared" si="47"/>
        <v>0</v>
      </c>
      <c r="N125" s="29">
        <f t="shared" si="47"/>
        <v>0</v>
      </c>
      <c r="O125" s="29">
        <f t="shared" si="47"/>
        <v>0</v>
      </c>
    </row>
    <row r="126" spans="1:15" ht="12.75">
      <c r="A126" s="6" t="s">
        <v>54</v>
      </c>
      <c r="B126" s="29">
        <f aca="true" t="shared" si="48" ref="B126:O126">B$120*B8*B$13</f>
        <v>0</v>
      </c>
      <c r="C126" s="29">
        <f t="shared" si="48"/>
        <v>0</v>
      </c>
      <c r="D126" s="29">
        <f t="shared" si="48"/>
        <v>0</v>
      </c>
      <c r="E126" s="29">
        <f t="shared" si="48"/>
        <v>0</v>
      </c>
      <c r="F126" s="29">
        <f t="shared" si="48"/>
        <v>0</v>
      </c>
      <c r="G126" s="29">
        <f t="shared" si="48"/>
        <v>0</v>
      </c>
      <c r="H126" s="29">
        <f t="shared" si="48"/>
        <v>0</v>
      </c>
      <c r="I126" s="29">
        <f t="shared" si="48"/>
        <v>0</v>
      </c>
      <c r="J126" s="29">
        <f t="shared" si="48"/>
        <v>0</v>
      </c>
      <c r="K126" s="29">
        <f t="shared" si="48"/>
        <v>0</v>
      </c>
      <c r="L126" s="29">
        <f t="shared" si="48"/>
        <v>0</v>
      </c>
      <c r="M126" s="29">
        <f t="shared" si="48"/>
        <v>0</v>
      </c>
      <c r="N126" s="29">
        <f t="shared" si="48"/>
        <v>0</v>
      </c>
      <c r="O126" s="29">
        <f t="shared" si="48"/>
        <v>0</v>
      </c>
    </row>
    <row r="127" spans="1:15" ht="12.75">
      <c r="A127" s="6" t="s">
        <v>55</v>
      </c>
      <c r="B127" s="29">
        <f aca="true" t="shared" si="49" ref="B127:O127">B$120*B9*B$13</f>
        <v>0</v>
      </c>
      <c r="C127" s="29">
        <f t="shared" si="49"/>
        <v>0</v>
      </c>
      <c r="D127" s="29">
        <f t="shared" si="49"/>
        <v>0</v>
      </c>
      <c r="E127" s="29">
        <f t="shared" si="49"/>
        <v>0</v>
      </c>
      <c r="F127" s="29">
        <f t="shared" si="49"/>
        <v>0</v>
      </c>
      <c r="G127" s="29">
        <f t="shared" si="49"/>
        <v>0</v>
      </c>
      <c r="H127" s="29">
        <f t="shared" si="49"/>
        <v>0</v>
      </c>
      <c r="I127" s="29">
        <f t="shared" si="49"/>
        <v>0</v>
      </c>
      <c r="J127" s="29">
        <f t="shared" si="49"/>
        <v>0</v>
      </c>
      <c r="K127" s="29">
        <f t="shared" si="49"/>
        <v>0</v>
      </c>
      <c r="L127" s="29">
        <f t="shared" si="49"/>
        <v>0</v>
      </c>
      <c r="M127" s="29">
        <f t="shared" si="49"/>
        <v>0</v>
      </c>
      <c r="N127" s="29">
        <f t="shared" si="49"/>
        <v>0</v>
      </c>
      <c r="O127" s="29">
        <f t="shared" si="49"/>
        <v>0</v>
      </c>
    </row>
    <row r="128" spans="1:15" ht="12.75">
      <c r="A128" s="6" t="s">
        <v>56</v>
      </c>
      <c r="B128" s="29">
        <f aca="true" t="shared" si="50" ref="B128:O128">B$120*B10*B$13</f>
        <v>0</v>
      </c>
      <c r="C128" s="29">
        <f t="shared" si="50"/>
        <v>0</v>
      </c>
      <c r="D128" s="29">
        <f t="shared" si="50"/>
        <v>0</v>
      </c>
      <c r="E128" s="29">
        <f t="shared" si="50"/>
        <v>0</v>
      </c>
      <c r="F128" s="29">
        <f t="shared" si="50"/>
        <v>0</v>
      </c>
      <c r="G128" s="29">
        <f t="shared" si="50"/>
        <v>0</v>
      </c>
      <c r="H128" s="29">
        <f t="shared" si="50"/>
        <v>0</v>
      </c>
      <c r="I128" s="29">
        <f t="shared" si="50"/>
        <v>0</v>
      </c>
      <c r="J128" s="29">
        <f t="shared" si="50"/>
        <v>0</v>
      </c>
      <c r="K128" s="29">
        <f t="shared" si="50"/>
        <v>0</v>
      </c>
      <c r="L128" s="29">
        <f t="shared" si="50"/>
        <v>0</v>
      </c>
      <c r="M128" s="29">
        <f t="shared" si="50"/>
        <v>0</v>
      </c>
      <c r="N128" s="29">
        <f t="shared" si="50"/>
        <v>0</v>
      </c>
      <c r="O128" s="29">
        <f t="shared" si="50"/>
        <v>0</v>
      </c>
    </row>
    <row r="129" spans="1:15" ht="12.75">
      <c r="A129" s="6" t="s">
        <v>57</v>
      </c>
      <c r="B129" s="29">
        <f aca="true" t="shared" si="51" ref="B129:O129">B$120*B11*B$13</f>
        <v>0</v>
      </c>
      <c r="C129" s="29">
        <f t="shared" si="51"/>
        <v>0</v>
      </c>
      <c r="D129" s="29">
        <f t="shared" si="51"/>
        <v>0</v>
      </c>
      <c r="E129" s="29">
        <f t="shared" si="51"/>
        <v>0</v>
      </c>
      <c r="F129" s="29">
        <f t="shared" si="51"/>
        <v>0</v>
      </c>
      <c r="G129" s="29">
        <f t="shared" si="51"/>
        <v>0</v>
      </c>
      <c r="H129" s="29">
        <f t="shared" si="51"/>
        <v>0</v>
      </c>
      <c r="I129" s="29">
        <f t="shared" si="51"/>
        <v>0</v>
      </c>
      <c r="J129" s="29">
        <f t="shared" si="51"/>
        <v>0</v>
      </c>
      <c r="K129" s="29">
        <f t="shared" si="51"/>
        <v>0</v>
      </c>
      <c r="L129" s="29">
        <f t="shared" si="51"/>
        <v>0</v>
      </c>
      <c r="M129" s="29">
        <f t="shared" si="51"/>
        <v>0</v>
      </c>
      <c r="N129" s="29">
        <f t="shared" si="51"/>
        <v>0</v>
      </c>
      <c r="O129" s="29">
        <f t="shared" si="51"/>
        <v>0</v>
      </c>
    </row>
    <row r="130" spans="1:15" ht="12.75">
      <c r="A130" s="6" t="s">
        <v>79</v>
      </c>
      <c r="B130" s="29">
        <f aca="true" t="shared" si="52" ref="B130:O130">B$120*B12*B$13</f>
        <v>0</v>
      </c>
      <c r="C130" s="29">
        <f t="shared" si="52"/>
        <v>0</v>
      </c>
      <c r="D130" s="29">
        <f t="shared" si="52"/>
        <v>0</v>
      </c>
      <c r="E130" s="29">
        <f t="shared" si="52"/>
        <v>0</v>
      </c>
      <c r="F130" s="29">
        <f t="shared" si="52"/>
        <v>0</v>
      </c>
      <c r="G130" s="29">
        <f t="shared" si="52"/>
        <v>0</v>
      </c>
      <c r="H130" s="29">
        <f t="shared" si="52"/>
        <v>0</v>
      </c>
      <c r="I130" s="29">
        <f t="shared" si="52"/>
        <v>0</v>
      </c>
      <c r="J130" s="29">
        <f t="shared" si="52"/>
        <v>0</v>
      </c>
      <c r="K130" s="29">
        <f t="shared" si="52"/>
        <v>0</v>
      </c>
      <c r="L130" s="29">
        <f t="shared" si="52"/>
        <v>0</v>
      </c>
      <c r="M130" s="29">
        <f t="shared" si="52"/>
        <v>0</v>
      </c>
      <c r="N130" s="29">
        <f t="shared" si="52"/>
        <v>0</v>
      </c>
      <c r="O130" s="29">
        <f t="shared" si="52"/>
        <v>0</v>
      </c>
    </row>
  </sheetData>
  <printOptions/>
  <pageMargins left="0.75" right="0.75" top="1" bottom="1" header="0.5" footer="0.5"/>
  <pageSetup fitToHeight="0" fitToWidth="1" horizontalDpi="600" verticalDpi="600" orientation="landscape" paperSize="5" scale="77" r:id="rId1"/>
  <rowBreaks count="2" manualBreakCount="2">
    <brk id="43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daclark</dc:creator>
  <cp:keywords/>
  <dc:description>Based on "Appendix B Facility-wide HAPs.11-17-2005.xls" which was used for PSD permit application. AP-42 metals added to diesel engines, flares, and combustion devices.</dc:description>
  <cp:lastModifiedBy>LGertler</cp:lastModifiedBy>
  <cp:lastPrinted>2006-11-28T16:47:58Z</cp:lastPrinted>
  <dcterms:created xsi:type="dcterms:W3CDTF">2002-09-12T12:48:11Z</dcterms:created>
  <dcterms:modified xsi:type="dcterms:W3CDTF">2006-12-20T21:29:49Z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