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576" yWindow="3540" windowWidth="12120" windowHeight="6780" tabRatio="630" activeTab="6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</sheets>
  <definedNames/>
  <calcPr fullCalcOnLoad="1"/>
</workbook>
</file>

<file path=xl/sharedStrings.xml><?xml version="1.0" encoding="utf-8"?>
<sst xmlns="http://schemas.openxmlformats.org/spreadsheetml/2006/main" count="673" uniqueCount="207">
  <si>
    <t>Stack Gas Emissions</t>
  </si>
  <si>
    <t>HW</t>
  </si>
  <si>
    <t>PM</t>
  </si>
  <si>
    <t>HCl</t>
  </si>
  <si>
    <t>Cl2</t>
  </si>
  <si>
    <t>SVM</t>
  </si>
  <si>
    <t>LVM</t>
  </si>
  <si>
    <t>DRE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</si>
  <si>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</si>
  <si>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</si>
  <si>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</si>
  <si>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</si>
  <si>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</si>
  <si>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</si>
  <si>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</si>
  <si>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</si>
  <si>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</si>
  <si>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</si>
  <si>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</si>
  <si>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LAD008187080</t>
  </si>
  <si>
    <t>Facility Name</t>
  </si>
  <si>
    <t>Dow Chemical Co.</t>
  </si>
  <si>
    <t>Facility Location</t>
  </si>
  <si>
    <t>Plaquemine</t>
  </si>
  <si>
    <t>LA</t>
  </si>
  <si>
    <t>Unit ID Name/No.</t>
  </si>
  <si>
    <t>R-4</t>
  </si>
  <si>
    <t>Other Sister Facilities</t>
  </si>
  <si>
    <t>Combustor Characteristics</t>
  </si>
  <si>
    <t>APCS Characteristics</t>
  </si>
  <si>
    <t>Liquid/gaseous wastes (propylene dichloride plant wastes, crude PDC)</t>
  </si>
  <si>
    <t>Natural gas</t>
  </si>
  <si>
    <t>Stack Characteristics</t>
  </si>
  <si>
    <t>Tier I for all metals</t>
  </si>
  <si>
    <t xml:space="preserve">     Report Name/Date</t>
  </si>
  <si>
    <t>Trial Burn Report, Glycol I Plant, Industrial Boiler R-4, Dow Chem., Louisiana Operations, Volume 1: Report, December 12, 1997</t>
  </si>
  <si>
    <t xml:space="preserve">     Report Prepar</t>
  </si>
  <si>
    <t>Radian International</t>
  </si>
  <si>
    <t xml:space="preserve">     Testing Firm</t>
  </si>
  <si>
    <t xml:space="preserve">     Testing Dates</t>
  </si>
  <si>
    <t xml:space="preserve">     Content</t>
  </si>
  <si>
    <t>PM, HCl/Cl2, DRE, CO</t>
  </si>
  <si>
    <t>Organics, PCDD/PCDF</t>
  </si>
  <si>
    <t>Units</t>
  </si>
  <si>
    <t>Run</t>
  </si>
  <si>
    <t>Cond Avg</t>
  </si>
  <si>
    <t>y</t>
  </si>
  <si>
    <t>n</t>
  </si>
  <si>
    <t xml:space="preserve">   Stack Gas Flowrate</t>
  </si>
  <si>
    <t xml:space="preserve">   Temperature</t>
  </si>
  <si>
    <t>POHC DRE</t>
  </si>
  <si>
    <t>Liq waste</t>
  </si>
  <si>
    <t>lb/hr</t>
  </si>
  <si>
    <t>Btulb</t>
  </si>
  <si>
    <t>actual waste</t>
  </si>
  <si>
    <t>Chlorine</t>
  </si>
  <si>
    <t>Stack Gas Flowrate</t>
  </si>
  <si>
    <t>Btu/lb</t>
  </si>
  <si>
    <t>nd</t>
  </si>
  <si>
    <t>mg/L</t>
  </si>
  <si>
    <t>Process Information</t>
  </si>
  <si>
    <t>Avg</t>
  </si>
  <si>
    <t>2002C1</t>
  </si>
  <si>
    <t>First Pass Boiler Temp.</t>
  </si>
  <si>
    <t>Steam Production Rate</t>
  </si>
  <si>
    <t>2002C2</t>
  </si>
  <si>
    <t>2002C3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</si>
  <si>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</si>
  <si>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</si>
  <si>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</si>
  <si>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</si>
  <si>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</si>
  <si>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</si>
  <si>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</si>
  <si>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</si>
  <si>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</si>
  <si>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</si>
  <si>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TCDD Other</t>
  </si>
  <si>
    <t>1,2,3,7,8-PCDD</t>
  </si>
  <si>
    <t>PCDD Other</t>
  </si>
  <si>
    <t>1,2,3,4,7,8-HxCDD</t>
  </si>
  <si>
    <t>1,2,3,6,7,8-HxCDD</t>
  </si>
  <si>
    <t>1,2,3,7,8,9-HxCDD</t>
  </si>
  <si>
    <t>HxCDD Other</t>
  </si>
  <si>
    <t>1,2,3,4,6,7,8-HpCDD</t>
  </si>
  <si>
    <t>HpCDD Other</t>
  </si>
  <si>
    <t>OCDD</t>
  </si>
  <si>
    <t>2,3,7,8-TCDF</t>
  </si>
  <si>
    <t>TCDF Other</t>
  </si>
  <si>
    <t>1,2,3,7,8-PCDF</t>
  </si>
  <si>
    <t>2,3,4,7,8-PCDF</t>
  </si>
  <si>
    <t>PCDF Other</t>
  </si>
  <si>
    <t>1,2,3,4,7,8-HxCDF</t>
  </si>
  <si>
    <t>1,2,3,6,7,8-HxCDF</t>
  </si>
  <si>
    <t>2,3,4,6,7,8-HxCDF</t>
  </si>
  <si>
    <t>1,2,3,7,8,9-HxCDF</t>
  </si>
  <si>
    <t>HxCDF Other</t>
  </si>
  <si>
    <t>1,2,3,4,6,7,8-HpCDF</t>
  </si>
  <si>
    <t>1,2,3,4,7,8,9-HpCDF</t>
  </si>
  <si>
    <t>HpCDF Other</t>
  </si>
  <si>
    <t>OCDF</t>
  </si>
  <si>
    <t>Gas sample volume (dscf)</t>
  </si>
  <si>
    <t>O2 (%)</t>
  </si>
  <si>
    <t>PCDD/PCDF (ng in sample)</t>
  </si>
  <si>
    <t>PCDD/PCDF (ng/dscm @ 7% O2)</t>
  </si>
  <si>
    <t>Permitting Status</t>
  </si>
  <si>
    <t>August 11-13, 1997</t>
  </si>
  <si>
    <t>Estimated Firing Rate</t>
  </si>
  <si>
    <t>MMBtu/hr</t>
  </si>
  <si>
    <t>ug/dscm</t>
  </si>
  <si>
    <t>assumes density of liquid waste is 1 g/mL</t>
  </si>
  <si>
    <t>Multi pass firetube boiler</t>
  </si>
  <si>
    <t>Liq</t>
  </si>
  <si>
    <t>Risk burn; normal op cond</t>
  </si>
  <si>
    <t>Trial burn; max waste feedrates (Cr, ash spiking), steam prod rate, min L/G</t>
  </si>
  <si>
    <t>Trial burn; min comb chamber temperature</t>
  </si>
  <si>
    <t>1/2 ND</t>
  </si>
  <si>
    <t>TEQ Cond Avg</t>
  </si>
  <si>
    <t>PCDD/PCDF</t>
  </si>
  <si>
    <t>Feedstreams</t>
  </si>
  <si>
    <t>Capacity (MMBtu/hr)</t>
  </si>
  <si>
    <t>None</t>
  </si>
  <si>
    <t>Hazardous Wastes</t>
  </si>
  <si>
    <t>Supplemental Fuel</t>
  </si>
  <si>
    <t>Feedrate MTEC Calculations</t>
  </si>
  <si>
    <t>Phase II ID No.</t>
  </si>
  <si>
    <t>7% O2</t>
  </si>
  <si>
    <t>1,2-Dichloropropane</t>
  </si>
  <si>
    <t>Chlorobenzene</t>
  </si>
  <si>
    <t xml:space="preserve">     Cond Description</t>
  </si>
  <si>
    <t>Source Description</t>
  </si>
  <si>
    <t>?</t>
  </si>
  <si>
    <t xml:space="preserve">    City</t>
  </si>
  <si>
    <t xml:space="preserve">    State</t>
  </si>
  <si>
    <t>Soot Blowing</t>
  </si>
  <si>
    <t>Haz Waste Description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</si>
  <si>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</si>
  <si>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</si>
  <si>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</si>
  <si>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</si>
  <si>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</si>
  <si>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(min comb temp)</t>
  </si>
  <si>
    <t>PM, HCl/Cl2</t>
  </si>
  <si>
    <t>(max feed, prod. rates)</t>
  </si>
  <si>
    <t>(normal risk burn)</t>
  </si>
  <si>
    <t>POHC Feedrate</t>
  </si>
  <si>
    <t xml:space="preserve">   O2</t>
  </si>
  <si>
    <t xml:space="preserve">   Moisture</t>
  </si>
  <si>
    <t>Emissions Rate</t>
  </si>
  <si>
    <t>Total Chlorine</t>
  </si>
  <si>
    <t>CO (RA)</t>
  </si>
  <si>
    <t>CO (MHRA)</t>
  </si>
  <si>
    <t>Sampling Train</t>
  </si>
  <si>
    <t>Arsenic</t>
  </si>
  <si>
    <t>Beryllium</t>
  </si>
  <si>
    <t>Antimony</t>
  </si>
  <si>
    <t>Lead</t>
  </si>
  <si>
    <t>Nickel</t>
  </si>
  <si>
    <t>Cadmium</t>
  </si>
  <si>
    <t>Chromium</t>
  </si>
  <si>
    <t xml:space="preserve">2002C1 </t>
  </si>
  <si>
    <t>(max oper cond)</t>
  </si>
  <si>
    <t xml:space="preserve">2002C3 </t>
  </si>
  <si>
    <t>(risk burn normal conditions)</t>
  </si>
  <si>
    <t>*</t>
  </si>
  <si>
    <t>Thermal Feedrate</t>
  </si>
  <si>
    <t>Mercury</t>
  </si>
  <si>
    <t>Feed Rate</t>
  </si>
  <si>
    <t>Feedstream Description</t>
  </si>
  <si>
    <t>HWC Burn Status (Date if Terminated)</t>
  </si>
  <si>
    <t>R1</t>
  </si>
  <si>
    <t>R2</t>
  </si>
  <si>
    <t>R3</t>
  </si>
  <si>
    <t xml:space="preserve">     Cond Dates</t>
  </si>
  <si>
    <t>Liquid-fired boiler</t>
  </si>
  <si>
    <t>Cond Description</t>
  </si>
  <si>
    <t>Feedstream Number</t>
  </si>
  <si>
    <t>Feed Class</t>
  </si>
  <si>
    <t>Liq HW</t>
  </si>
  <si>
    <t>E1</t>
  </si>
  <si>
    <t>Number of Sister Facilities</t>
  </si>
  <si>
    <t>Combustor Class</t>
  </si>
  <si>
    <t>Combustor Type</t>
  </si>
  <si>
    <t>APCS Detailed Acronym</t>
  </si>
  <si>
    <t>APCS General Class</t>
  </si>
  <si>
    <t>Selenium</t>
  </si>
  <si>
    <t>source</t>
  </si>
  <si>
    <t>cond</t>
  </si>
  <si>
    <t>emiss</t>
  </si>
  <si>
    <t>feed</t>
  </si>
  <si>
    <t>process</t>
  </si>
  <si>
    <t>Liquid-fired</t>
  </si>
  <si>
    <t>F1</t>
  </si>
  <si>
    <t>F2</t>
  </si>
  <si>
    <t>F3</t>
  </si>
  <si>
    <t>Heating Value</t>
  </si>
  <si>
    <t>Feed Class 2</t>
  </si>
  <si>
    <t>Full ND</t>
  </si>
  <si>
    <t>df c3</t>
  </si>
  <si>
    <t xml:space="preserve">Q/HClABS/CWS </t>
  </si>
  <si>
    <t>WQ, LEWS</t>
  </si>
  <si>
    <t>Quench, HCl absorber, Cl2 wet scrubber.Water in HCl absorber, caustic sodium hydroxide in Cl2 scrubber</t>
  </si>
  <si>
    <t>Condition/Test Date:</t>
  </si>
  <si>
    <t>Dow (Plaquemine LA), Boiler R-4</t>
  </si>
  <si>
    <t>Condition ID:</t>
  </si>
  <si>
    <t>Facility Name and ID:</t>
  </si>
  <si>
    <t>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</si>
</sst>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m\ d\,\ yyyy"/>
    <numFmt numFmtId="168" formatCode="0.00000"/>
    <numFmt numFmtId="169" formatCode="0.00000000"/>
    <numFmt numFmtId="170" formatCode="0.0000000"/>
    <numFmt numFmtId="171" formatCode="0.0000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1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1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/>
    </xf>
    <xf numFmtId="11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" fontId="4" fillId="0" borderId="0" xfId="0" applyNumberFormat="1" applyFont="1" applyAlignment="1">
      <alignment horizontal="left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C12" sqref="C12"/>
    </sheetView>
  </sheetViews>
  <sheetFormatPr defaultColWidth="9.140625" defaultRowHeight="12.75"/>
  <sheetData>
    <row r="1" ht="12.75">
      <c r="A1" t="s">
        <v>186</v>
      </c>
    </row>
    <row r="2" ht="12.75">
      <c r="A2" t="s">
        <v>187</v>
      </c>
    </row>
    <row r="3" ht="12.75">
      <c r="A3" t="s">
        <v>188</v>
      </c>
    </row>
    <row r="4" ht="12.75">
      <c r="A4" t="s">
        <v>189</v>
      </c>
    </row>
    <row r="5" ht="12.75">
      <c r="A5" t="s">
        <v>190</v>
      </c>
    </row>
    <row r="6" ht="12.75">
      <c r="A6" t="s">
        <v>198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workbookViewId="0" topLeftCell="B1">
      <selection activeCell="A2" sqref="A2"/>
    </sheetView>
  </sheetViews>
  <sheetFormatPr defaultColWidth="9.140625" defaultRowHeight="12.75"/>
  <cols>
    <col min="1" max="1" width="9.140625" style="1" hidden="1" customWidth="1"/>
    <col min="2" max="2" width="25.00390625" style="1" customWidth="1"/>
    <col min="3" max="3" width="60.57421875" style="1" customWidth="1"/>
    <col min="4" max="4" width="9.00390625" style="1" customWidth="1"/>
    <col min="5" max="16384" width="11.421875" style="1" customWidth="1"/>
  </cols>
  <sheetData>
    <row r="1" ht="12.75">
      <c r="B1" s="11" t="s">
        <v>130</v>
      </c>
    </row>
    <row r="3" spans="2:3" ht="12.75">
      <c r="B3" s="1" t="s">
        <v>125</v>
      </c>
      <c r="C3" s="3">
        <v>2002</v>
      </c>
    </row>
    <row r="4" spans="2:3" ht="12.75">
      <c r="B4" s="1" t="s">
        <v>18</v>
      </c>
      <c r="C4" s="1" t="s">
        <v>19</v>
      </c>
    </row>
    <row r="5" spans="2:3" ht="12.75">
      <c r="B5" s="1" t="s">
        <v>20</v>
      </c>
      <c r="C5" s="1" t="s">
        <v>21</v>
      </c>
    </row>
    <row r="6" ht="12.75">
      <c r="B6" s="1" t="s">
        <v>22</v>
      </c>
    </row>
    <row r="7" spans="2:3" ht="12.75">
      <c r="B7" s="1" t="s">
        <v>132</v>
      </c>
      <c r="C7" s="1" t="s">
        <v>23</v>
      </c>
    </row>
    <row r="8" spans="2:3" ht="12.75">
      <c r="B8" s="1" t="s">
        <v>133</v>
      </c>
      <c r="C8" s="1" t="s">
        <v>24</v>
      </c>
    </row>
    <row r="9" spans="2:3" ht="12.75">
      <c r="B9" s="1" t="s">
        <v>25</v>
      </c>
      <c r="C9" s="1" t="s">
        <v>26</v>
      </c>
    </row>
    <row r="10" spans="2:3" ht="12.75">
      <c r="B10" s="1" t="s">
        <v>27</v>
      </c>
      <c r="C10" s="1" t="s">
        <v>121</v>
      </c>
    </row>
    <row r="11" spans="2:3" ht="12.75">
      <c r="B11" s="1" t="s">
        <v>180</v>
      </c>
      <c r="C11" s="3">
        <v>0</v>
      </c>
    </row>
    <row r="12" spans="2:3" ht="12.75">
      <c r="B12" s="1" t="s">
        <v>181</v>
      </c>
      <c r="C12" s="1" t="s">
        <v>174</v>
      </c>
    </row>
    <row r="13" spans="2:3" ht="12.75">
      <c r="B13" s="1" t="s">
        <v>182</v>
      </c>
      <c r="C13" s="1" t="s">
        <v>191</v>
      </c>
    </row>
    <row r="14" spans="2:3" ht="12.75">
      <c r="B14" s="1" t="s">
        <v>28</v>
      </c>
      <c r="C14" s="1" t="s">
        <v>111</v>
      </c>
    </row>
    <row r="15" spans="2:3" ht="12.75">
      <c r="B15" s="1" t="s">
        <v>120</v>
      </c>
      <c r="C15" s="3">
        <v>45</v>
      </c>
    </row>
    <row r="16" spans="2:3" ht="12.75">
      <c r="B16" s="1" t="s">
        <v>134</v>
      </c>
      <c r="C16" s="1" t="s">
        <v>131</v>
      </c>
    </row>
    <row r="17" spans="2:3" ht="12.75">
      <c r="B17" s="1" t="s">
        <v>183</v>
      </c>
      <c r="C17" s="1" t="s">
        <v>199</v>
      </c>
    </row>
    <row r="18" spans="2:3" ht="12.75">
      <c r="B18" s="1" t="s">
        <v>184</v>
      </c>
      <c r="C18" s="1" t="s">
        <v>200</v>
      </c>
    </row>
    <row r="19" spans="2:3" ht="25.5">
      <c r="B19" s="1" t="s">
        <v>29</v>
      </c>
      <c r="C19" s="30" t="s">
        <v>201</v>
      </c>
    </row>
    <row r="20" spans="2:3" ht="12.75">
      <c r="B20" s="1" t="s">
        <v>122</v>
      </c>
      <c r="C20" s="1" t="s">
        <v>112</v>
      </c>
    </row>
    <row r="21" spans="2:3" ht="12.75">
      <c r="B21" s="1" t="s">
        <v>135</v>
      </c>
      <c r="C21" s="1" t="s">
        <v>30</v>
      </c>
    </row>
    <row r="22" spans="2:3" ht="12.75">
      <c r="B22" s="1" t="s">
        <v>123</v>
      </c>
      <c r="C22" s="1" t="s">
        <v>31</v>
      </c>
    </row>
    <row r="24" ht="12.75">
      <c r="B24" s="1" t="s">
        <v>32</v>
      </c>
    </row>
    <row r="25" spans="2:3" ht="12.75">
      <c r="B25" s="1" t="s">
        <v>136</v>
      </c>
      <c r="C25" s="3">
        <v>2.5</v>
      </c>
    </row>
    <row r="26" spans="2:3" ht="12.75">
      <c r="B26" s="1" t="s">
        <v>137</v>
      </c>
      <c r="C26" s="3">
        <v>40</v>
      </c>
    </row>
    <row r="27" ht="12.75">
      <c r="B27" s="1" t="s">
        <v>138</v>
      </c>
    </row>
    <row r="28" ht="12.75">
      <c r="B28" s="1" t="s">
        <v>139</v>
      </c>
    </row>
    <row r="30" spans="2:3" ht="12.75">
      <c r="B30" s="1" t="s">
        <v>105</v>
      </c>
      <c r="C30" s="1" t="s">
        <v>33</v>
      </c>
    </row>
    <row r="31" s="30" customFormat="1" ht="25.5">
      <c r="B31" s="30" t="s">
        <v>169</v>
      </c>
    </row>
    <row r="33" s="23" customFormat="1" ht="12.75"/>
    <row r="37" ht="12.75">
      <c r="C37" s="9"/>
    </row>
    <row r="38" ht="12.75">
      <c r="C38" s="28"/>
    </row>
    <row r="42" ht="12.75">
      <c r="C42" s="9"/>
    </row>
    <row r="43" ht="12.75">
      <c r="C43" s="28"/>
    </row>
    <row r="44" s="23" customFormat="1" ht="12.75"/>
    <row r="47" ht="12.75">
      <c r="C47" s="10"/>
    </row>
    <row r="48" ht="12.75">
      <c r="C48" s="2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" sqref="C1"/>
    </sheetView>
  </sheetViews>
  <sheetFormatPr defaultColWidth="9.140625" defaultRowHeight="12.75"/>
  <cols>
    <col min="1" max="1" width="9.140625" style="1" hidden="1" customWidth="1"/>
    <col min="2" max="2" width="21.57421875" style="1" customWidth="1"/>
    <col min="3" max="3" width="57.421875" style="1" customWidth="1"/>
    <col min="4" max="16384" width="9.140625" style="1" customWidth="1"/>
  </cols>
  <sheetData>
    <row r="1" ht="12.75">
      <c r="B1" s="11" t="s">
        <v>175</v>
      </c>
    </row>
    <row r="3" ht="12.75">
      <c r="B3" s="29" t="s">
        <v>62</v>
      </c>
    </row>
    <row r="4" ht="12.75">
      <c r="B4" s="29"/>
    </row>
    <row r="5" spans="2:3" s="23" customFormat="1" ht="25.5">
      <c r="B5" s="23" t="s">
        <v>34</v>
      </c>
      <c r="C5" s="23" t="s">
        <v>35</v>
      </c>
    </row>
    <row r="6" spans="2:3" ht="12.75">
      <c r="B6" s="1" t="s">
        <v>36</v>
      </c>
      <c r="C6" s="1" t="s">
        <v>37</v>
      </c>
    </row>
    <row r="7" spans="2:3" ht="12.75">
      <c r="B7" s="1" t="s">
        <v>38</v>
      </c>
      <c r="C7" s="1" t="s">
        <v>37</v>
      </c>
    </row>
    <row r="8" spans="2:3" ht="12.75">
      <c r="B8" s="1" t="s">
        <v>39</v>
      </c>
      <c r="C8" s="9">
        <v>34193</v>
      </c>
    </row>
    <row r="9" spans="2:3" ht="12.75">
      <c r="B9" s="1" t="s">
        <v>173</v>
      </c>
      <c r="C9" s="28">
        <v>34181</v>
      </c>
    </row>
    <row r="10" spans="2:3" ht="12.75">
      <c r="B10" s="1" t="s">
        <v>129</v>
      </c>
      <c r="C10" s="1" t="s">
        <v>115</v>
      </c>
    </row>
    <row r="11" spans="2:3" ht="12.75">
      <c r="B11" s="1" t="s">
        <v>40</v>
      </c>
      <c r="C11" s="1" t="s">
        <v>41</v>
      </c>
    </row>
    <row r="13" ht="12.75">
      <c r="B13" s="29" t="s">
        <v>65</v>
      </c>
    </row>
    <row r="14" ht="12.75">
      <c r="B14" s="29"/>
    </row>
    <row r="15" spans="2:3" s="23" customFormat="1" ht="25.5">
      <c r="B15" s="23" t="s">
        <v>34</v>
      </c>
      <c r="C15" s="23" t="s">
        <v>35</v>
      </c>
    </row>
    <row r="16" spans="2:3" ht="12.75">
      <c r="B16" s="1" t="s">
        <v>36</v>
      </c>
      <c r="C16" s="1" t="s">
        <v>37</v>
      </c>
    </row>
    <row r="17" spans="2:3" ht="12.75">
      <c r="B17" s="1" t="s">
        <v>38</v>
      </c>
      <c r="C17" s="1" t="s">
        <v>37</v>
      </c>
    </row>
    <row r="18" spans="2:3" ht="12.75">
      <c r="B18" s="1" t="s">
        <v>39</v>
      </c>
      <c r="C18" s="9">
        <v>34194</v>
      </c>
    </row>
    <row r="19" spans="2:3" ht="12.75">
      <c r="B19" s="1" t="s">
        <v>173</v>
      </c>
      <c r="C19" s="28">
        <v>34181</v>
      </c>
    </row>
    <row r="20" spans="2:3" s="23" customFormat="1" ht="25.5">
      <c r="B20" s="23" t="s">
        <v>129</v>
      </c>
      <c r="C20" s="23" t="s">
        <v>114</v>
      </c>
    </row>
    <row r="21" spans="2:3" ht="12.75">
      <c r="B21" s="1" t="s">
        <v>40</v>
      </c>
      <c r="C21" s="1" t="s">
        <v>41</v>
      </c>
    </row>
    <row r="23" ht="12.75">
      <c r="B23" s="29" t="s">
        <v>66</v>
      </c>
    </row>
    <row r="24" ht="12.75">
      <c r="B24" s="29"/>
    </row>
    <row r="25" spans="2:3" s="23" customFormat="1" ht="25.5">
      <c r="B25" s="23" t="s">
        <v>34</v>
      </c>
      <c r="C25" s="23" t="s">
        <v>35</v>
      </c>
    </row>
    <row r="26" spans="2:3" ht="12.75">
      <c r="B26" s="1" t="s">
        <v>36</v>
      </c>
      <c r="C26" s="1" t="s">
        <v>37</v>
      </c>
    </row>
    <row r="27" spans="2:3" ht="12.75">
      <c r="B27" s="1" t="s">
        <v>38</v>
      </c>
      <c r="C27" s="1" t="s">
        <v>37</v>
      </c>
    </row>
    <row r="28" spans="2:3" ht="12.75">
      <c r="B28" s="1" t="s">
        <v>39</v>
      </c>
      <c r="C28" s="10" t="s">
        <v>106</v>
      </c>
    </row>
    <row r="29" spans="2:3" ht="12.75">
      <c r="B29" s="1" t="s">
        <v>173</v>
      </c>
      <c r="C29" s="28">
        <v>34181</v>
      </c>
    </row>
    <row r="30" spans="2:3" ht="12.75">
      <c r="B30" s="1" t="s">
        <v>129</v>
      </c>
      <c r="C30" s="1" t="s">
        <v>113</v>
      </c>
    </row>
    <row r="31" spans="2:3" ht="12.75">
      <c r="B31" s="1" t="s">
        <v>40</v>
      </c>
      <c r="C31" s="1" t="s">
        <v>42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B1">
      <selection activeCell="M80" sqref="M80"/>
    </sheetView>
  </sheetViews>
  <sheetFormatPr defaultColWidth="9.140625" defaultRowHeight="12.75"/>
  <cols>
    <col min="1" max="1" width="3.00390625" style="1" hidden="1" customWidth="1"/>
    <col min="2" max="2" width="18.57421875" style="1" customWidth="1"/>
    <col min="3" max="3" width="7.57421875" style="1" customWidth="1"/>
    <col min="4" max="4" width="9.140625" style="1" customWidth="1"/>
    <col min="5" max="5" width="4.140625" style="1" customWidth="1"/>
    <col min="6" max="6" width="2.421875" style="1" customWidth="1"/>
    <col min="7" max="7" width="8.8515625" style="1" customWidth="1"/>
    <col min="8" max="8" width="2.28125" style="1" customWidth="1"/>
    <col min="9" max="9" width="9.140625" style="1" customWidth="1"/>
    <col min="10" max="10" width="2.7109375" style="1" customWidth="1"/>
    <col min="11" max="11" width="8.7109375" style="1" customWidth="1"/>
    <col min="12" max="12" width="2.7109375" style="1" customWidth="1"/>
    <col min="13" max="15" width="9.8515625" style="1" customWidth="1"/>
    <col min="16" max="16384" width="11.421875" style="1" customWidth="1"/>
  </cols>
  <sheetData>
    <row r="1" spans="2:3" ht="12.75">
      <c r="B1" s="11" t="s">
        <v>0</v>
      </c>
      <c r="C1" s="11"/>
    </row>
    <row r="3" spans="3:15" ht="12.75">
      <c r="C3" s="1" t="s">
        <v>140</v>
      </c>
      <c r="D3" s="1" t="s">
        <v>43</v>
      </c>
      <c r="E3" s="1" t="s">
        <v>126</v>
      </c>
      <c r="G3" s="2"/>
      <c r="H3" s="2"/>
      <c r="I3" s="2"/>
      <c r="J3" s="2"/>
      <c r="K3" s="2"/>
      <c r="L3" s="4"/>
      <c r="O3" s="2"/>
    </row>
    <row r="4" spans="7:12" ht="12.75">
      <c r="G4" s="2"/>
      <c r="H4" s="2"/>
      <c r="I4" s="2"/>
      <c r="J4" s="2"/>
      <c r="K4" s="2"/>
      <c r="L4" s="2"/>
    </row>
    <row r="5" spans="7:12" ht="12.75">
      <c r="G5" s="2"/>
      <c r="H5" s="2"/>
      <c r="I5" s="2"/>
      <c r="J5" s="2"/>
      <c r="K5" s="2"/>
      <c r="L5" s="2"/>
    </row>
    <row r="6" spans="1:13" ht="12.75">
      <c r="A6" s="1">
        <v>1</v>
      </c>
      <c r="B6" s="11" t="s">
        <v>62</v>
      </c>
      <c r="C6" s="11" t="s">
        <v>141</v>
      </c>
      <c r="G6" s="2" t="s">
        <v>170</v>
      </c>
      <c r="H6" s="2"/>
      <c r="I6" s="2" t="s">
        <v>171</v>
      </c>
      <c r="J6" s="2"/>
      <c r="K6" s="2" t="s">
        <v>172</v>
      </c>
      <c r="L6" s="2"/>
      <c r="M6" s="2" t="s">
        <v>45</v>
      </c>
    </row>
    <row r="7" spans="2:12" ht="12.75" customHeight="1">
      <c r="B7" s="11"/>
      <c r="C7" s="11"/>
      <c r="G7" s="2"/>
      <c r="H7" s="2"/>
      <c r="I7" s="2"/>
      <c r="J7" s="2"/>
      <c r="K7" s="2"/>
      <c r="L7" s="2"/>
    </row>
    <row r="8" spans="2:13" ht="12.75">
      <c r="B8" s="1" t="s">
        <v>2</v>
      </c>
      <c r="C8" s="1" t="s">
        <v>179</v>
      </c>
      <c r="D8" s="1" t="s">
        <v>10</v>
      </c>
      <c r="E8" s="1" t="s">
        <v>46</v>
      </c>
      <c r="G8" s="1">
        <v>0.0018</v>
      </c>
      <c r="I8" s="1">
        <v>0.00016</v>
      </c>
      <c r="K8" s="1">
        <v>0.0014</v>
      </c>
      <c r="M8" s="6">
        <f>AVERAGE(G8,I8,K8)</f>
        <v>0.0011200000000000001</v>
      </c>
    </row>
    <row r="9" spans="2:13" ht="12.75">
      <c r="B9" s="1" t="s">
        <v>151</v>
      </c>
      <c r="C9" s="1" t="s">
        <v>179</v>
      </c>
      <c r="D9" s="1" t="s">
        <v>11</v>
      </c>
      <c r="E9" s="1" t="s">
        <v>46</v>
      </c>
      <c r="G9" s="1">
        <v>12.7</v>
      </c>
      <c r="I9" s="1">
        <v>12.2</v>
      </c>
      <c r="K9" s="1">
        <v>15.4</v>
      </c>
      <c r="M9" s="5">
        <f>AVERAGE(G9,I9,K9)</f>
        <v>13.433333333333332</v>
      </c>
    </row>
    <row r="10" spans="2:13" ht="12.75">
      <c r="B10" s="1" t="s">
        <v>150</v>
      </c>
      <c r="C10" s="1" t="s">
        <v>179</v>
      </c>
      <c r="D10" s="1" t="s">
        <v>11</v>
      </c>
      <c r="E10" s="1" t="s">
        <v>46</v>
      </c>
      <c r="G10" s="1">
        <v>11.5</v>
      </c>
      <c r="I10" s="1">
        <v>10.2</v>
      </c>
      <c r="K10" s="1">
        <v>13.9</v>
      </c>
      <c r="M10" s="5">
        <f>AVERAGE(G10,I10,K10)</f>
        <v>11.866666666666667</v>
      </c>
    </row>
    <row r="11" spans="2:11" ht="12.75">
      <c r="B11" s="1" t="s">
        <v>3</v>
      </c>
      <c r="D11" s="1" t="s">
        <v>12</v>
      </c>
      <c r="E11" s="1" t="s">
        <v>47</v>
      </c>
      <c r="G11" s="1">
        <v>835</v>
      </c>
      <c r="I11" s="1">
        <v>165</v>
      </c>
      <c r="K11" s="1">
        <v>141</v>
      </c>
    </row>
    <row r="12" spans="2:11" ht="12.75">
      <c r="B12" s="1" t="s">
        <v>4</v>
      </c>
      <c r="D12" s="1" t="s">
        <v>12</v>
      </c>
      <c r="E12" s="1" t="s">
        <v>47</v>
      </c>
      <c r="G12" s="1">
        <v>19238</v>
      </c>
      <c r="I12" s="1">
        <v>450</v>
      </c>
      <c r="K12" s="1">
        <v>402</v>
      </c>
    </row>
    <row r="13" ht="12.75" customHeight="1"/>
    <row r="14" spans="2:3" ht="12.75">
      <c r="B14" s="1" t="s">
        <v>50</v>
      </c>
      <c r="C14" s="1" t="s">
        <v>127</v>
      </c>
    </row>
    <row r="15" spans="2:11" ht="12.75">
      <c r="B15" s="1" t="s">
        <v>145</v>
      </c>
      <c r="D15" s="1" t="s">
        <v>52</v>
      </c>
      <c r="G15" s="1">
        <v>473.6</v>
      </c>
      <c r="I15" s="1">
        <v>524.3</v>
      </c>
      <c r="K15" s="1">
        <v>513.9</v>
      </c>
    </row>
    <row r="16" spans="2:11" ht="12.75">
      <c r="B16" s="1" t="s">
        <v>148</v>
      </c>
      <c r="D16" s="1" t="s">
        <v>52</v>
      </c>
      <c r="G16" s="1">
        <f>(100-G17)/100*G15</f>
        <v>0.000947200000031444</v>
      </c>
      <c r="I16" s="1">
        <f>(100-I17)/100*I15</f>
        <v>0.0010486000000348098</v>
      </c>
      <c r="K16" s="1">
        <f>(100-K17)/100*K15</f>
        <v>0.0010278000000341196</v>
      </c>
    </row>
    <row r="17" spans="2:11" ht="12.75">
      <c r="B17" s="1" t="s">
        <v>7</v>
      </c>
      <c r="C17" s="1" t="s">
        <v>179</v>
      </c>
      <c r="D17" s="1" t="s">
        <v>16</v>
      </c>
      <c r="G17" s="1">
        <v>99.9998</v>
      </c>
      <c r="I17" s="1">
        <v>99.9998</v>
      </c>
      <c r="K17" s="1">
        <v>99.9998</v>
      </c>
    </row>
    <row r="19" spans="2:3" ht="12.75">
      <c r="B19" s="1" t="s">
        <v>50</v>
      </c>
      <c r="C19" s="1" t="s">
        <v>128</v>
      </c>
    </row>
    <row r="20" spans="2:11" ht="12.75">
      <c r="B20" s="1" t="s">
        <v>145</v>
      </c>
      <c r="D20" s="1" t="s">
        <v>52</v>
      </c>
      <c r="G20" s="1">
        <v>126</v>
      </c>
      <c r="I20" s="1">
        <v>126</v>
      </c>
      <c r="K20" s="1">
        <v>126</v>
      </c>
    </row>
    <row r="21" spans="2:11" ht="12.75">
      <c r="B21" s="1" t="s">
        <v>148</v>
      </c>
      <c r="D21" s="1" t="s">
        <v>52</v>
      </c>
      <c r="G21" s="1">
        <f>(100-G22)/100*G20</f>
        <v>0.0005039999999988254</v>
      </c>
      <c r="I21" s="1">
        <f>(100-I22)/100*I20</f>
        <v>0.0003779999999946426</v>
      </c>
      <c r="K21" s="1">
        <f>(100-K22)/100*K20</f>
        <v>0.0005039999999988254</v>
      </c>
    </row>
    <row r="22" spans="2:11" ht="12.75">
      <c r="B22" s="1" t="s">
        <v>7</v>
      </c>
      <c r="C22" s="1" t="s">
        <v>179</v>
      </c>
      <c r="D22" s="1" t="s">
        <v>16</v>
      </c>
      <c r="G22" s="1">
        <v>99.9996</v>
      </c>
      <c r="I22" s="1">
        <v>99.9997</v>
      </c>
      <c r="K22" s="1">
        <v>99.9996</v>
      </c>
    </row>
    <row r="24" spans="2:4" ht="12" customHeight="1">
      <c r="B24" s="1" t="s">
        <v>152</v>
      </c>
      <c r="C24" s="1" t="s">
        <v>142</v>
      </c>
      <c r="D24" s="1" t="s">
        <v>179</v>
      </c>
    </row>
    <row r="25" spans="2:13" ht="12.75">
      <c r="B25" s="1" t="s">
        <v>48</v>
      </c>
      <c r="D25" s="1" t="s">
        <v>15</v>
      </c>
      <c r="G25" s="1">
        <v>5846</v>
      </c>
      <c r="I25" s="1">
        <v>5533</v>
      </c>
      <c r="K25" s="1">
        <v>5776</v>
      </c>
      <c r="M25" s="5">
        <f>AVERAGE(G25,I25,K25)</f>
        <v>5718.333333333333</v>
      </c>
    </row>
    <row r="26" spans="2:13" ht="12.75">
      <c r="B26" s="1" t="s">
        <v>146</v>
      </c>
      <c r="D26" s="1" t="s">
        <v>16</v>
      </c>
      <c r="G26" s="1">
        <v>11.6</v>
      </c>
      <c r="I26" s="1">
        <v>11.3</v>
      </c>
      <c r="K26" s="1">
        <v>11.5</v>
      </c>
      <c r="M26" s="5">
        <f>AVERAGE(G26,I26,K26)</f>
        <v>11.466666666666667</v>
      </c>
    </row>
    <row r="27" spans="2:13" ht="12.75">
      <c r="B27" s="1" t="s">
        <v>147</v>
      </c>
      <c r="D27" s="1" t="s">
        <v>16</v>
      </c>
      <c r="G27" s="1">
        <v>8.3</v>
      </c>
      <c r="I27" s="1">
        <v>8.8</v>
      </c>
      <c r="K27" s="1">
        <v>8.3</v>
      </c>
      <c r="M27" s="5">
        <f>AVERAGE(G27,I27,K27)</f>
        <v>8.466666666666667</v>
      </c>
    </row>
    <row r="28" spans="2:13" ht="12.75">
      <c r="B28" s="1" t="s">
        <v>49</v>
      </c>
      <c r="D28" s="1" t="s">
        <v>17</v>
      </c>
      <c r="G28" s="1">
        <v>115</v>
      </c>
      <c r="I28" s="1">
        <v>117</v>
      </c>
      <c r="K28" s="1">
        <v>115</v>
      </c>
      <c r="M28" s="5">
        <f>AVERAGE(G28,I28,K28)</f>
        <v>115.66666666666667</v>
      </c>
    </row>
    <row r="30" spans="2:13" ht="12.75">
      <c r="B30" s="1" t="s">
        <v>3</v>
      </c>
      <c r="C30" s="1" t="s">
        <v>179</v>
      </c>
      <c r="D30" s="1" t="s">
        <v>11</v>
      </c>
      <c r="E30" s="1" t="s">
        <v>46</v>
      </c>
      <c r="G30" s="7">
        <f>G11/1000000*667.8*(21-7)/(21-G26)</f>
        <v>0.8304874468085107</v>
      </c>
      <c r="I30" s="7">
        <f>I11/1000000*667.8*(21-7)/(21-I26)</f>
        <v>0.15903278350515462</v>
      </c>
      <c r="K30" s="7">
        <f>K11/1000000*667.8*(21-7)/(21-K26)</f>
        <v>0.13876181052631578</v>
      </c>
      <c r="M30" s="7">
        <f>AVERAGE(G30,I30,K30)</f>
        <v>0.37609401361332706</v>
      </c>
    </row>
    <row r="31" spans="2:13" ht="12.75">
      <c r="B31" s="1" t="s">
        <v>4</v>
      </c>
      <c r="C31" s="1" t="s">
        <v>179</v>
      </c>
      <c r="D31" s="1" t="s">
        <v>11</v>
      </c>
      <c r="E31" s="1" t="s">
        <v>46</v>
      </c>
      <c r="G31" s="7">
        <f>G12/1000000*343.4*(21-7)/(21-G26)</f>
        <v>9.83921370212766</v>
      </c>
      <c r="I31" s="7">
        <f>I12/1000000*343.4*(21-7)/(21-I26)</f>
        <v>0.2230329896907216</v>
      </c>
      <c r="K31" s="7">
        <f>K12/1000000*343.4*(21-7)/(21-K26)</f>
        <v>0.2034373894736842</v>
      </c>
      <c r="M31" s="7">
        <f>AVERAGE(G31,I31,K31)</f>
        <v>3.421894693764022</v>
      </c>
    </row>
    <row r="32" spans="2:13" ht="12.75">
      <c r="B32" s="1" t="s">
        <v>149</v>
      </c>
      <c r="C32" s="1" t="s">
        <v>179</v>
      </c>
      <c r="D32" s="1" t="s">
        <v>11</v>
      </c>
      <c r="E32" s="1" t="s">
        <v>46</v>
      </c>
      <c r="G32" s="7">
        <f>G30+2*G31</f>
        <v>20.50891485106383</v>
      </c>
      <c r="I32" s="7">
        <f>I30+2*I31</f>
        <v>0.6050987628865978</v>
      </c>
      <c r="K32" s="7">
        <f>K30+2*K31</f>
        <v>0.5456365894736842</v>
      </c>
      <c r="M32" s="7">
        <f>AVERAGE(G32,I32,K32)</f>
        <v>7.219883401141371</v>
      </c>
    </row>
    <row r="33" ht="12.75" customHeight="1"/>
    <row r="34" spans="1:13" ht="12.75" customHeight="1">
      <c r="A34" s="1">
        <v>2</v>
      </c>
      <c r="B34" s="11" t="s">
        <v>65</v>
      </c>
      <c r="C34" s="11" t="s">
        <v>143</v>
      </c>
      <c r="G34" s="2" t="s">
        <v>170</v>
      </c>
      <c r="H34" s="2"/>
      <c r="I34" s="2" t="s">
        <v>171</v>
      </c>
      <c r="J34" s="2"/>
      <c r="K34" s="2" t="s">
        <v>172</v>
      </c>
      <c r="L34" s="2"/>
      <c r="M34" s="2" t="s">
        <v>45</v>
      </c>
    </row>
    <row r="35" ht="12.75" customHeight="1"/>
    <row r="36" spans="2:13" ht="12.75">
      <c r="B36" s="1" t="s">
        <v>2</v>
      </c>
      <c r="C36" s="1" t="s">
        <v>179</v>
      </c>
      <c r="D36" s="1" t="s">
        <v>10</v>
      </c>
      <c r="E36" s="1" t="s">
        <v>46</v>
      </c>
      <c r="G36" s="1">
        <v>0.0055</v>
      </c>
      <c r="I36" s="1">
        <v>0.006</v>
      </c>
      <c r="K36" s="1">
        <v>0.0084</v>
      </c>
      <c r="M36" s="6">
        <f>AVERAGE(G36,I36,K36)</f>
        <v>0.006633333333333334</v>
      </c>
    </row>
    <row r="37" spans="2:13" ht="12.75">
      <c r="B37" s="1" t="s">
        <v>151</v>
      </c>
      <c r="C37" s="1" t="s">
        <v>179</v>
      </c>
      <c r="D37" s="1" t="s">
        <v>11</v>
      </c>
      <c r="E37" s="1" t="s">
        <v>46</v>
      </c>
      <c r="G37" s="1">
        <v>20.7</v>
      </c>
      <c r="I37" s="1">
        <v>19.9</v>
      </c>
      <c r="K37" s="1">
        <v>16.1</v>
      </c>
      <c r="M37" s="5">
        <f>AVERAGE(G37,I37,K37)</f>
        <v>18.9</v>
      </c>
    </row>
    <row r="38" spans="2:13" ht="12.75">
      <c r="B38" s="1" t="s">
        <v>150</v>
      </c>
      <c r="C38" s="1" t="s">
        <v>179</v>
      </c>
      <c r="D38" s="1" t="s">
        <v>11</v>
      </c>
      <c r="E38" s="1" t="s">
        <v>46</v>
      </c>
      <c r="G38" s="1">
        <v>19</v>
      </c>
      <c r="I38" s="1">
        <v>18.1</v>
      </c>
      <c r="K38" s="1">
        <v>14.1</v>
      </c>
      <c r="M38" s="5">
        <f>AVERAGE(G38,I38,K38)</f>
        <v>17.066666666666666</v>
      </c>
    </row>
    <row r="39" spans="2:11" ht="12.75">
      <c r="B39" s="1" t="s">
        <v>3</v>
      </c>
      <c r="D39" s="1" t="s">
        <v>12</v>
      </c>
      <c r="E39" s="1" t="s">
        <v>47</v>
      </c>
      <c r="G39" s="1">
        <v>4675</v>
      </c>
      <c r="I39" s="1">
        <v>4026</v>
      </c>
      <c r="K39" s="1">
        <v>4437</v>
      </c>
    </row>
    <row r="40" spans="2:11" ht="12.75">
      <c r="B40" s="1" t="s">
        <v>4</v>
      </c>
      <c r="D40" s="1" t="s">
        <v>12</v>
      </c>
      <c r="E40" s="1" t="s">
        <v>47</v>
      </c>
      <c r="G40" s="1">
        <v>536</v>
      </c>
      <c r="I40" s="1">
        <v>444</v>
      </c>
      <c r="K40" s="1">
        <v>438</v>
      </c>
    </row>
    <row r="41" ht="12.75" customHeight="1"/>
    <row r="42" spans="2:3" ht="12.75">
      <c r="B42" s="1" t="s">
        <v>50</v>
      </c>
      <c r="C42" s="1" t="s">
        <v>127</v>
      </c>
    </row>
    <row r="43" spans="2:11" ht="12.75">
      <c r="B43" s="1" t="s">
        <v>145</v>
      </c>
      <c r="D43" s="1" t="s">
        <v>52</v>
      </c>
      <c r="G43" s="1">
        <v>1716</v>
      </c>
      <c r="I43" s="1">
        <v>1671</v>
      </c>
      <c r="K43" s="1">
        <v>1588</v>
      </c>
    </row>
    <row r="44" spans="2:11" ht="12.75">
      <c r="B44" s="1" t="s">
        <v>148</v>
      </c>
      <c r="D44" s="1" t="s">
        <v>52</v>
      </c>
      <c r="G44" s="1">
        <f>(100-G45)/100*G43</f>
        <v>0.005147999999927037</v>
      </c>
      <c r="I44" s="1">
        <f>(100-I45)/100*I43</f>
        <v>0.006683999999984422</v>
      </c>
      <c r="K44" s="1">
        <f>(100-K45)/100*K43</f>
        <v>0.007940000000037912</v>
      </c>
    </row>
    <row r="45" spans="2:11" ht="12.75">
      <c r="B45" s="1" t="s">
        <v>7</v>
      </c>
      <c r="C45" s="1" t="s">
        <v>179</v>
      </c>
      <c r="D45" s="1" t="s">
        <v>16</v>
      </c>
      <c r="G45" s="1">
        <v>99.9997</v>
      </c>
      <c r="I45" s="1">
        <v>99.9996</v>
      </c>
      <c r="K45" s="1">
        <v>99.9995</v>
      </c>
    </row>
    <row r="47" spans="2:3" ht="12.75">
      <c r="B47" s="1" t="s">
        <v>50</v>
      </c>
      <c r="C47" s="1" t="s">
        <v>128</v>
      </c>
    </row>
    <row r="48" spans="2:11" ht="12.75">
      <c r="B48" s="1" t="s">
        <v>145</v>
      </c>
      <c r="D48" s="1" t="s">
        <v>52</v>
      </c>
      <c r="G48" s="1">
        <v>126</v>
      </c>
      <c r="I48" s="1">
        <v>126</v>
      </c>
      <c r="K48" s="1">
        <v>126</v>
      </c>
    </row>
    <row r="49" spans="2:11" ht="12.75">
      <c r="B49" s="1" t="s">
        <v>148</v>
      </c>
      <c r="D49" s="1" t="s">
        <v>52</v>
      </c>
      <c r="G49" s="1">
        <f>(100-G50)/100*G48</f>
        <v>0.0007560000000071909</v>
      </c>
      <c r="I49" s="1">
        <f>(100-I50)/100*I48</f>
        <v>0.000881999999993468</v>
      </c>
      <c r="K49" s="1">
        <f>(100-K50)/100*K48</f>
        <v>0.0010079999999976507</v>
      </c>
    </row>
    <row r="50" spans="2:11" ht="12.75">
      <c r="B50" s="1" t="s">
        <v>7</v>
      </c>
      <c r="C50" s="1" t="s">
        <v>179</v>
      </c>
      <c r="D50" s="1" t="s">
        <v>16</v>
      </c>
      <c r="G50" s="1">
        <v>99.9994</v>
      </c>
      <c r="I50" s="1">
        <v>99.9993</v>
      </c>
      <c r="K50" s="1">
        <v>99.9992</v>
      </c>
    </row>
    <row r="52" spans="2:4" ht="12" customHeight="1">
      <c r="B52" s="1" t="s">
        <v>152</v>
      </c>
      <c r="C52" s="1" t="s">
        <v>142</v>
      </c>
      <c r="D52" s="1" t="s">
        <v>179</v>
      </c>
    </row>
    <row r="53" spans="2:13" ht="12.75">
      <c r="B53" s="1" t="s">
        <v>48</v>
      </c>
      <c r="D53" s="1" t="s">
        <v>15</v>
      </c>
      <c r="G53" s="1">
        <v>8053</v>
      </c>
      <c r="I53" s="1">
        <v>8238</v>
      </c>
      <c r="K53" s="1">
        <v>7917</v>
      </c>
      <c r="M53" s="5">
        <f>AVERAGE(G53,I53,K53)</f>
        <v>8069.333333333333</v>
      </c>
    </row>
    <row r="54" spans="2:13" ht="12.75">
      <c r="B54" s="1" t="s">
        <v>146</v>
      </c>
      <c r="D54" s="1" t="s">
        <v>16</v>
      </c>
      <c r="G54" s="1">
        <v>5.6</v>
      </c>
      <c r="I54" s="1">
        <v>6</v>
      </c>
      <c r="K54" s="1">
        <v>5.9</v>
      </c>
      <c r="M54" s="5">
        <f>AVERAGE(G54,I54,K54)</f>
        <v>5.833333333333333</v>
      </c>
    </row>
    <row r="55" spans="2:13" ht="12.75">
      <c r="B55" s="1" t="s">
        <v>147</v>
      </c>
      <c r="D55" s="1" t="s">
        <v>16</v>
      </c>
      <c r="G55" s="1">
        <v>15.4</v>
      </c>
      <c r="I55" s="1">
        <v>15.1</v>
      </c>
      <c r="K55" s="1">
        <v>14.9</v>
      </c>
      <c r="M55" s="5">
        <f>AVERAGE(G55,I55,K55)</f>
        <v>15.133333333333333</v>
      </c>
    </row>
    <row r="56" spans="2:13" ht="12.75">
      <c r="B56" s="1" t="s">
        <v>49</v>
      </c>
      <c r="D56" s="1" t="s">
        <v>17</v>
      </c>
      <c r="G56" s="1">
        <v>139</v>
      </c>
      <c r="I56" s="1">
        <v>137</v>
      </c>
      <c r="K56" s="1">
        <v>137</v>
      </c>
      <c r="M56" s="5">
        <f>AVERAGE(G56,I56,K56)</f>
        <v>137.66666666666666</v>
      </c>
    </row>
    <row r="58" spans="2:13" ht="12.75">
      <c r="B58" s="1" t="s">
        <v>3</v>
      </c>
      <c r="C58" s="1" t="s">
        <v>179</v>
      </c>
      <c r="D58" s="1" t="s">
        <v>11</v>
      </c>
      <c r="E58" s="1" t="s">
        <v>46</v>
      </c>
      <c r="G58" s="7">
        <f>G39/1000000*667.8*(21-7)/(21-G54)</f>
        <v>2.8381499999999997</v>
      </c>
      <c r="I58" s="7">
        <f>I39/1000000*667.8*(21-7)/(21-I54)</f>
        <v>2.5093252799999997</v>
      </c>
      <c r="K58" s="7">
        <f>K39/1000000*667.8*(21-7)/(21-K54)</f>
        <v>2.747178834437086</v>
      </c>
      <c r="M58" s="7">
        <f>AVERAGE(G58,I58,K58)</f>
        <v>2.6982180381456953</v>
      </c>
    </row>
    <row r="59" spans="2:13" ht="12.75">
      <c r="B59" s="1" t="s">
        <v>4</v>
      </c>
      <c r="C59" s="1" t="s">
        <v>179</v>
      </c>
      <c r="D59" s="1" t="s">
        <v>11</v>
      </c>
      <c r="E59" s="1" t="s">
        <v>46</v>
      </c>
      <c r="G59" s="7">
        <f>G40/1000000*343.4*(21-7)/(21-G54)</f>
        <v>0.16732945454545453</v>
      </c>
      <c r="I59" s="7">
        <f>I40/1000000*343.4*(21-7)/(21-I54)</f>
        <v>0.14230496</v>
      </c>
      <c r="K59" s="7">
        <f>K40/1000000*343.4*(21-7)/(21-K54)</f>
        <v>0.13945223841059604</v>
      </c>
      <c r="M59" s="7">
        <f>AVERAGE(G59,I59,K59)</f>
        <v>0.14969555098535017</v>
      </c>
    </row>
    <row r="60" spans="2:13" ht="12.75">
      <c r="B60" s="1" t="s">
        <v>149</v>
      </c>
      <c r="C60" s="1" t="s">
        <v>179</v>
      </c>
      <c r="D60" s="1" t="s">
        <v>11</v>
      </c>
      <c r="E60" s="1" t="s">
        <v>46</v>
      </c>
      <c r="G60" s="7">
        <f>G58+2*G59</f>
        <v>3.1728089090909086</v>
      </c>
      <c r="I60" s="7">
        <f>I58+2*I59</f>
        <v>2.7939351999999995</v>
      </c>
      <c r="K60" s="7">
        <f>K58+2*K59</f>
        <v>3.026083311258278</v>
      </c>
      <c r="M60" s="7">
        <f>AVERAGE(G60,I60,K60)</f>
        <v>2.9976091401163956</v>
      </c>
    </row>
    <row r="62" spans="1:13" ht="12.75">
      <c r="A62" s="1">
        <v>3</v>
      </c>
      <c r="B62" s="11" t="s">
        <v>66</v>
      </c>
      <c r="C62" s="11" t="s">
        <v>144</v>
      </c>
      <c r="G62" s="2" t="s">
        <v>170</v>
      </c>
      <c r="H62" s="2"/>
      <c r="I62" s="2" t="s">
        <v>171</v>
      </c>
      <c r="J62" s="2"/>
      <c r="K62" s="2" t="s">
        <v>172</v>
      </c>
      <c r="L62" s="2"/>
      <c r="M62" s="2" t="s">
        <v>45</v>
      </c>
    </row>
    <row r="63" ht="12.75" customHeight="1"/>
    <row r="64" spans="2:13" ht="12.75">
      <c r="B64" s="1" t="s">
        <v>2</v>
      </c>
      <c r="C64" s="1" t="s">
        <v>179</v>
      </c>
      <c r="D64" s="1" t="s">
        <v>10</v>
      </c>
      <c r="E64" s="1" t="s">
        <v>46</v>
      </c>
      <c r="G64" s="1">
        <v>0.0023</v>
      </c>
      <c r="I64" s="1">
        <v>0.0005</v>
      </c>
      <c r="K64" s="1">
        <v>0.001</v>
      </c>
      <c r="M64" s="6">
        <f>AVERAGE(G64,I64,K64)</f>
        <v>0.0012666666666666666</v>
      </c>
    </row>
    <row r="65" spans="2:13" ht="12.75">
      <c r="B65" s="1" t="s">
        <v>151</v>
      </c>
      <c r="C65" s="1" t="s">
        <v>179</v>
      </c>
      <c r="D65" s="1" t="s">
        <v>11</v>
      </c>
      <c r="E65" s="1" t="s">
        <v>46</v>
      </c>
      <c r="G65" s="1">
        <v>18.4</v>
      </c>
      <c r="I65" s="1">
        <v>19</v>
      </c>
      <c r="K65" s="1">
        <v>15.7</v>
      </c>
      <c r="M65" s="5">
        <f>AVERAGE(G65,I65,K65)</f>
        <v>17.7</v>
      </c>
    </row>
    <row r="66" spans="2:13" ht="12.75">
      <c r="B66" s="1" t="s">
        <v>150</v>
      </c>
      <c r="C66" s="1" t="s">
        <v>179</v>
      </c>
      <c r="D66" s="1" t="s">
        <v>11</v>
      </c>
      <c r="E66" s="1" t="s">
        <v>46</v>
      </c>
      <c r="G66" s="1">
        <v>16</v>
      </c>
      <c r="I66" s="1">
        <v>16</v>
      </c>
      <c r="K66" s="1">
        <v>14</v>
      </c>
      <c r="M66" s="5">
        <f>AVERAGE(G66,I66,K66)</f>
        <v>15.333333333333334</v>
      </c>
    </row>
    <row r="67" spans="2:11" ht="12.75">
      <c r="B67" s="1" t="s">
        <v>3</v>
      </c>
      <c r="D67" s="1" t="s">
        <v>12</v>
      </c>
      <c r="E67" s="1" t="s">
        <v>47</v>
      </c>
      <c r="G67" s="1">
        <v>614</v>
      </c>
      <c r="I67" s="1">
        <v>656</v>
      </c>
      <c r="K67" s="1">
        <v>529</v>
      </c>
    </row>
    <row r="68" spans="2:11" ht="12.75">
      <c r="B68" s="1" t="s">
        <v>4</v>
      </c>
      <c r="D68" s="1" t="s">
        <v>12</v>
      </c>
      <c r="E68" s="1" t="s">
        <v>47</v>
      </c>
      <c r="G68" s="1">
        <v>274</v>
      </c>
      <c r="I68" s="1">
        <v>448</v>
      </c>
      <c r="K68" s="1">
        <v>236</v>
      </c>
    </row>
    <row r="69" ht="12.75" customHeight="1"/>
    <row r="70" spans="2:4" ht="12" customHeight="1">
      <c r="B70" s="1" t="s">
        <v>152</v>
      </c>
      <c r="C70" s="1" t="s">
        <v>142</v>
      </c>
      <c r="D70" s="1" t="s">
        <v>179</v>
      </c>
    </row>
    <row r="71" spans="2:13" ht="12.75">
      <c r="B71" s="1" t="s">
        <v>48</v>
      </c>
      <c r="D71" s="1" t="s">
        <v>15</v>
      </c>
      <c r="G71" s="1">
        <v>8435</v>
      </c>
      <c r="I71" s="1">
        <v>8266</v>
      </c>
      <c r="K71" s="1">
        <v>8492</v>
      </c>
      <c r="M71" s="5">
        <f>AVERAGE(G71,I71,K71)</f>
        <v>8397.666666666666</v>
      </c>
    </row>
    <row r="72" spans="2:13" ht="12.75">
      <c r="B72" s="1" t="s">
        <v>146</v>
      </c>
      <c r="D72" s="1" t="s">
        <v>16</v>
      </c>
      <c r="G72" s="1">
        <v>6.2</v>
      </c>
      <c r="I72" s="1">
        <v>6.4</v>
      </c>
      <c r="K72" s="1">
        <v>6.6</v>
      </c>
      <c r="M72" s="5">
        <f>AVERAGE(G72,I72,K72)</f>
        <v>6.400000000000001</v>
      </c>
    </row>
    <row r="73" spans="2:13" ht="12.75">
      <c r="B73" s="1" t="s">
        <v>147</v>
      </c>
      <c r="D73" s="1" t="s">
        <v>16</v>
      </c>
      <c r="G73" s="1">
        <v>12</v>
      </c>
      <c r="I73" s="1">
        <v>12.5</v>
      </c>
      <c r="K73" s="1">
        <v>12.8</v>
      </c>
      <c r="M73" s="5">
        <f>AVERAGE(G73,I73,K73)</f>
        <v>12.433333333333332</v>
      </c>
    </row>
    <row r="74" spans="2:13" ht="12.75">
      <c r="B74" s="1" t="s">
        <v>49</v>
      </c>
      <c r="D74" s="1" t="s">
        <v>17</v>
      </c>
      <c r="G74" s="1">
        <v>138</v>
      </c>
      <c r="I74" s="1">
        <v>139</v>
      </c>
      <c r="K74" s="1">
        <v>138</v>
      </c>
      <c r="M74" s="5">
        <f>AVERAGE(G74,I74,K74)</f>
        <v>138.33333333333334</v>
      </c>
    </row>
    <row r="76" spans="2:13" ht="12.75">
      <c r="B76" s="1" t="s">
        <v>3</v>
      </c>
      <c r="C76" s="1" t="s">
        <v>179</v>
      </c>
      <c r="D76" s="1" t="s">
        <v>11</v>
      </c>
      <c r="E76" s="1" t="s">
        <v>46</v>
      </c>
      <c r="G76" s="7">
        <f>G67/1000000*667.8*(21-7)/(21-G72)</f>
        <v>0.3878654594594594</v>
      </c>
      <c r="I76" s="7">
        <f>I67/1000000*667.8*(21-7)/(21-I72)</f>
        <v>0.4200736438356164</v>
      </c>
      <c r="K76" s="7">
        <f>K67/1000000*667.8*(21-7)/(21-K72)</f>
        <v>0.34345324999999993</v>
      </c>
      <c r="M76" s="7">
        <f>AVERAGE(G76,I76,K76)</f>
        <v>0.3837974510983586</v>
      </c>
    </row>
    <row r="77" spans="2:13" ht="12.75">
      <c r="B77" s="1" t="s">
        <v>4</v>
      </c>
      <c r="C77" s="1" t="s">
        <v>179</v>
      </c>
      <c r="D77" s="1" t="s">
        <v>11</v>
      </c>
      <c r="E77" s="1" t="s">
        <v>46</v>
      </c>
      <c r="G77" s="7">
        <f>G68/1000000*343.4*(21-7)/(21-G72)</f>
        <v>0.08900556756756756</v>
      </c>
      <c r="I77" s="7">
        <f>I68/1000000*343.4*(21-7)/(21-I72)</f>
        <v>0.14752087671232875</v>
      </c>
      <c r="K77" s="7">
        <f>K68/1000000*343.4*(21-7)/(21-K72)</f>
        <v>0.07879122222222221</v>
      </c>
      <c r="M77" s="7">
        <f>AVERAGE(G77,I77,K77)</f>
        <v>0.1051058888340395</v>
      </c>
    </row>
    <row r="78" spans="2:13" ht="12.75">
      <c r="B78" s="1" t="s">
        <v>149</v>
      </c>
      <c r="C78" s="1" t="s">
        <v>179</v>
      </c>
      <c r="D78" s="1" t="s">
        <v>11</v>
      </c>
      <c r="E78" s="1" t="s">
        <v>46</v>
      </c>
      <c r="G78" s="7">
        <f>G76+2*G77</f>
        <v>0.5658765945945945</v>
      </c>
      <c r="I78" s="7">
        <f>I76+2*I77</f>
        <v>0.715115397260274</v>
      </c>
      <c r="K78" s="7">
        <f>K76+2*K77</f>
        <v>0.5010356944444443</v>
      </c>
      <c r="M78" s="7">
        <f>AVERAGE(G78,I78,K78)</f>
        <v>0.5940092287664376</v>
      </c>
    </row>
    <row r="80" spans="2:3" ht="12.75">
      <c r="B80" s="11"/>
      <c r="C80" s="1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91"/>
  <sheetViews>
    <sheetView zoomScale="75" zoomScaleNormal="75" workbookViewId="0" topLeftCell="B1">
      <selection activeCell="F72" sqref="F72:T73"/>
    </sheetView>
  </sheetViews>
  <sheetFormatPr defaultColWidth="9.140625" defaultRowHeight="12.75"/>
  <cols>
    <col min="1" max="1" width="3.421875" style="1" hidden="1" customWidth="1"/>
    <col min="2" max="2" width="19.140625" style="1" customWidth="1"/>
    <col min="3" max="3" width="4.28125" style="1" customWidth="1"/>
    <col min="4" max="4" width="9.8515625" style="1" customWidth="1"/>
    <col min="5" max="5" width="4.00390625" style="1" customWidth="1"/>
    <col min="6" max="6" width="10.28125" style="1" customWidth="1"/>
    <col min="7" max="7" width="4.140625" style="1" customWidth="1"/>
    <col min="8" max="8" width="9.140625" style="1" customWidth="1"/>
    <col min="9" max="9" width="4.7109375" style="1" customWidth="1"/>
    <col min="10" max="10" width="12.421875" style="1" customWidth="1"/>
    <col min="11" max="11" width="4.00390625" style="1" customWidth="1"/>
    <col min="12" max="12" width="12.00390625" style="1" customWidth="1"/>
    <col min="13" max="13" width="3.7109375" style="1" customWidth="1"/>
    <col min="14" max="14" width="10.7109375" style="1" bestFit="1" customWidth="1"/>
    <col min="15" max="15" width="3.7109375" style="1" customWidth="1"/>
    <col min="16" max="16" width="10.7109375" style="1" bestFit="1" customWidth="1"/>
    <col min="17" max="17" width="4.00390625" style="1" customWidth="1"/>
    <col min="18" max="18" width="10.7109375" style="1" bestFit="1" customWidth="1"/>
    <col min="19" max="19" width="4.00390625" style="1" customWidth="1"/>
    <col min="20" max="20" width="12.140625" style="1" customWidth="1"/>
    <col min="21" max="21" width="3.7109375" style="1" customWidth="1"/>
    <col min="22" max="22" width="11.140625" style="1" customWidth="1"/>
    <col min="23" max="23" width="4.140625" style="1" customWidth="1"/>
    <col min="24" max="24" width="10.421875" style="1" customWidth="1"/>
    <col min="25" max="25" width="3.7109375" style="1" customWidth="1"/>
    <col min="26" max="26" width="10.7109375" style="1" customWidth="1"/>
    <col min="27" max="27" width="3.00390625" style="1" customWidth="1"/>
    <col min="28" max="28" width="10.28125" style="1" customWidth="1"/>
    <col min="29" max="29" width="3.00390625" style="1" customWidth="1"/>
    <col min="30" max="30" width="13.140625" style="1" customWidth="1"/>
    <col min="31" max="31" width="6.7109375" style="1" customWidth="1"/>
    <col min="32" max="16384" width="11.421875" style="1" customWidth="1"/>
  </cols>
  <sheetData>
    <row r="1" spans="2:3" ht="12.75">
      <c r="B1" s="11" t="s">
        <v>119</v>
      </c>
      <c r="C1" s="11"/>
    </row>
    <row r="2" ht="12.75" customHeight="1"/>
    <row r="3" spans="4:31" ht="12.75">
      <c r="D3" s="1" t="s">
        <v>43</v>
      </c>
      <c r="AE3" s="2"/>
    </row>
    <row r="5" spans="1:28" ht="12.75">
      <c r="A5" s="1" t="s">
        <v>164</v>
      </c>
      <c r="B5" s="11" t="s">
        <v>160</v>
      </c>
      <c r="C5" s="11" t="s">
        <v>141</v>
      </c>
      <c r="F5" s="1" t="s">
        <v>170</v>
      </c>
      <c r="H5" s="1" t="s">
        <v>171</v>
      </c>
      <c r="J5" s="1" t="s">
        <v>172</v>
      </c>
      <c r="L5" s="1" t="s">
        <v>45</v>
      </c>
      <c r="N5" s="1" t="s">
        <v>170</v>
      </c>
      <c r="P5" s="1" t="s">
        <v>171</v>
      </c>
      <c r="R5" s="1" t="s">
        <v>172</v>
      </c>
      <c r="T5" s="1" t="s">
        <v>45</v>
      </c>
      <c r="V5" s="1" t="s">
        <v>170</v>
      </c>
      <c r="X5" s="1" t="s">
        <v>171</v>
      </c>
      <c r="Z5" s="1" t="s">
        <v>172</v>
      </c>
      <c r="AB5" s="1" t="s">
        <v>45</v>
      </c>
    </row>
    <row r="6" spans="2:3" ht="12.75">
      <c r="B6" s="11"/>
      <c r="C6" s="11"/>
    </row>
    <row r="7" spans="2:28" ht="12.75">
      <c r="B7" s="31" t="s">
        <v>176</v>
      </c>
      <c r="C7" s="11"/>
      <c r="F7" s="1" t="s">
        <v>192</v>
      </c>
      <c r="H7" s="1" t="s">
        <v>192</v>
      </c>
      <c r="J7" s="1" t="s">
        <v>192</v>
      </c>
      <c r="L7" s="1" t="s">
        <v>192</v>
      </c>
      <c r="N7" s="1" t="s">
        <v>193</v>
      </c>
      <c r="P7" s="1" t="s">
        <v>193</v>
      </c>
      <c r="R7" s="1" t="s">
        <v>193</v>
      </c>
      <c r="T7" s="1" t="s">
        <v>193</v>
      </c>
      <c r="V7" s="1" t="s">
        <v>194</v>
      </c>
      <c r="X7" s="1" t="s">
        <v>194</v>
      </c>
      <c r="Z7" s="1" t="s">
        <v>194</v>
      </c>
      <c r="AB7" s="1" t="s">
        <v>194</v>
      </c>
    </row>
    <row r="8" spans="2:28" ht="12.75">
      <c r="B8" s="31" t="s">
        <v>177</v>
      </c>
      <c r="F8" s="1" t="s">
        <v>178</v>
      </c>
      <c r="H8" s="1" t="s">
        <v>178</v>
      </c>
      <c r="J8" s="1" t="s">
        <v>178</v>
      </c>
      <c r="L8" s="1" t="s">
        <v>178</v>
      </c>
      <c r="N8" s="1" t="s">
        <v>13</v>
      </c>
      <c r="P8" s="1" t="s">
        <v>13</v>
      </c>
      <c r="R8" s="1" t="s">
        <v>13</v>
      </c>
      <c r="T8" s="1" t="s">
        <v>13</v>
      </c>
      <c r="V8" s="1" t="s">
        <v>72</v>
      </c>
      <c r="X8" s="1" t="s">
        <v>72</v>
      </c>
      <c r="Z8" s="1" t="s">
        <v>72</v>
      </c>
      <c r="AB8" s="1" t="s">
        <v>72</v>
      </c>
    </row>
    <row r="9" spans="2:28" ht="12.75">
      <c r="B9" s="31" t="s">
        <v>196</v>
      </c>
      <c r="F9" s="1" t="s">
        <v>1</v>
      </c>
      <c r="H9" s="1" t="s">
        <v>1</v>
      </c>
      <c r="J9" s="1" t="s">
        <v>1</v>
      </c>
      <c r="L9" s="1" t="s">
        <v>1</v>
      </c>
      <c r="N9" s="1" t="s">
        <v>13</v>
      </c>
      <c r="P9" s="1" t="s">
        <v>13</v>
      </c>
      <c r="R9" s="1" t="s">
        <v>13</v>
      </c>
      <c r="T9" s="1" t="s">
        <v>13</v>
      </c>
      <c r="V9" s="1" t="s">
        <v>72</v>
      </c>
      <c r="X9" s="1" t="s">
        <v>72</v>
      </c>
      <c r="Z9" s="1" t="s">
        <v>72</v>
      </c>
      <c r="AB9" s="1" t="s">
        <v>72</v>
      </c>
    </row>
    <row r="10" spans="2:28" ht="12.75">
      <c r="B10" s="1" t="s">
        <v>168</v>
      </c>
      <c r="F10" s="1" t="s">
        <v>51</v>
      </c>
      <c r="H10" s="1" t="s">
        <v>51</v>
      </c>
      <c r="J10" s="1" t="s">
        <v>51</v>
      </c>
      <c r="L10" s="1" t="s">
        <v>51</v>
      </c>
      <c r="N10" s="1" t="s">
        <v>13</v>
      </c>
      <c r="P10" s="1" t="s">
        <v>13</v>
      </c>
      <c r="R10" s="1" t="s">
        <v>13</v>
      </c>
      <c r="T10" s="1" t="s">
        <v>13</v>
      </c>
      <c r="V10" s="1" t="s">
        <v>72</v>
      </c>
      <c r="X10" s="1" t="s">
        <v>72</v>
      </c>
      <c r="Z10" s="1" t="s">
        <v>72</v>
      </c>
      <c r="AB10" s="1" t="s">
        <v>72</v>
      </c>
    </row>
    <row r="11" spans="2:12" ht="12.75">
      <c r="B11" s="1" t="s">
        <v>167</v>
      </c>
      <c r="D11" s="1" t="s">
        <v>52</v>
      </c>
      <c r="F11" s="1">
        <v>1200.3</v>
      </c>
      <c r="H11" s="1">
        <v>1200.8</v>
      </c>
      <c r="J11" s="1">
        <v>1201.6</v>
      </c>
      <c r="L11" s="1">
        <v>1200</v>
      </c>
    </row>
    <row r="12" spans="2:12" ht="12.75">
      <c r="B12" s="1" t="s">
        <v>195</v>
      </c>
      <c r="D12" s="1" t="s">
        <v>53</v>
      </c>
      <c r="F12" s="1">
        <v>8300</v>
      </c>
      <c r="H12" s="1">
        <v>8300</v>
      </c>
      <c r="J12" s="1">
        <v>8300</v>
      </c>
      <c r="L12" s="1">
        <v>8300</v>
      </c>
    </row>
    <row r="13" spans="2:30" ht="12.75">
      <c r="B13" s="1" t="s">
        <v>8</v>
      </c>
      <c r="D13" s="1" t="s">
        <v>52</v>
      </c>
      <c r="F13" s="1">
        <v>0.24</v>
      </c>
      <c r="G13" s="1" t="s">
        <v>58</v>
      </c>
      <c r="H13" s="1">
        <v>0.12</v>
      </c>
      <c r="I13" s="1" t="s">
        <v>58</v>
      </c>
      <c r="J13" s="1">
        <v>0.12</v>
      </c>
      <c r="L13" s="1">
        <v>0.12</v>
      </c>
      <c r="AD13" s="1" t="s">
        <v>54</v>
      </c>
    </row>
    <row r="14" spans="2:30" ht="12.75">
      <c r="B14" s="1" t="s">
        <v>55</v>
      </c>
      <c r="D14" s="1" t="s">
        <v>52</v>
      </c>
      <c r="F14" s="1">
        <v>552.1</v>
      </c>
      <c r="H14" s="1">
        <v>528.4</v>
      </c>
      <c r="J14" s="1">
        <v>576.8</v>
      </c>
      <c r="L14" s="1">
        <v>600</v>
      </c>
      <c r="N14" s="1">
        <v>39.7</v>
      </c>
      <c r="P14" s="1">
        <v>39.7</v>
      </c>
      <c r="R14" s="1">
        <v>39.7</v>
      </c>
      <c r="T14" s="1">
        <v>39.7</v>
      </c>
      <c r="AD14" s="1" t="s">
        <v>54</v>
      </c>
    </row>
    <row r="16" spans="2:20" ht="12.75">
      <c r="B16" s="1" t="s">
        <v>56</v>
      </c>
      <c r="D16" s="1" t="s">
        <v>15</v>
      </c>
      <c r="F16" s="1">
        <f>emiss!$G$25</f>
        <v>5846</v>
      </c>
      <c r="H16" s="1">
        <f>emiss!$I$25</f>
        <v>5533</v>
      </c>
      <c r="J16" s="1">
        <f>emiss!$K$25</f>
        <v>5776</v>
      </c>
      <c r="L16" s="5">
        <f>emiss!$M$25</f>
        <v>5718.333333333333</v>
      </c>
      <c r="N16" s="1">
        <f>emiss!$G$25</f>
        <v>5846</v>
      </c>
      <c r="P16" s="1">
        <f>emiss!$I$25</f>
        <v>5533</v>
      </c>
      <c r="R16" s="1">
        <f>emiss!$K$25</f>
        <v>5776</v>
      </c>
      <c r="T16" s="5">
        <f>emiss!$M$25</f>
        <v>5718.333333333333</v>
      </c>
    </row>
    <row r="17" spans="2:20" ht="12.75">
      <c r="B17" s="1" t="s">
        <v>9</v>
      </c>
      <c r="D17" s="1" t="s">
        <v>16</v>
      </c>
      <c r="F17" s="1">
        <f>emiss!$G$26</f>
        <v>11.6</v>
      </c>
      <c r="H17" s="1">
        <f>emiss!$I$26</f>
        <v>11.3</v>
      </c>
      <c r="J17" s="1">
        <f>emiss!$K$26</f>
        <v>11.5</v>
      </c>
      <c r="L17" s="5">
        <f>emiss!$M$26</f>
        <v>11.466666666666667</v>
      </c>
      <c r="N17" s="1">
        <f>emiss!$G$26</f>
        <v>11.6</v>
      </c>
      <c r="P17" s="1">
        <f>emiss!$I$26</f>
        <v>11.3</v>
      </c>
      <c r="R17" s="1">
        <f>emiss!$K$26</f>
        <v>11.5</v>
      </c>
      <c r="T17" s="5">
        <f>emiss!$M$26</f>
        <v>11.466666666666667</v>
      </c>
    </row>
    <row r="19" spans="2:28" ht="12.75">
      <c r="B19" s="1" t="s">
        <v>165</v>
      </c>
      <c r="D19" s="1" t="s">
        <v>108</v>
      </c>
      <c r="F19" s="1">
        <f>F11*F12/1000000</f>
        <v>9.96249</v>
      </c>
      <c r="H19" s="1">
        <f>H11*H12/1000000</f>
        <v>9.96664</v>
      </c>
      <c r="J19" s="1">
        <f>J11*J12/1000000</f>
        <v>9.97328</v>
      </c>
      <c r="L19" s="1">
        <f>L11*L12/1000000</f>
        <v>9.96</v>
      </c>
      <c r="V19" s="1">
        <f>F19</f>
        <v>9.96249</v>
      </c>
      <c r="X19" s="1">
        <f>H19</f>
        <v>9.96664</v>
      </c>
      <c r="Z19" s="1">
        <f>J19</f>
        <v>9.97328</v>
      </c>
      <c r="AB19" s="1">
        <f>L19</f>
        <v>9.96</v>
      </c>
    </row>
    <row r="20" spans="2:29" ht="12.75">
      <c r="B20" s="1" t="s">
        <v>107</v>
      </c>
      <c r="D20" s="1" t="s">
        <v>108</v>
      </c>
      <c r="M20" s="7"/>
      <c r="N20" s="7"/>
      <c r="O20" s="7"/>
      <c r="P20" s="7"/>
      <c r="Q20" s="7"/>
      <c r="R20" s="7"/>
      <c r="S20" s="7"/>
      <c r="T20" s="7"/>
      <c r="U20" s="7"/>
      <c r="V20" s="7">
        <f>F16/9000*(21-F17)/21*60</f>
        <v>17.445206349206348</v>
      </c>
      <c r="X20" s="7">
        <f>H16/9000*(21-H17)/21*60</f>
        <v>17.038126984126983</v>
      </c>
      <c r="Z20" s="7">
        <f>J16/9000*(21-J17)/21*60</f>
        <v>17.41968253968254</v>
      </c>
      <c r="AB20" s="7">
        <f>L16/9000*(21-L17)/21*60</f>
        <v>17.30627865961199</v>
      </c>
      <c r="AC20" s="7"/>
    </row>
    <row r="21" spans="12:29" ht="12.7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ht="12.75">
      <c r="B22" s="27" t="s">
        <v>124</v>
      </c>
      <c r="C22" s="2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2:29" ht="12.75">
      <c r="B23" s="27"/>
      <c r="C23" s="2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2:30" ht="12.75">
      <c r="B24" s="1" t="s">
        <v>8</v>
      </c>
      <c r="D24" s="1" t="s">
        <v>14</v>
      </c>
      <c r="F24" s="5">
        <f>F13*454/F16/60/0.0283*1000*(21-7)/(21-F17)</f>
        <v>16.34823152953987</v>
      </c>
      <c r="G24" s="1">
        <v>100</v>
      </c>
      <c r="H24" s="5">
        <f>H13*454/H16/60/0.0283*1000*(21-7)/(21-H17)</f>
        <v>8.369413866416188</v>
      </c>
      <c r="I24" s="1">
        <v>100</v>
      </c>
      <c r="J24" s="5">
        <f>J13*454/J16/60/0.0283*1000*(21-7)/(21-J17)</f>
        <v>8.186092709431831</v>
      </c>
      <c r="K24" s="1">
        <f>SUM(H24,J24)/L24/3*100</f>
        <v>50.31497188198537</v>
      </c>
      <c r="L24" s="5">
        <f>AVERAGE(J24,H24,F24)</f>
        <v>10.967912701795962</v>
      </c>
      <c r="M24" s="5"/>
      <c r="N24" s="5"/>
      <c r="O24" s="5"/>
      <c r="P24" s="5"/>
      <c r="Q24" s="5"/>
      <c r="R24" s="5"/>
      <c r="S24" s="5"/>
      <c r="T24" s="5"/>
      <c r="U24" s="8">
        <f>E24</f>
        <v>0</v>
      </c>
      <c r="V24" s="5">
        <f>SUM(N24,F24)</f>
        <v>16.34823152953987</v>
      </c>
      <c r="W24" s="8">
        <f>G24</f>
        <v>100</v>
      </c>
      <c r="X24" s="5">
        <f>SUM(P24,H24/2)</f>
        <v>4.184706933208094</v>
      </c>
      <c r="Y24" s="8">
        <f>I24</f>
        <v>100</v>
      </c>
      <c r="Z24" s="5">
        <f>SUM(R24,J24/2)</f>
        <v>4.0930463547159155</v>
      </c>
      <c r="AA24" s="8">
        <f>K24</f>
        <v>50.31497188198537</v>
      </c>
      <c r="AB24" s="5">
        <f>AVERAGE(Z24,X24,V24)</f>
        <v>8.208661605821293</v>
      </c>
      <c r="AC24" s="5"/>
      <c r="AD24" s="1" t="s">
        <v>54</v>
      </c>
    </row>
    <row r="25" spans="2:30" ht="12.75">
      <c r="B25" s="1" t="s">
        <v>55</v>
      </c>
      <c r="D25" s="1" t="s">
        <v>109</v>
      </c>
      <c r="F25" s="8">
        <f>F14*454/F16/60/0.0283*1000000*(21-7)/(21-F17)</f>
        <v>37607744.28107902</v>
      </c>
      <c r="H25" s="8">
        <f>H14*454/H16/60/0.0283*1000000*(21-7)/(21-H17)</f>
        <v>36853319.05845261</v>
      </c>
      <c r="J25" s="8">
        <f>J14*454/J16/60/0.0283*1000000*(21-7)/(21-J17)</f>
        <v>39347818.956668995</v>
      </c>
      <c r="L25" s="5">
        <f>AVERAGE(J25,H25,F25)</f>
        <v>37936294.098733544</v>
      </c>
      <c r="M25" s="8"/>
      <c r="N25" s="8">
        <f>N14*454/N16/60/0.0283*1000000*(21-7)/(21-N17)</f>
        <v>2704269.965511388</v>
      </c>
      <c r="P25" s="8">
        <f>P14*454/P16/60/0.0283*1000000*(21-7)/(21-P17)</f>
        <v>2768881.0874726893</v>
      </c>
      <c r="R25" s="8">
        <f>R14*454/R16/60/0.0283*1000000*(21-7)/(21-R17)</f>
        <v>2708232.3380370312</v>
      </c>
      <c r="T25" s="8">
        <f>T14*454/T16/60/0.0283*1000000*(21-7)/(21-T17)</f>
        <v>2725978.732932583</v>
      </c>
      <c r="U25" s="8"/>
      <c r="V25" s="5">
        <f>SUM(N25,F25)</f>
        <v>40312014.246590406</v>
      </c>
      <c r="W25" s="8"/>
      <c r="X25" s="5">
        <f>SUM(P25,H25)</f>
        <v>39622200.145925306</v>
      </c>
      <c r="Y25" s="8"/>
      <c r="Z25" s="5">
        <f>SUM(R25,J25)</f>
        <v>42056051.294706024</v>
      </c>
      <c r="AA25" s="8"/>
      <c r="AB25" s="5">
        <f>AVERAGE(Z25,X25,V25)</f>
        <v>40663421.895740576</v>
      </c>
      <c r="AC25" s="8"/>
      <c r="AD25" s="1" t="s">
        <v>54</v>
      </c>
    </row>
    <row r="27" spans="1:28" ht="12.75">
      <c r="A27" s="1" t="s">
        <v>164</v>
      </c>
      <c r="B27" s="11" t="s">
        <v>65</v>
      </c>
      <c r="C27" s="11" t="s">
        <v>161</v>
      </c>
      <c r="F27" s="1" t="s">
        <v>170</v>
      </c>
      <c r="H27" s="1" t="s">
        <v>171</v>
      </c>
      <c r="J27" s="1" t="s">
        <v>172</v>
      </c>
      <c r="L27" s="1" t="s">
        <v>45</v>
      </c>
      <c r="N27" s="1" t="s">
        <v>170</v>
      </c>
      <c r="P27" s="1" t="s">
        <v>171</v>
      </c>
      <c r="R27" s="1" t="s">
        <v>172</v>
      </c>
      <c r="T27" s="1" t="s">
        <v>45</v>
      </c>
      <c r="V27" s="1" t="s">
        <v>170</v>
      </c>
      <c r="X27" s="1" t="s">
        <v>171</v>
      </c>
      <c r="Z27" s="1" t="s">
        <v>172</v>
      </c>
      <c r="AB27" s="1" t="s">
        <v>45</v>
      </c>
    </row>
    <row r="28" spans="2:3" ht="12.75">
      <c r="B28" s="11"/>
      <c r="C28" s="11"/>
    </row>
    <row r="29" spans="2:28" ht="12.75">
      <c r="B29" s="31" t="s">
        <v>176</v>
      </c>
      <c r="C29" s="11"/>
      <c r="F29" s="1" t="s">
        <v>192</v>
      </c>
      <c r="H29" s="1" t="s">
        <v>192</v>
      </c>
      <c r="J29" s="1" t="s">
        <v>192</v>
      </c>
      <c r="L29" s="1" t="s">
        <v>192</v>
      </c>
      <c r="N29" s="1" t="s">
        <v>193</v>
      </c>
      <c r="P29" s="1" t="s">
        <v>193</v>
      </c>
      <c r="R29" s="1" t="s">
        <v>193</v>
      </c>
      <c r="T29" s="1" t="s">
        <v>193</v>
      </c>
      <c r="V29" s="1" t="s">
        <v>194</v>
      </c>
      <c r="X29" s="1" t="s">
        <v>194</v>
      </c>
      <c r="Z29" s="1" t="s">
        <v>194</v>
      </c>
      <c r="AB29" s="1" t="s">
        <v>194</v>
      </c>
    </row>
    <row r="30" spans="2:28" ht="12.75">
      <c r="B30" s="31" t="s">
        <v>177</v>
      </c>
      <c r="F30" s="1" t="s">
        <v>178</v>
      </c>
      <c r="H30" s="1" t="s">
        <v>178</v>
      </c>
      <c r="J30" s="1" t="s">
        <v>178</v>
      </c>
      <c r="L30" s="1" t="s">
        <v>178</v>
      </c>
      <c r="N30" s="1" t="s">
        <v>13</v>
      </c>
      <c r="P30" s="1" t="s">
        <v>13</v>
      </c>
      <c r="R30" s="1" t="s">
        <v>13</v>
      </c>
      <c r="T30" s="1" t="s">
        <v>13</v>
      </c>
      <c r="V30" s="1" t="s">
        <v>72</v>
      </c>
      <c r="X30" s="1" t="s">
        <v>72</v>
      </c>
      <c r="Z30" s="1" t="s">
        <v>72</v>
      </c>
      <c r="AB30" s="1" t="s">
        <v>72</v>
      </c>
    </row>
    <row r="31" spans="2:28" ht="12.75">
      <c r="B31" s="31" t="s">
        <v>196</v>
      </c>
      <c r="F31" s="1" t="s">
        <v>1</v>
      </c>
      <c r="H31" s="1" t="s">
        <v>1</v>
      </c>
      <c r="J31" s="1" t="s">
        <v>1</v>
      </c>
      <c r="L31" s="1" t="s">
        <v>1</v>
      </c>
      <c r="N31" s="1" t="s">
        <v>13</v>
      </c>
      <c r="P31" s="1" t="s">
        <v>13</v>
      </c>
      <c r="R31" s="1" t="s">
        <v>13</v>
      </c>
      <c r="T31" s="1" t="s">
        <v>13</v>
      </c>
      <c r="V31" s="1" t="s">
        <v>72</v>
      </c>
      <c r="X31" s="1" t="s">
        <v>72</v>
      </c>
      <c r="Z31" s="1" t="s">
        <v>72</v>
      </c>
      <c r="AB31" s="1" t="s">
        <v>72</v>
      </c>
    </row>
    <row r="32" spans="2:28" ht="12.75">
      <c r="B32" s="1" t="s">
        <v>168</v>
      </c>
      <c r="F32" s="1" t="s">
        <v>51</v>
      </c>
      <c r="H32" s="1" t="s">
        <v>51</v>
      </c>
      <c r="J32" s="1" t="s">
        <v>51</v>
      </c>
      <c r="L32" s="1" t="s">
        <v>51</v>
      </c>
      <c r="N32" s="1" t="s">
        <v>13</v>
      </c>
      <c r="P32" s="1" t="s">
        <v>13</v>
      </c>
      <c r="R32" s="1" t="s">
        <v>13</v>
      </c>
      <c r="T32" s="1" t="s">
        <v>13</v>
      </c>
      <c r="V32" s="1" t="s">
        <v>72</v>
      </c>
      <c r="X32" s="1" t="s">
        <v>72</v>
      </c>
      <c r="Z32" s="1" t="s">
        <v>72</v>
      </c>
      <c r="AB32" s="1" t="s">
        <v>72</v>
      </c>
    </row>
    <row r="33" spans="2:12" ht="12.75">
      <c r="B33" s="1" t="s">
        <v>167</v>
      </c>
      <c r="D33" s="1" t="s">
        <v>52</v>
      </c>
      <c r="F33" s="1">
        <v>3599.3</v>
      </c>
      <c r="H33" s="1">
        <v>3600.5</v>
      </c>
      <c r="J33" s="1">
        <v>3600.8</v>
      </c>
      <c r="L33" s="1">
        <v>3600</v>
      </c>
    </row>
    <row r="34" spans="2:12" ht="12.75">
      <c r="B34" s="1" t="s">
        <v>195</v>
      </c>
      <c r="D34" s="1" t="s">
        <v>57</v>
      </c>
      <c r="F34" s="1">
        <v>8300</v>
      </c>
      <c r="H34" s="1">
        <v>8300</v>
      </c>
      <c r="J34" s="1">
        <v>8300</v>
      </c>
      <c r="L34" s="1">
        <v>8300</v>
      </c>
    </row>
    <row r="35" spans="2:30" ht="12.75">
      <c r="B35" s="1" t="s">
        <v>8</v>
      </c>
      <c r="D35" s="1" t="s">
        <v>52</v>
      </c>
      <c r="F35" s="1">
        <v>0.72</v>
      </c>
      <c r="H35" s="1">
        <v>1.1</v>
      </c>
      <c r="J35" s="1">
        <v>0.36</v>
      </c>
      <c r="L35" s="1">
        <v>0.7</v>
      </c>
      <c r="N35" s="1">
        <v>2.21</v>
      </c>
      <c r="P35" s="1">
        <v>2.18</v>
      </c>
      <c r="R35" s="1">
        <v>2.27</v>
      </c>
      <c r="AD35" s="1">
        <v>2.2</v>
      </c>
    </row>
    <row r="36" spans="2:30" ht="12.75">
      <c r="B36" s="1" t="s">
        <v>55</v>
      </c>
      <c r="D36" s="1" t="s">
        <v>52</v>
      </c>
      <c r="F36" s="1">
        <v>1695.4</v>
      </c>
      <c r="H36" s="1">
        <v>1731.9</v>
      </c>
      <c r="J36" s="1">
        <v>1732.9</v>
      </c>
      <c r="L36" s="1">
        <v>1690</v>
      </c>
      <c r="N36" s="1">
        <v>39.7</v>
      </c>
      <c r="P36" s="1">
        <v>39.7</v>
      </c>
      <c r="R36" s="1">
        <v>39.7</v>
      </c>
      <c r="AD36" s="1" t="s">
        <v>54</v>
      </c>
    </row>
    <row r="38" spans="2:30" ht="12.75">
      <c r="B38" s="1" t="s">
        <v>56</v>
      </c>
      <c r="D38" s="1" t="s">
        <v>15</v>
      </c>
      <c r="F38" s="1">
        <f>emiss!$G$53</f>
        <v>8053</v>
      </c>
      <c r="H38" s="1">
        <f>emiss!$I$53</f>
        <v>8238</v>
      </c>
      <c r="J38" s="1">
        <f>emiss!$K$53</f>
        <v>7917</v>
      </c>
      <c r="L38" s="5">
        <f>emiss!$M$53</f>
        <v>8069.333333333333</v>
      </c>
      <c r="N38" s="1">
        <f>emiss!$G$53</f>
        <v>8053</v>
      </c>
      <c r="P38" s="1">
        <f>emiss!$I$53</f>
        <v>8238</v>
      </c>
      <c r="R38" s="1">
        <f>emiss!$K$53</f>
        <v>7917</v>
      </c>
      <c r="T38" s="5">
        <f>emiss!$M$53</f>
        <v>8069.333333333333</v>
      </c>
      <c r="AD38" s="1">
        <v>8000</v>
      </c>
    </row>
    <row r="39" spans="2:30" ht="12.75">
      <c r="B39" s="1" t="s">
        <v>9</v>
      </c>
      <c r="D39" s="1" t="s">
        <v>16</v>
      </c>
      <c r="F39" s="1">
        <f>emiss!$G$54</f>
        <v>5.6</v>
      </c>
      <c r="H39" s="1">
        <f>emiss!$I$54</f>
        <v>6</v>
      </c>
      <c r="J39" s="1">
        <f>emiss!$K$54</f>
        <v>5.9</v>
      </c>
      <c r="L39" s="5">
        <f>emiss!$M$54</f>
        <v>5.833333333333333</v>
      </c>
      <c r="N39" s="1">
        <f>emiss!$G$54</f>
        <v>5.6</v>
      </c>
      <c r="P39" s="1">
        <f>emiss!$I$54</f>
        <v>6</v>
      </c>
      <c r="R39" s="1">
        <f>emiss!$K$54</f>
        <v>5.9</v>
      </c>
      <c r="T39" s="5">
        <f>emiss!$M$54</f>
        <v>5.833333333333333</v>
      </c>
      <c r="AD39" s="1">
        <v>6</v>
      </c>
    </row>
    <row r="41" spans="2:28" ht="12.75">
      <c r="B41" s="1" t="s">
        <v>165</v>
      </c>
      <c r="D41" s="1" t="s">
        <v>108</v>
      </c>
      <c r="F41" s="1">
        <f>F33*F34/1000000</f>
        <v>29.87419</v>
      </c>
      <c r="H41" s="1">
        <f>H33*H34/1000000</f>
        <v>29.88415</v>
      </c>
      <c r="J41" s="1">
        <f>J33*J34/1000000</f>
        <v>29.88664</v>
      </c>
      <c r="L41" s="1">
        <f>L33*L34/1000000</f>
        <v>29.88</v>
      </c>
      <c r="V41" s="1">
        <f>F41</f>
        <v>29.87419</v>
      </c>
      <c r="X41" s="1">
        <f>H41</f>
        <v>29.88415</v>
      </c>
      <c r="Z41" s="1">
        <f>J41</f>
        <v>29.88664</v>
      </c>
      <c r="AB41" s="1">
        <f>L41</f>
        <v>29.88</v>
      </c>
    </row>
    <row r="42" spans="2:29" ht="12.75">
      <c r="B42" s="1" t="s">
        <v>107</v>
      </c>
      <c r="D42" s="1" t="s">
        <v>108</v>
      </c>
      <c r="M42" s="7"/>
      <c r="N42" s="7"/>
      <c r="O42" s="7"/>
      <c r="P42" s="7"/>
      <c r="Q42" s="7"/>
      <c r="R42" s="7"/>
      <c r="S42" s="7"/>
      <c r="T42" s="7"/>
      <c r="U42" s="7"/>
      <c r="V42" s="7">
        <f>F38/9000*(21-F39)/21*60</f>
        <v>39.370222222222225</v>
      </c>
      <c r="X42" s="7">
        <f>H38/9000*(21-H39)/21*60</f>
        <v>39.22857142857143</v>
      </c>
      <c r="Z42" s="7">
        <f>J38/9000*(21-J39)/21*60</f>
        <v>37.95133333333333</v>
      </c>
      <c r="AB42" s="7">
        <f>L38/9000*(21-L39)/21*60</f>
        <v>38.852345679012345</v>
      </c>
      <c r="AC42" s="7"/>
    </row>
    <row r="43" spans="6:29" ht="12.75">
      <c r="F43" s="7"/>
      <c r="H43" s="7"/>
      <c r="J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2:29" ht="12.75">
      <c r="B44" s="27" t="s">
        <v>124</v>
      </c>
      <c r="C44" s="27"/>
      <c r="F44" s="7"/>
      <c r="H44" s="7"/>
      <c r="J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5"/>
      <c r="Y44" s="7"/>
      <c r="Z44" s="7"/>
      <c r="AA44" s="7"/>
      <c r="AB44" s="7"/>
      <c r="AC44" s="7"/>
    </row>
    <row r="45" spans="2:29" ht="12.75">
      <c r="B45" s="27"/>
      <c r="C45" s="27"/>
      <c r="F45" s="7"/>
      <c r="H45" s="7"/>
      <c r="J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5"/>
      <c r="Y45" s="7"/>
      <c r="Z45" s="7"/>
      <c r="AA45" s="7"/>
      <c r="AB45" s="7"/>
      <c r="AC45" s="7"/>
    </row>
    <row r="46" spans="2:30" ht="12.75">
      <c r="B46" s="1" t="s">
        <v>8</v>
      </c>
      <c r="D46" s="1" t="s">
        <v>14</v>
      </c>
      <c r="F46" s="5">
        <f>F35*454/F38/60/0.0283*1000*(21-7)/(21-F39)</f>
        <v>21.732029161606796</v>
      </c>
      <c r="H46" s="5">
        <f>H35*454/H38/60/0.0283*1000*(21-7)/(21-H39)</f>
        <v>33.3215995702259</v>
      </c>
      <c r="J46" s="5">
        <f>J35*454/J38/60/0.0283*1000*(21-7)/(21-J39)</f>
        <v>11.272262952100146</v>
      </c>
      <c r="L46" s="5">
        <f>L35*454/L38/60/0.0283*1000*(21-7)/(21-L39)</f>
        <v>21.409989028671866</v>
      </c>
      <c r="M46" s="5"/>
      <c r="N46" s="5"/>
      <c r="O46" s="5"/>
      <c r="P46" s="5"/>
      <c r="Q46" s="5"/>
      <c r="R46" s="5"/>
      <c r="S46" s="5"/>
      <c r="T46" s="5"/>
      <c r="U46" s="5"/>
      <c r="V46" s="5">
        <f>SUM(N46,F46)+68.6</f>
        <v>90.33202916160678</v>
      </c>
      <c r="W46" s="5"/>
      <c r="X46" s="5">
        <f>SUM(P46,H46)+68.6</f>
        <v>101.9215995702259</v>
      </c>
      <c r="Y46" s="5"/>
      <c r="Z46" s="5">
        <f>SUM(R46,J46)+68.6</f>
        <v>79.87226295210014</v>
      </c>
      <c r="AA46" s="5"/>
      <c r="AB46" s="5">
        <f>AVERAGE(Z46,X46,V46)</f>
        <v>90.70863056131094</v>
      </c>
      <c r="AC46" s="5"/>
      <c r="AD46" s="5">
        <f>AD35*454/AD38/60/0.0283*1000*(21-7)/(21-AD39)</f>
        <v>68.62583431488025</v>
      </c>
    </row>
    <row r="47" spans="2:30" ht="12.75">
      <c r="B47" s="1" t="s">
        <v>55</v>
      </c>
      <c r="D47" s="1" t="s">
        <v>109</v>
      </c>
      <c r="F47" s="8">
        <f>F36*454/F38/60/0.0283*1000000*(21-7)/(21-F39)</f>
        <v>51172892.0008169</v>
      </c>
      <c r="H47" s="8">
        <f>H36*454/H38/60/0.0283*1000000*(21-7)/(21-H39)</f>
        <v>52463343.90515842</v>
      </c>
      <c r="J47" s="8">
        <f>J36*454/J38/60/0.0283*1000000*(21-7)/(21-J39)</f>
        <v>54260290.19359541</v>
      </c>
      <c r="L47" s="8">
        <f>L36*454/L38/60/0.0283*1000000*(21-7)/(21-L39)</f>
        <v>51689830.65493637</v>
      </c>
      <c r="M47" s="8"/>
      <c r="N47" s="8">
        <f>N36*454/N38/60/0.0283*1000000*(21-7)/(21-N39)</f>
        <v>1198279.9412719305</v>
      </c>
      <c r="P47" s="8">
        <f>P36*454/P38/60/0.0283*1000000*(21-7)/(21-P39)</f>
        <v>1202606.8208526985</v>
      </c>
      <c r="R47" s="8">
        <f>R36*454/R38/60/0.0283*1000000*(21-7)/(21-R39)</f>
        <v>1243080.1088843774</v>
      </c>
      <c r="T47" s="8">
        <f>T36*454/T38/60/0.0283*1000000*(21-7)/(21-T39)</f>
        <v>0</v>
      </c>
      <c r="U47" s="8"/>
      <c r="V47" s="5">
        <f>SUM(N47,F47)</f>
        <v>52371171.94208883</v>
      </c>
      <c r="W47" s="8"/>
      <c r="X47" s="5">
        <f>SUM(P47,H47)</f>
        <v>53665950.72601112</v>
      </c>
      <c r="Y47" s="8"/>
      <c r="Z47" s="5">
        <f>SUM(R47,J47)</f>
        <v>55503370.30247979</v>
      </c>
      <c r="AA47" s="8"/>
      <c r="AB47" s="5">
        <f>AVERAGE(Z47,X47,V47)</f>
        <v>53846830.99019325</v>
      </c>
      <c r="AC47" s="8"/>
      <c r="AD47" s="1" t="s">
        <v>54</v>
      </c>
    </row>
    <row r="49" spans="1:31" ht="12.75">
      <c r="A49" s="1" t="s">
        <v>164</v>
      </c>
      <c r="B49" s="11" t="s">
        <v>162</v>
      </c>
      <c r="C49" s="11" t="s">
        <v>163</v>
      </c>
      <c r="F49" s="1" t="s">
        <v>170</v>
      </c>
      <c r="H49" s="1" t="s">
        <v>171</v>
      </c>
      <c r="J49" s="1" t="s">
        <v>172</v>
      </c>
      <c r="L49" s="1" t="s">
        <v>45</v>
      </c>
      <c r="N49" s="1" t="s">
        <v>170</v>
      </c>
      <c r="P49" s="1" t="s">
        <v>171</v>
      </c>
      <c r="R49" s="1" t="s">
        <v>172</v>
      </c>
      <c r="T49" s="1" t="s">
        <v>45</v>
      </c>
      <c r="AE49" s="2"/>
    </row>
    <row r="50" spans="2:31" ht="12.75">
      <c r="B50" s="11"/>
      <c r="C50" s="11"/>
      <c r="AE50" s="2"/>
    </row>
    <row r="51" spans="2:31" ht="12.75">
      <c r="B51" s="31" t="s">
        <v>176</v>
      </c>
      <c r="C51" s="11"/>
      <c r="F51" s="1" t="s">
        <v>192</v>
      </c>
      <c r="H51" s="1" t="s">
        <v>192</v>
      </c>
      <c r="J51" s="1" t="s">
        <v>192</v>
      </c>
      <c r="L51" s="1" t="s">
        <v>192</v>
      </c>
      <c r="N51" s="1" t="s">
        <v>193</v>
      </c>
      <c r="P51" s="1" t="s">
        <v>193</v>
      </c>
      <c r="R51" s="1" t="s">
        <v>193</v>
      </c>
      <c r="T51" s="1" t="s">
        <v>193</v>
      </c>
      <c r="AE51" s="2"/>
    </row>
    <row r="52" spans="2:31" ht="12.75" customHeight="1">
      <c r="B52" s="31" t="s">
        <v>177</v>
      </c>
      <c r="F52" s="1" t="s">
        <v>178</v>
      </c>
      <c r="H52" s="1" t="s">
        <v>178</v>
      </c>
      <c r="J52" s="1" t="s">
        <v>178</v>
      </c>
      <c r="L52" s="1" t="s">
        <v>178</v>
      </c>
      <c r="N52" s="1" t="s">
        <v>72</v>
      </c>
      <c r="P52" s="1" t="s">
        <v>72</v>
      </c>
      <c r="R52" s="1" t="s">
        <v>72</v>
      </c>
      <c r="T52" s="1" t="s">
        <v>72</v>
      </c>
      <c r="AE52" s="2"/>
    </row>
    <row r="53" spans="2:31" ht="12.75" customHeight="1">
      <c r="B53" s="31" t="s">
        <v>196</v>
      </c>
      <c r="F53" s="1" t="s">
        <v>1</v>
      </c>
      <c r="H53" s="1" t="s">
        <v>1</v>
      </c>
      <c r="J53" s="1" t="s">
        <v>1</v>
      </c>
      <c r="L53" s="1" t="s">
        <v>1</v>
      </c>
      <c r="N53" s="1" t="s">
        <v>72</v>
      </c>
      <c r="P53" s="1" t="s">
        <v>72</v>
      </c>
      <c r="R53" s="1" t="s">
        <v>72</v>
      </c>
      <c r="T53" s="1" t="s">
        <v>72</v>
      </c>
      <c r="AE53" s="2"/>
    </row>
    <row r="54" spans="2:20" ht="12.75">
      <c r="B54" s="1" t="s">
        <v>168</v>
      </c>
      <c r="F54" s="1" t="s">
        <v>51</v>
      </c>
      <c r="H54" s="1" t="s">
        <v>51</v>
      </c>
      <c r="J54" s="1" t="s">
        <v>51</v>
      </c>
      <c r="L54" s="1" t="s">
        <v>51</v>
      </c>
      <c r="N54" s="1" t="s">
        <v>72</v>
      </c>
      <c r="P54" s="1" t="s">
        <v>72</v>
      </c>
      <c r="R54" s="1" t="s">
        <v>72</v>
      </c>
      <c r="T54" s="1" t="s">
        <v>72</v>
      </c>
    </row>
    <row r="55" spans="2:12" ht="12.75">
      <c r="B55" s="1" t="s">
        <v>167</v>
      </c>
      <c r="D55" s="1" t="s">
        <v>52</v>
      </c>
      <c r="F55" s="1">
        <v>2984</v>
      </c>
      <c r="H55" s="1">
        <v>3004.8</v>
      </c>
      <c r="J55" s="1">
        <v>2997.2</v>
      </c>
      <c r="L55" s="1">
        <v>3000</v>
      </c>
    </row>
    <row r="56" spans="2:12" ht="12.75">
      <c r="B56" s="1" t="s">
        <v>195</v>
      </c>
      <c r="D56" s="1" t="s">
        <v>57</v>
      </c>
      <c r="F56" s="1">
        <v>8400</v>
      </c>
      <c r="H56" s="1">
        <v>8300</v>
      </c>
      <c r="J56" s="1">
        <v>8300</v>
      </c>
      <c r="L56" s="1">
        <v>8350</v>
      </c>
    </row>
    <row r="57" spans="2:12" ht="12.75">
      <c r="B57" s="1" t="s">
        <v>8</v>
      </c>
      <c r="D57" s="1" t="s">
        <v>52</v>
      </c>
      <c r="E57" s="1" t="s">
        <v>58</v>
      </c>
      <c r="F57" s="1">
        <v>0.3</v>
      </c>
      <c r="G57" s="1" t="s">
        <v>58</v>
      </c>
      <c r="H57" s="1">
        <v>0.3</v>
      </c>
      <c r="I57" s="1" t="s">
        <v>58</v>
      </c>
      <c r="J57" s="1">
        <v>0.3</v>
      </c>
      <c r="L57" s="1">
        <v>0.3</v>
      </c>
    </row>
    <row r="58" spans="2:12" ht="12.75">
      <c r="B58" s="1" t="s">
        <v>55</v>
      </c>
      <c r="D58" s="1" t="s">
        <v>52</v>
      </c>
      <c r="F58" s="1">
        <v>1372.6</v>
      </c>
      <c r="H58" s="1">
        <v>1382.2</v>
      </c>
      <c r="J58" s="1">
        <v>1348.7</v>
      </c>
      <c r="L58" s="1">
        <v>1375</v>
      </c>
    </row>
    <row r="59" spans="2:12" ht="12.75">
      <c r="B59" s="1" t="s">
        <v>166</v>
      </c>
      <c r="D59" s="1" t="s">
        <v>59</v>
      </c>
      <c r="F59" s="1">
        <v>0.024</v>
      </c>
      <c r="H59" s="1">
        <v>0.012</v>
      </c>
      <c r="J59" s="1">
        <v>0.058</v>
      </c>
      <c r="L59" s="1">
        <v>0.03</v>
      </c>
    </row>
    <row r="60" spans="2:12" ht="12.75">
      <c r="B60" s="1" t="s">
        <v>156</v>
      </c>
      <c r="D60" s="1" t="s">
        <v>59</v>
      </c>
      <c r="F60" s="1">
        <v>0.924</v>
      </c>
      <c r="H60" s="1">
        <v>0.524</v>
      </c>
      <c r="J60" s="1">
        <v>1.55</v>
      </c>
      <c r="L60" s="1">
        <v>1</v>
      </c>
    </row>
    <row r="61" spans="2:12" ht="12.75">
      <c r="B61" s="1" t="s">
        <v>158</v>
      </c>
      <c r="D61" s="1" t="s">
        <v>59</v>
      </c>
      <c r="F61" s="1">
        <v>0.044</v>
      </c>
      <c r="H61" s="1">
        <v>0.056</v>
      </c>
      <c r="J61" s="1">
        <v>0.048</v>
      </c>
      <c r="L61" s="1">
        <v>0.05</v>
      </c>
    </row>
    <row r="62" spans="2:12" ht="12.75">
      <c r="B62" s="1" t="s">
        <v>153</v>
      </c>
      <c r="D62" s="1" t="s">
        <v>59</v>
      </c>
      <c r="F62" s="1">
        <v>2.15</v>
      </c>
      <c r="H62" s="1">
        <v>1.58</v>
      </c>
      <c r="J62" s="1">
        <v>4.28</v>
      </c>
      <c r="L62" s="1">
        <v>3</v>
      </c>
    </row>
    <row r="63" spans="2:12" ht="12.75">
      <c r="B63" s="1" t="s">
        <v>154</v>
      </c>
      <c r="D63" s="1" t="s">
        <v>59</v>
      </c>
      <c r="E63" s="1" t="s">
        <v>58</v>
      </c>
      <c r="F63" s="1">
        <v>0.0388</v>
      </c>
      <c r="G63" s="1" t="s">
        <v>58</v>
      </c>
      <c r="H63" s="1">
        <v>0.0388</v>
      </c>
      <c r="I63" s="1" t="s">
        <v>58</v>
      </c>
      <c r="J63" s="1">
        <v>0.0388</v>
      </c>
      <c r="L63" s="1">
        <v>0.04</v>
      </c>
    </row>
    <row r="64" spans="2:12" ht="12.75">
      <c r="B64" s="1" t="s">
        <v>159</v>
      </c>
      <c r="D64" s="1" t="s">
        <v>59</v>
      </c>
      <c r="F64" s="1">
        <v>0.078</v>
      </c>
      <c r="H64" s="1">
        <v>0.096</v>
      </c>
      <c r="J64" s="1">
        <v>0.018</v>
      </c>
      <c r="L64" s="1">
        <v>0.07</v>
      </c>
    </row>
    <row r="65" spans="2:12" ht="12.75">
      <c r="B65" s="1" t="s">
        <v>157</v>
      </c>
      <c r="D65" s="1" t="s">
        <v>59</v>
      </c>
      <c r="E65" s="1" t="s">
        <v>58</v>
      </c>
      <c r="F65" s="1">
        <v>0.115</v>
      </c>
      <c r="G65" s="1" t="s">
        <v>58</v>
      </c>
      <c r="H65" s="1">
        <v>0.115</v>
      </c>
      <c r="I65" s="1" t="s">
        <v>58</v>
      </c>
      <c r="J65" s="1">
        <v>0.115</v>
      </c>
      <c r="L65" s="1">
        <v>0.12</v>
      </c>
    </row>
    <row r="66" spans="2:12" ht="12.75">
      <c r="B66" s="1" t="s">
        <v>155</v>
      </c>
      <c r="D66" s="1" t="s">
        <v>59</v>
      </c>
      <c r="E66" s="1" t="s">
        <v>58</v>
      </c>
      <c r="F66" s="1">
        <v>0.828</v>
      </c>
      <c r="G66" s="1" t="s">
        <v>58</v>
      </c>
      <c r="H66" s="1">
        <v>0.828</v>
      </c>
      <c r="I66" s="1" t="s">
        <v>58</v>
      </c>
      <c r="J66" s="1">
        <v>0.828</v>
      </c>
      <c r="L66" s="1">
        <v>0.83</v>
      </c>
    </row>
    <row r="67" spans="2:12" ht="12.75">
      <c r="B67" s="1" t="s">
        <v>185</v>
      </c>
      <c r="D67" s="1" t="s">
        <v>59</v>
      </c>
      <c r="F67" s="1">
        <v>5.24</v>
      </c>
      <c r="H67" s="1">
        <v>2.79</v>
      </c>
      <c r="J67" s="1">
        <v>10.9</v>
      </c>
      <c r="L67" s="1">
        <v>6</v>
      </c>
    </row>
    <row r="68" ht="12.75" customHeight="1"/>
    <row r="69" spans="2:12" ht="12.75">
      <c r="B69" s="1" t="s">
        <v>56</v>
      </c>
      <c r="D69" s="1" t="s">
        <v>15</v>
      </c>
      <c r="F69" s="1">
        <f>emiss!G71</f>
        <v>8435</v>
      </c>
      <c r="H69" s="1">
        <f>emiss!I71</f>
        <v>8266</v>
      </c>
      <c r="J69" s="1">
        <f>emiss!K71</f>
        <v>8492</v>
      </c>
      <c r="L69" s="5">
        <f>emiss!M71</f>
        <v>8397.666666666666</v>
      </c>
    </row>
    <row r="70" spans="2:12" ht="12.75">
      <c r="B70" s="1" t="s">
        <v>9</v>
      </c>
      <c r="D70" s="1" t="s">
        <v>16</v>
      </c>
      <c r="F70" s="1">
        <f>emiss!G72</f>
        <v>6.2</v>
      </c>
      <c r="H70" s="1">
        <f>emiss!I72</f>
        <v>6.4</v>
      </c>
      <c r="J70" s="1">
        <f>emiss!K72</f>
        <v>6.6</v>
      </c>
      <c r="L70" s="5">
        <f>emiss!M72</f>
        <v>6.400000000000001</v>
      </c>
    </row>
    <row r="71" ht="12.75" customHeight="1"/>
    <row r="72" spans="2:20" ht="12.75">
      <c r="B72" s="1" t="s">
        <v>165</v>
      </c>
      <c r="D72" s="1" t="s">
        <v>108</v>
      </c>
      <c r="F72" s="5">
        <f>F55*F56/1000000</f>
        <v>25.0656</v>
      </c>
      <c r="G72" s="5"/>
      <c r="H72" s="5">
        <f>H55*H56/1000000</f>
        <v>24.93984</v>
      </c>
      <c r="I72" s="5"/>
      <c r="J72" s="5">
        <f>J55*J56/1000000</f>
        <v>24.87676</v>
      </c>
      <c r="K72" s="5"/>
      <c r="L72" s="5">
        <f>L55*L56/1000000</f>
        <v>25.05</v>
      </c>
      <c r="M72" s="5"/>
      <c r="N72" s="5">
        <f>F72</f>
        <v>25.0656</v>
      </c>
      <c r="O72" s="5"/>
      <c r="P72" s="5">
        <f>H72</f>
        <v>24.93984</v>
      </c>
      <c r="Q72" s="5"/>
      <c r="R72" s="5">
        <f>J72</f>
        <v>24.87676</v>
      </c>
      <c r="S72" s="5"/>
      <c r="T72" s="5">
        <f>L72</f>
        <v>25.05</v>
      </c>
    </row>
    <row r="73" spans="2:29" ht="12.75">
      <c r="B73" s="1" t="s">
        <v>107</v>
      </c>
      <c r="D73" s="1" t="s">
        <v>108</v>
      </c>
      <c r="F73" s="5"/>
      <c r="G73" s="5"/>
      <c r="H73" s="5"/>
      <c r="I73" s="5"/>
      <c r="J73" s="5"/>
      <c r="K73" s="5"/>
      <c r="L73" s="5"/>
      <c r="M73" s="5"/>
      <c r="N73" s="5">
        <f>F69/9000*(21-F70)/21*60</f>
        <v>39.63111111111111</v>
      </c>
      <c r="O73" s="5"/>
      <c r="P73" s="5">
        <f>H69/9000*(21-H70)/21*60</f>
        <v>38.31225396825396</v>
      </c>
      <c r="Q73" s="5"/>
      <c r="R73" s="5">
        <f>J69/9000*(21-J70)/21*60</f>
        <v>38.82057142857143</v>
      </c>
      <c r="S73" s="5"/>
      <c r="T73" s="5">
        <f>L69/9000*(21-L70)/21*60</f>
        <v>38.922518518518515</v>
      </c>
      <c r="U73" s="7"/>
      <c r="V73" s="7"/>
      <c r="W73" s="7"/>
      <c r="X73" s="7"/>
      <c r="Y73" s="7"/>
      <c r="Z73" s="7"/>
      <c r="AA73" s="7"/>
      <c r="AB73" s="7"/>
      <c r="AC73" s="7"/>
    </row>
    <row r="74" spans="6:29" ht="12.75">
      <c r="F74" s="7"/>
      <c r="H74" s="7"/>
      <c r="J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2:29" ht="12.75">
      <c r="B75" s="27" t="s">
        <v>124</v>
      </c>
      <c r="C75" s="27"/>
      <c r="F75" s="7"/>
      <c r="H75" s="7"/>
      <c r="J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2:29" ht="12.75">
      <c r="B76" s="27"/>
      <c r="C76" s="27"/>
      <c r="F76" s="7"/>
      <c r="H76" s="7"/>
      <c r="J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2:29" ht="12.75">
      <c r="B77" s="1" t="s">
        <v>8</v>
      </c>
      <c r="D77" s="1" t="s">
        <v>14</v>
      </c>
      <c r="E77" s="1">
        <v>100</v>
      </c>
      <c r="F77" s="5">
        <f>F57*454/F69/60/0.0283*1000*(21-7)/(21-F70)</f>
        <v>8.995403626138346</v>
      </c>
      <c r="G77" s="1">
        <v>100</v>
      </c>
      <c r="H77" s="5">
        <f>H57*454/H69/60/0.0283*1000*(21-7)/(21-H70)</f>
        <v>9.305060487753584</v>
      </c>
      <c r="I77" s="1">
        <v>100</v>
      </c>
      <c r="J77" s="5">
        <f>J57*454/J69/60/0.0283*1000*(21-7)/(21-J70)</f>
        <v>9.18321981047406</v>
      </c>
      <c r="K77" s="1">
        <v>100</v>
      </c>
      <c r="L77" s="5">
        <f>AVERAGE(J77,H77,F77)</f>
        <v>9.161227974788664</v>
      </c>
      <c r="M77" s="1">
        <v>100</v>
      </c>
      <c r="N77" s="5">
        <f>AVERAGE(L77,J77,H77)</f>
        <v>9.216502757672103</v>
      </c>
      <c r="O77" s="1">
        <v>100</v>
      </c>
      <c r="P77" s="5">
        <f>AVERAGE(N77,L77,J77)</f>
        <v>9.18698351431161</v>
      </c>
      <c r="Q77" s="1">
        <v>100</v>
      </c>
      <c r="R77" s="5">
        <f>AVERAGE(P77,N77,L77)</f>
        <v>9.188238082257458</v>
      </c>
      <c r="S77" s="1">
        <v>100</v>
      </c>
      <c r="T77" s="5">
        <f>L77</f>
        <v>9.161227974788664</v>
      </c>
      <c r="U77" s="5"/>
      <c r="V77" s="5"/>
      <c r="W77" s="5"/>
      <c r="X77" s="5"/>
      <c r="Y77" s="5"/>
      <c r="Z77" s="5"/>
      <c r="AA77" s="5"/>
      <c r="AB77" s="5"/>
      <c r="AC77" s="5"/>
    </row>
    <row r="78" spans="2:29" ht="12.75">
      <c r="B78" s="1" t="s">
        <v>55</v>
      </c>
      <c r="D78" s="1" t="s">
        <v>109</v>
      </c>
      <c r="F78" s="8">
        <f>F58*454/F69/60/0.0283*1000000*(21-7)/(21-F70)</f>
        <v>41156970.05745831</v>
      </c>
      <c r="H78" s="8">
        <f>H58*454/H69/60/0.0283*1000000*(21-7)/(21-H70)</f>
        <v>42871515.35391003</v>
      </c>
      <c r="J78" s="8">
        <f>J58*454/J69/60/0.0283*1000000*(21-7)/(21-J70)</f>
        <v>41284695.19462123</v>
      </c>
      <c r="L78" s="5">
        <f aca="true" t="shared" si="0" ref="L78:N87">AVERAGE(J78,H78,F78)</f>
        <v>41771060.20199653</v>
      </c>
      <c r="N78" s="5">
        <f t="shared" si="0"/>
        <v>41975756.916842595</v>
      </c>
      <c r="P78" s="5">
        <f aca="true" t="shared" si="1" ref="P78:P87">AVERAGE(N78,L78,J78)</f>
        <v>41677170.77115345</v>
      </c>
      <c r="R78" s="5">
        <f aca="true" t="shared" si="2" ref="R78:R87">AVERAGE(P78,N78,L78)</f>
        <v>41807995.96333086</v>
      </c>
      <c r="T78" s="8">
        <f>L78</f>
        <v>41771060.20199653</v>
      </c>
      <c r="U78" s="8"/>
      <c r="V78" s="8"/>
      <c r="W78" s="8"/>
      <c r="X78" s="8"/>
      <c r="Y78" s="8"/>
      <c r="Z78" s="8"/>
      <c r="AA78" s="8"/>
      <c r="AB78" s="8"/>
      <c r="AC78" s="8"/>
    </row>
    <row r="79" spans="2:29" ht="12.75">
      <c r="B79" s="1" t="s">
        <v>166</v>
      </c>
      <c r="D79" s="1" t="s">
        <v>12</v>
      </c>
      <c r="F79" s="5">
        <f>F$55*454*F59*0.000001/F$69/60/0.0283*(21-7)/(21-F$70)*1000000</f>
        <v>2.147382753631745</v>
      </c>
      <c r="H79" s="5">
        <f>H$55*454*H59*0.000001/H$69/60/0.0283*(21-7)/(21-H$70)*1000000</f>
        <v>1.118393830144079</v>
      </c>
      <c r="J79" s="5">
        <f aca="true" t="shared" si="3" ref="J79:J87">J$55*454*J59*0.000001/J$69/60/0.0283*(21-7)/(21-J$70)*1000000</f>
        <v>5.32129630708422</v>
      </c>
      <c r="L79" s="5">
        <f t="shared" si="0"/>
        <v>2.862357630286681</v>
      </c>
      <c r="N79" s="5">
        <f t="shared" si="0"/>
        <v>3.10068258917166</v>
      </c>
      <c r="P79" s="5">
        <f t="shared" si="1"/>
        <v>3.7614455088475203</v>
      </c>
      <c r="R79" s="5">
        <f t="shared" si="2"/>
        <v>3.2414952427686203</v>
      </c>
      <c r="T79" s="8">
        <f>L79</f>
        <v>2.862357630286681</v>
      </c>
      <c r="U79" s="5"/>
      <c r="V79" s="5"/>
      <c r="W79" s="5"/>
      <c r="X79" s="5"/>
      <c r="Y79" s="5"/>
      <c r="Z79" s="5"/>
      <c r="AA79" s="5"/>
      <c r="AB79" s="5"/>
      <c r="AC79" s="5"/>
    </row>
    <row r="80" spans="2:29" ht="12.75">
      <c r="B80" s="1" t="s">
        <v>156</v>
      </c>
      <c r="D80" s="1" t="s">
        <v>12</v>
      </c>
      <c r="F80" s="5">
        <f aca="true" t="shared" si="4" ref="F80:H87">F$55*454*F60*0.000001/F$69/60/0.0283*(21-7)/(21-F$70)*1000000</f>
        <v>82.6742360148222</v>
      </c>
      <c r="H80" s="5">
        <f t="shared" si="4"/>
        <v>48.83653058295813</v>
      </c>
      <c r="J80" s="5">
        <f t="shared" si="3"/>
        <v>142.20705648242307</v>
      </c>
      <c r="L80" s="5">
        <f t="shared" si="0"/>
        <v>91.2392743600678</v>
      </c>
      <c r="N80" s="5">
        <f t="shared" si="0"/>
        <v>94.09428714181632</v>
      </c>
      <c r="P80" s="5">
        <f t="shared" si="1"/>
        <v>109.18020599476905</v>
      </c>
      <c r="R80" s="5">
        <f t="shared" si="2"/>
        <v>98.17125583221771</v>
      </c>
      <c r="T80" s="8">
        <f aca="true" t="shared" si="5" ref="T80:T87">L80</f>
        <v>91.2392743600678</v>
      </c>
      <c r="U80" s="5"/>
      <c r="V80" s="5"/>
      <c r="W80" s="5"/>
      <c r="X80" s="5"/>
      <c r="Y80" s="5"/>
      <c r="Z80" s="5"/>
      <c r="AA80" s="5"/>
      <c r="AB80" s="5"/>
      <c r="AC80" s="5"/>
    </row>
    <row r="81" spans="2:29" ht="12.75">
      <c r="B81" s="1" t="s">
        <v>158</v>
      </c>
      <c r="D81" s="1" t="s">
        <v>12</v>
      </c>
      <c r="F81" s="5">
        <f t="shared" si="4"/>
        <v>3.9368683816581997</v>
      </c>
      <c r="H81" s="5">
        <f t="shared" si="4"/>
        <v>5.219171207339037</v>
      </c>
      <c r="J81" s="5">
        <f t="shared" si="3"/>
        <v>4.403831426552457</v>
      </c>
      <c r="L81" s="5">
        <f t="shared" si="0"/>
        <v>4.5199570051832305</v>
      </c>
      <c r="N81" s="5">
        <f t="shared" si="0"/>
        <v>4.714319879691575</v>
      </c>
      <c r="P81" s="5">
        <f t="shared" si="1"/>
        <v>4.5460361038090875</v>
      </c>
      <c r="R81" s="5">
        <f t="shared" si="2"/>
        <v>4.5934376628946305</v>
      </c>
      <c r="T81" s="8">
        <f t="shared" si="5"/>
        <v>4.5199570051832305</v>
      </c>
      <c r="U81" s="5"/>
      <c r="V81" s="5"/>
      <c r="W81" s="5"/>
      <c r="X81" s="5"/>
      <c r="Y81" s="5"/>
      <c r="Z81" s="5"/>
      <c r="AA81" s="5"/>
      <c r="AB81" s="5"/>
      <c r="AC81" s="5"/>
    </row>
    <row r="82" spans="2:29" ht="12.75">
      <c r="B82" s="1" t="s">
        <v>153</v>
      </c>
      <c r="D82" s="1" t="s">
        <v>12</v>
      </c>
      <c r="F82" s="5">
        <f t="shared" si="4"/>
        <v>192.36970501284384</v>
      </c>
      <c r="H82" s="5">
        <f t="shared" si="4"/>
        <v>147.25518763563707</v>
      </c>
      <c r="J82" s="5">
        <f t="shared" si="3"/>
        <v>392.67496886759403</v>
      </c>
      <c r="L82" s="5">
        <f t="shared" si="0"/>
        <v>244.09995383869162</v>
      </c>
      <c r="N82" s="5">
        <f t="shared" si="0"/>
        <v>261.34337011397423</v>
      </c>
      <c r="P82" s="5">
        <f t="shared" si="1"/>
        <v>299.37276427342</v>
      </c>
      <c r="R82" s="5">
        <f t="shared" si="2"/>
        <v>268.2720294086953</v>
      </c>
      <c r="T82" s="8">
        <f t="shared" si="5"/>
        <v>244.09995383869162</v>
      </c>
      <c r="U82" s="5"/>
      <c r="V82" s="5"/>
      <c r="W82" s="5"/>
      <c r="X82" s="5"/>
      <c r="Y82" s="5"/>
      <c r="Z82" s="5"/>
      <c r="AA82" s="5"/>
      <c r="AB82" s="5"/>
      <c r="AC82" s="5"/>
    </row>
    <row r="83" spans="2:29" ht="12.75">
      <c r="B83" s="1" t="s">
        <v>154</v>
      </c>
      <c r="D83" s="1" t="s">
        <v>12</v>
      </c>
      <c r="E83" s="1">
        <v>100</v>
      </c>
      <c r="F83" s="5">
        <f t="shared" si="4"/>
        <v>3.4716021183713215</v>
      </c>
      <c r="G83" s="1">
        <v>100</v>
      </c>
      <c r="H83" s="5">
        <f t="shared" si="4"/>
        <v>3.6161400507991894</v>
      </c>
      <c r="I83" s="1">
        <v>100</v>
      </c>
      <c r="J83" s="5">
        <f t="shared" si="3"/>
        <v>3.559763736463236</v>
      </c>
      <c r="K83" s="1">
        <v>100</v>
      </c>
      <c r="L83" s="5">
        <f t="shared" si="0"/>
        <v>3.549168635211249</v>
      </c>
      <c r="M83" s="1">
        <v>100</v>
      </c>
      <c r="N83" s="5">
        <f t="shared" si="0"/>
        <v>3.5750241408245578</v>
      </c>
      <c r="O83" s="1">
        <v>100</v>
      </c>
      <c r="P83" s="5">
        <f t="shared" si="1"/>
        <v>3.5613188374996807</v>
      </c>
      <c r="Q83" s="1">
        <v>100</v>
      </c>
      <c r="R83" s="5">
        <f t="shared" si="2"/>
        <v>3.561837204511829</v>
      </c>
      <c r="S83" s="1">
        <v>100</v>
      </c>
      <c r="T83" s="8">
        <f t="shared" si="5"/>
        <v>3.549168635211249</v>
      </c>
      <c r="U83" s="5"/>
      <c r="V83" s="5"/>
      <c r="W83" s="5"/>
      <c r="X83" s="5"/>
      <c r="Y83" s="5"/>
      <c r="Z83" s="5"/>
      <c r="AA83" s="5"/>
      <c r="AB83" s="5"/>
      <c r="AC83" s="5"/>
    </row>
    <row r="84" spans="2:29" ht="12.75">
      <c r="B84" s="1" t="s">
        <v>159</v>
      </c>
      <c r="D84" s="1" t="s">
        <v>12</v>
      </c>
      <c r="F84" s="5">
        <f t="shared" si="4"/>
        <v>6.978993949303174</v>
      </c>
      <c r="H84" s="5">
        <f t="shared" si="4"/>
        <v>8.947150641152632</v>
      </c>
      <c r="J84" s="5">
        <f t="shared" si="3"/>
        <v>1.6514367849571714</v>
      </c>
      <c r="L84" s="5">
        <f t="shared" si="0"/>
        <v>5.8591937918043255</v>
      </c>
      <c r="N84" s="5">
        <f t="shared" si="0"/>
        <v>5.4859270726380425</v>
      </c>
      <c r="P84" s="5">
        <f t="shared" si="1"/>
        <v>4.33218588313318</v>
      </c>
      <c r="R84" s="5">
        <f t="shared" si="2"/>
        <v>5.2257689158585166</v>
      </c>
      <c r="T84" s="8">
        <f t="shared" si="5"/>
        <v>5.8591937918043255</v>
      </c>
      <c r="U84" s="5"/>
      <c r="V84" s="5"/>
      <c r="W84" s="5"/>
      <c r="X84" s="5"/>
      <c r="Y84" s="5"/>
      <c r="Z84" s="5"/>
      <c r="AA84" s="5"/>
      <c r="AB84" s="5"/>
      <c r="AC84" s="5"/>
    </row>
    <row r="85" spans="2:29" ht="12.75">
      <c r="B85" s="1" t="s">
        <v>157</v>
      </c>
      <c r="D85" s="1" t="s">
        <v>12</v>
      </c>
      <c r="E85" s="1">
        <v>100</v>
      </c>
      <c r="F85" s="5">
        <f t="shared" si="4"/>
        <v>10.289542361152117</v>
      </c>
      <c r="G85" s="1">
        <v>100</v>
      </c>
      <c r="H85" s="5">
        <f t="shared" si="4"/>
        <v>10.717940872214092</v>
      </c>
      <c r="I85" s="1">
        <v>100</v>
      </c>
      <c r="J85" s="5">
        <f t="shared" si="3"/>
        <v>10.550846126115262</v>
      </c>
      <c r="K85" s="1">
        <v>100</v>
      </c>
      <c r="L85" s="5">
        <f t="shared" si="0"/>
        <v>10.519443119827157</v>
      </c>
      <c r="M85" s="1">
        <v>100</v>
      </c>
      <c r="N85" s="5">
        <f t="shared" si="0"/>
        <v>10.596076706052171</v>
      </c>
      <c r="O85" s="1">
        <v>100</v>
      </c>
      <c r="P85" s="5">
        <f t="shared" si="1"/>
        <v>10.55545531733153</v>
      </c>
      <c r="Q85" s="1">
        <v>100</v>
      </c>
      <c r="R85" s="5">
        <f t="shared" si="2"/>
        <v>10.55699171440362</v>
      </c>
      <c r="S85" s="1">
        <v>100</v>
      </c>
      <c r="T85" s="8">
        <f t="shared" si="5"/>
        <v>10.519443119827157</v>
      </c>
      <c r="U85" s="5"/>
      <c r="V85" s="5"/>
      <c r="W85" s="5"/>
      <c r="X85" s="5"/>
      <c r="Y85" s="5"/>
      <c r="Z85" s="5"/>
      <c r="AA85" s="5"/>
      <c r="AB85" s="5"/>
      <c r="AC85" s="5"/>
    </row>
    <row r="86" spans="2:29" ht="12.75">
      <c r="B86" s="1" t="s">
        <v>155</v>
      </c>
      <c r="D86" s="1" t="s">
        <v>12</v>
      </c>
      <c r="E86" s="1">
        <v>100</v>
      </c>
      <c r="F86" s="5">
        <f t="shared" si="4"/>
        <v>74.08470500029522</v>
      </c>
      <c r="G86" s="1">
        <v>100</v>
      </c>
      <c r="H86" s="5">
        <f t="shared" si="4"/>
        <v>77.16917427994144</v>
      </c>
      <c r="I86" s="1">
        <v>100</v>
      </c>
      <c r="J86" s="5">
        <f t="shared" si="3"/>
        <v>75.96609210802986</v>
      </c>
      <c r="K86" s="1">
        <v>100</v>
      </c>
      <c r="L86" s="5">
        <f t="shared" si="0"/>
        <v>75.7399904627555</v>
      </c>
      <c r="M86" s="1">
        <v>100</v>
      </c>
      <c r="N86" s="5">
        <f t="shared" si="0"/>
        <v>76.2917522835756</v>
      </c>
      <c r="O86" s="1">
        <v>100</v>
      </c>
      <c r="P86" s="5">
        <f t="shared" si="1"/>
        <v>75.999278284787</v>
      </c>
      <c r="Q86" s="1">
        <v>100</v>
      </c>
      <c r="R86" s="5">
        <f t="shared" si="2"/>
        <v>76.01034034370603</v>
      </c>
      <c r="S86" s="1">
        <v>100</v>
      </c>
      <c r="T86" s="8">
        <f t="shared" si="5"/>
        <v>75.7399904627555</v>
      </c>
      <c r="U86" s="5"/>
      <c r="V86" s="5"/>
      <c r="W86" s="5"/>
      <c r="X86" s="5"/>
      <c r="Y86" s="5"/>
      <c r="Z86" s="5"/>
      <c r="AA86" s="5"/>
      <c r="AB86" s="5"/>
      <c r="AC86" s="5"/>
    </row>
    <row r="87" spans="2:29" ht="12.75">
      <c r="B87" s="1" t="s">
        <v>185</v>
      </c>
      <c r="D87" s="1" t="s">
        <v>12</v>
      </c>
      <c r="F87" s="5">
        <f t="shared" si="4"/>
        <v>468.8452345429311</v>
      </c>
      <c r="H87" s="5">
        <f t="shared" si="4"/>
        <v>260.0265655084984</v>
      </c>
      <c r="J87" s="5">
        <f t="shared" si="3"/>
        <v>1000.0367197796204</v>
      </c>
      <c r="L87" s="5">
        <f t="shared" si="0"/>
        <v>576.3028399436834</v>
      </c>
      <c r="N87" s="5">
        <f t="shared" si="0"/>
        <v>612.1220417439341</v>
      </c>
      <c r="P87" s="5">
        <f t="shared" si="1"/>
        <v>729.4872004890793</v>
      </c>
      <c r="R87" s="5">
        <f t="shared" si="2"/>
        <v>639.3040273922323</v>
      </c>
      <c r="T87" s="8">
        <f t="shared" si="5"/>
        <v>576.3028399436834</v>
      </c>
      <c r="U87" s="5"/>
      <c r="V87" s="5"/>
      <c r="W87" s="5"/>
      <c r="X87" s="5"/>
      <c r="Y87" s="5"/>
      <c r="Z87" s="5"/>
      <c r="AA87" s="5"/>
      <c r="AB87" s="5"/>
      <c r="AC87" s="5"/>
    </row>
    <row r="88" spans="2:29" ht="12.75">
      <c r="B88" s="1" t="s">
        <v>5</v>
      </c>
      <c r="D88" s="1" t="s">
        <v>12</v>
      </c>
      <c r="F88" s="5">
        <f>F81+F80</f>
        <v>86.6111043964804</v>
      </c>
      <c r="H88" s="5">
        <f>H81+H80</f>
        <v>54.05570179029717</v>
      </c>
      <c r="J88" s="5">
        <f>J81+J80</f>
        <v>146.6108879089755</v>
      </c>
      <c r="L88" s="5">
        <f>AVERAGE(J88,H88,F88)</f>
        <v>95.75923136525103</v>
      </c>
      <c r="N88" s="5">
        <f>F88</f>
        <v>86.6111043964804</v>
      </c>
      <c r="P88" s="5">
        <f>H88</f>
        <v>54.05570179029717</v>
      </c>
      <c r="R88" s="5">
        <f>J88</f>
        <v>146.6108879089755</v>
      </c>
      <c r="T88" s="5">
        <f>L88</f>
        <v>95.75923136525103</v>
      </c>
      <c r="U88" s="5"/>
      <c r="V88" s="5"/>
      <c r="W88" s="5"/>
      <c r="X88" s="5"/>
      <c r="Y88" s="5"/>
      <c r="Z88" s="5"/>
      <c r="AA88" s="5"/>
      <c r="AB88" s="5"/>
      <c r="AC88" s="5"/>
    </row>
    <row r="89" spans="2:29" ht="12.75">
      <c r="B89" s="1" t="s">
        <v>6</v>
      </c>
      <c r="D89" s="1" t="s">
        <v>12</v>
      </c>
      <c r="E89" s="1">
        <f>F83/F89*100</f>
        <v>1.7116640197635435</v>
      </c>
      <c r="F89" s="5">
        <f>F82+F83+F84</f>
        <v>202.82030108051833</v>
      </c>
      <c r="G89" s="1">
        <f>H83/H89*100</f>
        <v>2.2626545369722417</v>
      </c>
      <c r="H89" s="5">
        <f>H82+H83+H84</f>
        <v>159.8184783275889</v>
      </c>
      <c r="I89" s="1">
        <f>J83/J89*100</f>
        <v>0.8946688802803912</v>
      </c>
      <c r="J89" s="5">
        <f>J82+J83+J84</f>
        <v>397.88616938901447</v>
      </c>
      <c r="K89" s="1">
        <f>L83/L89*100</f>
        <v>1.4000205939955408</v>
      </c>
      <c r="L89" s="5">
        <f>AVERAGE(J89,H89,F89)</f>
        <v>253.50831626570724</v>
      </c>
      <c r="M89" s="1">
        <f>E89</f>
        <v>1.7116640197635435</v>
      </c>
      <c r="N89" s="5">
        <f>F89</f>
        <v>202.82030108051833</v>
      </c>
      <c r="O89" s="1">
        <f>G89</f>
        <v>2.2626545369722417</v>
      </c>
      <c r="P89" s="5">
        <f>H89</f>
        <v>159.8184783275889</v>
      </c>
      <c r="Q89" s="1">
        <f>I89</f>
        <v>0.8946688802803912</v>
      </c>
      <c r="R89" s="5">
        <f>J89</f>
        <v>397.88616938901447</v>
      </c>
      <c r="S89" s="1">
        <f>K89</f>
        <v>1.4000205939955408</v>
      </c>
      <c r="T89" s="5">
        <f>L89</f>
        <v>253.50831626570724</v>
      </c>
      <c r="U89" s="5"/>
      <c r="V89" s="5"/>
      <c r="W89" s="5"/>
      <c r="X89" s="5"/>
      <c r="Y89" s="5"/>
      <c r="Z89" s="5"/>
      <c r="AA89" s="5"/>
      <c r="AB89" s="5"/>
      <c r="AC89" s="5"/>
    </row>
    <row r="91" ht="12.75">
      <c r="B91" s="1" t="s">
        <v>110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22" sqref="B22"/>
    </sheetView>
  </sheetViews>
  <sheetFormatPr defaultColWidth="9.140625" defaultRowHeight="12.75"/>
  <cols>
    <col min="1" max="1" width="21.8515625" style="1" customWidth="1"/>
    <col min="2" max="2" width="7.00390625" style="1" customWidth="1"/>
    <col min="3" max="3" width="8.140625" style="1" customWidth="1"/>
    <col min="4" max="4" width="7.421875" style="1" customWidth="1"/>
    <col min="5" max="5" width="7.8515625" style="1" customWidth="1"/>
    <col min="6" max="6" width="9.57421875" style="1" customWidth="1"/>
    <col min="7" max="16384" width="11.421875" style="1" customWidth="1"/>
  </cols>
  <sheetData>
    <row r="1" ht="12.75">
      <c r="A1" s="11" t="s">
        <v>60</v>
      </c>
    </row>
    <row r="3" spans="2:6" ht="12.75">
      <c r="B3" s="1" t="s">
        <v>43</v>
      </c>
      <c r="C3" s="2" t="s">
        <v>44</v>
      </c>
      <c r="D3" s="2" t="s">
        <v>44</v>
      </c>
      <c r="E3" s="2" t="s">
        <v>44</v>
      </c>
      <c r="F3" s="2" t="s">
        <v>61</v>
      </c>
    </row>
    <row r="4" spans="3:6" ht="12.75">
      <c r="C4" s="2">
        <v>1</v>
      </c>
      <c r="D4" s="2">
        <v>2</v>
      </c>
      <c r="E4" s="2">
        <v>3</v>
      </c>
      <c r="F4" s="2"/>
    </row>
    <row r="5" spans="3:6" ht="12.75">
      <c r="C5" s="2"/>
      <c r="D5" s="2"/>
      <c r="E5" s="2"/>
      <c r="F5" s="2"/>
    </row>
    <row r="6" spans="1:6" ht="12.75">
      <c r="A6" s="11" t="s">
        <v>62</v>
      </c>
      <c r="C6" s="2"/>
      <c r="D6" s="2"/>
      <c r="E6" s="2"/>
      <c r="F6" s="2"/>
    </row>
    <row r="7" spans="1:6" ht="12.75">
      <c r="A7" s="11"/>
      <c r="C7" s="2"/>
      <c r="D7" s="2"/>
      <c r="E7" s="2"/>
      <c r="F7" s="2"/>
    </row>
    <row r="8" spans="1:6" ht="12.75">
      <c r="A8" s="1" t="s">
        <v>63</v>
      </c>
      <c r="B8" s="1" t="s">
        <v>17</v>
      </c>
      <c r="C8" s="1">
        <f>(775*1.8)+32</f>
        <v>1427</v>
      </c>
      <c r="D8" s="1">
        <f>(775*1.8)+32</f>
        <v>1427</v>
      </c>
      <c r="E8" s="1">
        <f>(775*1.8)+32</f>
        <v>1427</v>
      </c>
      <c r="F8" s="1">
        <f>AVERAGE(C8,D8,E8)</f>
        <v>1427</v>
      </c>
    </row>
    <row r="9" spans="1:6" ht="12.75">
      <c r="A9" s="1" t="s">
        <v>64</v>
      </c>
      <c r="B9" s="1" t="s">
        <v>52</v>
      </c>
      <c r="C9" s="1">
        <v>8700</v>
      </c>
      <c r="D9" s="1">
        <v>8700</v>
      </c>
      <c r="E9" s="1">
        <v>8700</v>
      </c>
      <c r="F9" s="1">
        <f>AVERAGE(C9,D9,E9)</f>
        <v>8700</v>
      </c>
    </row>
    <row r="11" ht="12.75">
      <c r="A11" s="11" t="s">
        <v>65</v>
      </c>
    </row>
    <row r="12" ht="12.75">
      <c r="A12" s="11"/>
    </row>
    <row r="13" spans="1:6" ht="12.75">
      <c r="A13" s="1" t="s">
        <v>63</v>
      </c>
      <c r="B13" s="1" t="s">
        <v>17</v>
      </c>
      <c r="C13" s="1">
        <f>(1100*1.8)+32</f>
        <v>2012</v>
      </c>
      <c r="D13" s="1">
        <f>(1100*1.8)+32</f>
        <v>2012</v>
      </c>
      <c r="E13" s="1">
        <f>(1100*1.8)+32</f>
        <v>2012</v>
      </c>
      <c r="F13" s="1">
        <f>AVERAGE(C13,D13,E13)</f>
        <v>2012</v>
      </c>
    </row>
    <row r="14" spans="1:6" ht="12.75">
      <c r="A14" s="1" t="s">
        <v>64</v>
      </c>
      <c r="B14" s="1" t="s">
        <v>52</v>
      </c>
      <c r="C14" s="1">
        <v>29000</v>
      </c>
      <c r="D14" s="1">
        <v>28500</v>
      </c>
      <c r="E14" s="1">
        <v>27500</v>
      </c>
      <c r="F14" s="1">
        <f>AVERAGE(C14,D14,E14)</f>
        <v>28333.333333333332</v>
      </c>
    </row>
    <row r="16" ht="12.75">
      <c r="A16" s="11" t="s">
        <v>66</v>
      </c>
    </row>
    <row r="17" ht="12.75">
      <c r="A17" s="11"/>
    </row>
    <row r="18" spans="1:6" ht="12.75">
      <c r="A18" s="1" t="s">
        <v>63</v>
      </c>
      <c r="B18" s="1" t="s">
        <v>17</v>
      </c>
      <c r="C18" s="1">
        <f>(1075*1.8)+32</f>
        <v>1967</v>
      </c>
      <c r="D18" s="1">
        <f>(1075*1.8)+32</f>
        <v>1967</v>
      </c>
      <c r="E18" s="1">
        <f>(1075*1.8)+32</f>
        <v>1967</v>
      </c>
      <c r="F18" s="1">
        <f>AVERAGE(C18,D18,E18)</f>
        <v>1967</v>
      </c>
    </row>
    <row r="19" spans="1:6" ht="12.75">
      <c r="A19" s="1" t="s">
        <v>64</v>
      </c>
      <c r="B19" s="1" t="s">
        <v>52</v>
      </c>
      <c r="C19" s="1">
        <v>27000</v>
      </c>
      <c r="D19" s="1">
        <v>26500</v>
      </c>
      <c r="E19" s="1">
        <v>27000</v>
      </c>
      <c r="F19" s="1">
        <f>AVERAGE(C19,D19,E19)</f>
        <v>26833.333333333332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1">
      <selection activeCell="G2" sqref="G2"/>
    </sheetView>
  </sheetViews>
  <sheetFormatPr defaultColWidth="9.140625" defaultRowHeight="12.75"/>
  <cols>
    <col min="1" max="1" width="0.9921875" style="12" customWidth="1"/>
    <col min="2" max="2" width="25.8515625" style="12" customWidth="1"/>
    <col min="3" max="3" width="7.8515625" style="12" customWidth="1"/>
    <col min="4" max="4" width="6.00390625" style="12" customWidth="1"/>
    <col min="5" max="5" width="7.421875" style="13" customWidth="1"/>
    <col min="6" max="6" width="8.140625" style="14" customWidth="1"/>
    <col min="7" max="7" width="7.8515625" style="13" customWidth="1"/>
    <col min="8" max="8" width="8.140625" style="14" customWidth="1"/>
    <col min="9" max="9" width="4.421875" style="13" customWidth="1"/>
    <col min="10" max="10" width="7.00390625" style="13" customWidth="1"/>
    <col min="11" max="11" width="8.7109375" style="13" customWidth="1"/>
    <col min="12" max="12" width="7.8515625" style="13" customWidth="1"/>
    <col min="13" max="13" width="8.7109375" style="13" customWidth="1"/>
    <col min="14" max="14" width="4.28125" style="13" customWidth="1"/>
    <col min="15" max="15" width="7.8515625" style="13" customWidth="1"/>
    <col min="16" max="16" width="10.00390625" style="13" customWidth="1"/>
    <col min="17" max="17" width="8.7109375" style="13" customWidth="1"/>
    <col min="18" max="18" width="10.00390625" style="13" customWidth="1"/>
    <col min="19" max="19" width="7.7109375" style="12" customWidth="1"/>
    <col min="20" max="20" width="7.8515625" style="12" customWidth="1"/>
    <col min="21" max="21" width="7.7109375" style="12" customWidth="1"/>
    <col min="22" max="22" width="7.00390625" style="12" customWidth="1"/>
    <col min="23" max="23" width="7.421875" style="12" customWidth="1"/>
    <col min="24" max="16384" width="10.8515625" style="12" customWidth="1"/>
  </cols>
  <sheetData>
    <row r="1" spans="1:18" s="24" customFormat="1" ht="12.75">
      <c r="A1" s="24" t="s">
        <v>118</v>
      </c>
      <c r="E1" s="25"/>
      <c r="F1" s="26"/>
      <c r="G1" s="25"/>
      <c r="H1" s="26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ht="12.75">
      <c r="A2" s="12" t="s">
        <v>206</v>
      </c>
    </row>
    <row r="3" spans="1:3" ht="12.75">
      <c r="A3" s="12" t="s">
        <v>205</v>
      </c>
      <c r="C3" s="33" t="s">
        <v>203</v>
      </c>
    </row>
    <row r="4" spans="1:18" ht="12.75">
      <c r="A4" s="12" t="s">
        <v>204</v>
      </c>
      <c r="C4" s="33" t="s">
        <v>66</v>
      </c>
      <c r="D4" s="15"/>
      <c r="E4" s="16"/>
      <c r="F4" s="17"/>
      <c r="G4" s="16"/>
      <c r="H4" s="17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4" ht="12.75">
      <c r="A5" s="12" t="s">
        <v>202</v>
      </c>
      <c r="C5" s="33" t="s">
        <v>106</v>
      </c>
      <c r="D5" s="15"/>
    </row>
    <row r="6" spans="3:17" ht="12.75">
      <c r="C6" s="15"/>
      <c r="D6" s="15"/>
      <c r="E6" s="18"/>
      <c r="G6" s="18"/>
      <c r="J6" s="18"/>
      <c r="L6" s="18"/>
      <c r="O6" s="18"/>
      <c r="Q6" s="18"/>
    </row>
    <row r="7" spans="3:18" ht="12.75">
      <c r="C7" s="15" t="s">
        <v>67</v>
      </c>
      <c r="D7" s="15"/>
      <c r="E7" s="19" t="s">
        <v>68</v>
      </c>
      <c r="F7" s="19"/>
      <c r="G7" s="19"/>
      <c r="H7" s="19"/>
      <c r="I7" s="20"/>
      <c r="J7" s="19" t="s">
        <v>69</v>
      </c>
      <c r="K7" s="19"/>
      <c r="L7" s="19"/>
      <c r="M7" s="19"/>
      <c r="N7" s="20"/>
      <c r="O7" s="19" t="s">
        <v>70</v>
      </c>
      <c r="P7" s="19"/>
      <c r="Q7" s="19"/>
      <c r="R7" s="19"/>
    </row>
    <row r="8" spans="3:18" ht="12.75">
      <c r="C8" s="15" t="s">
        <v>71</v>
      </c>
      <c r="E8" s="18" t="s">
        <v>72</v>
      </c>
      <c r="F8" s="17" t="s">
        <v>73</v>
      </c>
      <c r="G8" s="18" t="s">
        <v>72</v>
      </c>
      <c r="H8" s="17" t="s">
        <v>73</v>
      </c>
      <c r="J8" s="18" t="s">
        <v>72</v>
      </c>
      <c r="K8" s="18" t="s">
        <v>74</v>
      </c>
      <c r="L8" s="18" t="s">
        <v>72</v>
      </c>
      <c r="M8" s="18" t="s">
        <v>74</v>
      </c>
      <c r="O8" s="18" t="s">
        <v>72</v>
      </c>
      <c r="P8" s="18" t="s">
        <v>74</v>
      </c>
      <c r="Q8" s="18" t="s">
        <v>72</v>
      </c>
      <c r="R8" s="18" t="s">
        <v>74</v>
      </c>
    </row>
    <row r="9" spans="3:18" ht="12.75">
      <c r="C9" s="15"/>
      <c r="E9" s="18" t="s">
        <v>197</v>
      </c>
      <c r="F9" s="18" t="s">
        <v>197</v>
      </c>
      <c r="G9" s="18" t="s">
        <v>116</v>
      </c>
      <c r="H9" s="17" t="s">
        <v>116</v>
      </c>
      <c r="J9" s="18" t="s">
        <v>197</v>
      </c>
      <c r="K9" s="18" t="s">
        <v>197</v>
      </c>
      <c r="L9" s="18" t="s">
        <v>116</v>
      </c>
      <c r="M9" s="17" t="s">
        <v>116</v>
      </c>
      <c r="O9" s="18" t="s">
        <v>197</v>
      </c>
      <c r="P9" s="18" t="s">
        <v>197</v>
      </c>
      <c r="Q9" s="18" t="s">
        <v>116</v>
      </c>
      <c r="R9" s="17" t="s">
        <v>116</v>
      </c>
    </row>
    <row r="10" ht="13.5" customHeight="1">
      <c r="A10" s="12" t="s">
        <v>75</v>
      </c>
    </row>
    <row r="11" spans="2:18" ht="12.75">
      <c r="B11" s="12" t="s">
        <v>76</v>
      </c>
      <c r="C11" s="15">
        <v>1</v>
      </c>
      <c r="D11" s="15" t="s">
        <v>58</v>
      </c>
      <c r="E11" s="14">
        <v>0.01</v>
      </c>
      <c r="F11" s="14">
        <f>IF(E11="","",E11*$C11)</f>
        <v>0.01</v>
      </c>
      <c r="G11" s="14">
        <f>IF(E11=0,"",IF(D11="nd",E11/2,E11))</f>
        <v>0.005</v>
      </c>
      <c r="H11" s="14">
        <f>IF(G11="","",G11*$C11)</f>
        <v>0.005</v>
      </c>
      <c r="I11" s="14" t="s">
        <v>58</v>
      </c>
      <c r="J11" s="1">
        <v>0.007</v>
      </c>
      <c r="K11" s="14">
        <f>IF(J11="","",J11*$C11)</f>
        <v>0.007</v>
      </c>
      <c r="L11" s="14">
        <f>IF(J11=0,"",IF(I11="nd",J11/2,J11))</f>
        <v>0.0035</v>
      </c>
      <c r="M11" s="14">
        <f>IF(L11="","",L11*$C11)</f>
        <v>0.0035</v>
      </c>
      <c r="N11" s="14" t="s">
        <v>58</v>
      </c>
      <c r="O11" s="1">
        <v>0.01</v>
      </c>
      <c r="P11" s="14">
        <f>IF(O11="","",O11*$C11)</f>
        <v>0.01</v>
      </c>
      <c r="Q11" s="14">
        <f>IF(O11=0,"",IF(N11="nd",O11/2,O11))</f>
        <v>0.005</v>
      </c>
      <c r="R11" s="14">
        <f>IF(Q11="","",Q11*$C11)</f>
        <v>0.005</v>
      </c>
    </row>
    <row r="12" spans="2:18" ht="12.75">
      <c r="B12" s="12" t="s">
        <v>77</v>
      </c>
      <c r="C12" s="15">
        <v>0</v>
      </c>
      <c r="D12" s="15"/>
      <c r="E12" s="14"/>
      <c r="F12" s="14">
        <f>IF(E12="","",E12*$C12)</f>
      </c>
      <c r="G12" s="14">
        <f>IF(E12=0,"",IF(D12="nd",E12/2,E12))</f>
      </c>
      <c r="H12" s="14">
        <f>IF(G12="","",G12*$C12)</f>
      </c>
      <c r="I12" s="14"/>
      <c r="J12" s="1"/>
      <c r="K12" s="14">
        <f>IF(J12="","",J12*$C12)</f>
      </c>
      <c r="L12" s="14">
        <f>IF(J12=0,"",IF(I12="nd",J12/2,J12))</f>
      </c>
      <c r="M12" s="14">
        <f>IF(L12="","",L12*$C12)</f>
      </c>
      <c r="N12" s="14"/>
      <c r="O12" s="1"/>
      <c r="P12" s="14">
        <f>IF(O12="","",O12*$C12)</f>
      </c>
      <c r="Q12" s="14">
        <f>IF(O12=0,"",IF(N12="nd",O12/2,O12))</f>
      </c>
      <c r="R12" s="14">
        <f>IF(Q12="","",Q12*$C12)</f>
      </c>
    </row>
    <row r="13" spans="2:18" ht="12.75">
      <c r="B13" s="12" t="s">
        <v>78</v>
      </c>
      <c r="C13" s="15">
        <v>0.5</v>
      </c>
      <c r="D13" s="15" t="s">
        <v>58</v>
      </c>
      <c r="E13" s="14">
        <v>0.02</v>
      </c>
      <c r="F13" s="14">
        <f aca="true" t="shared" si="0" ref="F13:H35">IF(E13="","",E13*$C13)</f>
        <v>0.01</v>
      </c>
      <c r="G13" s="14">
        <f>IF(E13=0,"",IF(D13="nd",E13/2,E13))</f>
        <v>0.01</v>
      </c>
      <c r="H13" s="14">
        <f t="shared" si="0"/>
        <v>0.005</v>
      </c>
      <c r="I13" s="14"/>
      <c r="J13" s="1">
        <v>0.03</v>
      </c>
      <c r="K13" s="14">
        <f aca="true" t="shared" si="1" ref="K13:M28">IF(J13="","",J13*$C13)</f>
        <v>0.015</v>
      </c>
      <c r="L13" s="14">
        <f>IF(J13=0,"",IF(I13="nd",J13/2,J13))</f>
        <v>0.03</v>
      </c>
      <c r="M13" s="14">
        <f t="shared" si="1"/>
        <v>0.015</v>
      </c>
      <c r="N13" s="14"/>
      <c r="O13" s="1">
        <v>0.03</v>
      </c>
      <c r="P13" s="14">
        <f aca="true" t="shared" si="2" ref="P13:R28">IF(O13="","",O13*$C13)</f>
        <v>0.015</v>
      </c>
      <c r="Q13" s="14">
        <f>IF(O13=0,"",IF(N13="nd",O13/2,O13))</f>
        <v>0.03</v>
      </c>
      <c r="R13" s="14">
        <f t="shared" si="2"/>
        <v>0.015</v>
      </c>
    </row>
    <row r="14" spans="2:18" ht="12.75">
      <c r="B14" s="12" t="s">
        <v>79</v>
      </c>
      <c r="C14" s="15">
        <v>0</v>
      </c>
      <c r="D14" s="15"/>
      <c r="E14" s="14"/>
      <c r="F14" s="14">
        <f t="shared" si="0"/>
      </c>
      <c r="G14" s="14">
        <f aca="true" t="shared" si="3" ref="G14:G35">IF(E14=0,"",IF(D14="nd",E14/2,E14))</f>
      </c>
      <c r="H14" s="14">
        <f t="shared" si="0"/>
      </c>
      <c r="I14" s="14"/>
      <c r="J14" s="1"/>
      <c r="K14" s="14">
        <f t="shared" si="1"/>
      </c>
      <c r="L14" s="14">
        <f aca="true" t="shared" si="4" ref="L14:L29">IF(J14=0,"",IF(I14="nd",J14/2,J14))</f>
      </c>
      <c r="M14" s="14">
        <f t="shared" si="1"/>
      </c>
      <c r="N14" s="14"/>
      <c r="O14" s="1"/>
      <c r="P14" s="14">
        <f t="shared" si="2"/>
      </c>
      <c r="Q14" s="14">
        <f aca="true" t="shared" si="5" ref="Q14:Q29">IF(O14=0,"",IF(N14="nd",O14/2,O14))</f>
      </c>
      <c r="R14" s="14">
        <f t="shared" si="2"/>
      </c>
    </row>
    <row r="15" spans="2:18" ht="12.75">
      <c r="B15" s="12" t="s">
        <v>80</v>
      </c>
      <c r="C15" s="15">
        <v>0.1</v>
      </c>
      <c r="D15" s="15"/>
      <c r="E15" s="14">
        <v>0.02</v>
      </c>
      <c r="F15" s="14">
        <f t="shared" si="0"/>
        <v>0.002</v>
      </c>
      <c r="G15" s="14">
        <f t="shared" si="3"/>
        <v>0.02</v>
      </c>
      <c r="H15" s="14">
        <f t="shared" si="0"/>
        <v>0.002</v>
      </c>
      <c r="I15" s="14"/>
      <c r="J15" s="1">
        <v>0.08</v>
      </c>
      <c r="K15" s="14">
        <f t="shared" si="1"/>
        <v>0.008</v>
      </c>
      <c r="L15" s="14">
        <f t="shared" si="4"/>
        <v>0.08</v>
      </c>
      <c r="M15" s="14">
        <f t="shared" si="1"/>
        <v>0.008</v>
      </c>
      <c r="N15" s="14"/>
      <c r="O15" s="1">
        <v>0.08</v>
      </c>
      <c r="P15" s="14">
        <f t="shared" si="2"/>
        <v>0.008</v>
      </c>
      <c r="Q15" s="14">
        <f t="shared" si="5"/>
        <v>0.08</v>
      </c>
      <c r="R15" s="14">
        <f t="shared" si="2"/>
        <v>0.008</v>
      </c>
    </row>
    <row r="16" spans="2:18" ht="12.75">
      <c r="B16" s="12" t="s">
        <v>81</v>
      </c>
      <c r="C16" s="15">
        <v>0.1</v>
      </c>
      <c r="D16" s="15"/>
      <c r="E16" s="14">
        <v>0.03</v>
      </c>
      <c r="F16" s="14">
        <f t="shared" si="0"/>
        <v>0.003</v>
      </c>
      <c r="G16" s="14">
        <f t="shared" si="3"/>
        <v>0.03</v>
      </c>
      <c r="H16" s="14">
        <f t="shared" si="0"/>
        <v>0.003</v>
      </c>
      <c r="I16" s="14"/>
      <c r="J16" s="1">
        <v>0.1</v>
      </c>
      <c r="K16" s="14">
        <f t="shared" si="1"/>
        <v>0.010000000000000002</v>
      </c>
      <c r="L16" s="14">
        <f t="shared" si="4"/>
        <v>0.1</v>
      </c>
      <c r="M16" s="14">
        <f t="shared" si="1"/>
        <v>0.010000000000000002</v>
      </c>
      <c r="N16" s="14"/>
      <c r="O16" s="1">
        <v>0.08</v>
      </c>
      <c r="P16" s="14">
        <f t="shared" si="2"/>
        <v>0.008</v>
      </c>
      <c r="Q16" s="14">
        <f t="shared" si="5"/>
        <v>0.08</v>
      </c>
      <c r="R16" s="14">
        <f t="shared" si="2"/>
        <v>0.008</v>
      </c>
    </row>
    <row r="17" spans="2:18" ht="12.75">
      <c r="B17" s="12" t="s">
        <v>82</v>
      </c>
      <c r="C17" s="15">
        <v>0.1</v>
      </c>
      <c r="D17" s="15"/>
      <c r="E17" s="14">
        <v>0.02</v>
      </c>
      <c r="F17" s="14">
        <f t="shared" si="0"/>
        <v>0.002</v>
      </c>
      <c r="G17" s="14">
        <f t="shared" si="3"/>
        <v>0.02</v>
      </c>
      <c r="H17" s="14">
        <f t="shared" si="0"/>
        <v>0.002</v>
      </c>
      <c r="I17" s="14"/>
      <c r="J17" s="1">
        <v>0.07</v>
      </c>
      <c r="K17" s="14">
        <f t="shared" si="1"/>
        <v>0.007000000000000001</v>
      </c>
      <c r="L17" s="14">
        <f t="shared" si="4"/>
        <v>0.07</v>
      </c>
      <c r="M17" s="14">
        <f t="shared" si="1"/>
        <v>0.007000000000000001</v>
      </c>
      <c r="N17" s="14"/>
      <c r="O17" s="1">
        <v>0.05</v>
      </c>
      <c r="P17" s="14">
        <f t="shared" si="2"/>
        <v>0.005000000000000001</v>
      </c>
      <c r="Q17" s="14">
        <f t="shared" si="5"/>
        <v>0.05</v>
      </c>
      <c r="R17" s="14">
        <f t="shared" si="2"/>
        <v>0.005000000000000001</v>
      </c>
    </row>
    <row r="18" spans="2:18" ht="12.75">
      <c r="B18" s="12" t="s">
        <v>83</v>
      </c>
      <c r="C18" s="15">
        <v>0</v>
      </c>
      <c r="D18" s="15"/>
      <c r="E18" s="14"/>
      <c r="F18" s="14">
        <f t="shared" si="0"/>
      </c>
      <c r="G18" s="14">
        <f t="shared" si="3"/>
      </c>
      <c r="H18" s="14">
        <f t="shared" si="0"/>
      </c>
      <c r="I18" s="14"/>
      <c r="J18" s="1"/>
      <c r="K18" s="14">
        <f t="shared" si="1"/>
      </c>
      <c r="L18" s="14">
        <f t="shared" si="4"/>
      </c>
      <c r="M18" s="14">
        <f t="shared" si="1"/>
      </c>
      <c r="N18" s="14"/>
      <c r="O18" s="1"/>
      <c r="P18" s="14">
        <f t="shared" si="2"/>
      </c>
      <c r="Q18" s="14">
        <f t="shared" si="5"/>
      </c>
      <c r="R18" s="14">
        <f t="shared" si="2"/>
      </c>
    </row>
    <row r="19" spans="2:18" ht="12.75">
      <c r="B19" s="12" t="s">
        <v>84</v>
      </c>
      <c r="C19" s="15">
        <v>0.01</v>
      </c>
      <c r="D19" s="15"/>
      <c r="E19" s="14">
        <v>0.15</v>
      </c>
      <c r="F19" s="14">
        <f t="shared" si="0"/>
        <v>0.0015</v>
      </c>
      <c r="G19" s="14">
        <f t="shared" si="3"/>
        <v>0.15</v>
      </c>
      <c r="H19" s="14">
        <f t="shared" si="0"/>
        <v>0.0015</v>
      </c>
      <c r="I19" s="14"/>
      <c r="J19" s="1">
        <v>0.47</v>
      </c>
      <c r="K19" s="14">
        <f t="shared" si="1"/>
        <v>0.0047</v>
      </c>
      <c r="L19" s="14">
        <f t="shared" si="4"/>
        <v>0.47</v>
      </c>
      <c r="M19" s="14">
        <f t="shared" si="1"/>
        <v>0.0047</v>
      </c>
      <c r="N19" s="14"/>
      <c r="O19" s="1">
        <v>0.38</v>
      </c>
      <c r="P19" s="14">
        <f t="shared" si="2"/>
        <v>0.0038</v>
      </c>
      <c r="Q19" s="14">
        <f t="shared" si="5"/>
        <v>0.38</v>
      </c>
      <c r="R19" s="14">
        <f t="shared" si="2"/>
        <v>0.0038</v>
      </c>
    </row>
    <row r="20" spans="2:18" ht="12.75">
      <c r="B20" s="12" t="s">
        <v>85</v>
      </c>
      <c r="C20" s="15">
        <v>0</v>
      </c>
      <c r="D20" s="15"/>
      <c r="E20" s="14"/>
      <c r="F20" s="14">
        <f t="shared" si="0"/>
      </c>
      <c r="G20" s="14">
        <f t="shared" si="3"/>
      </c>
      <c r="H20" s="14">
        <f t="shared" si="0"/>
      </c>
      <c r="I20" s="14"/>
      <c r="J20" s="1"/>
      <c r="K20" s="14">
        <f t="shared" si="1"/>
      </c>
      <c r="L20" s="14">
        <f t="shared" si="4"/>
      </c>
      <c r="M20" s="14">
        <f t="shared" si="1"/>
      </c>
      <c r="N20" s="14"/>
      <c r="O20" s="1"/>
      <c r="P20" s="14">
        <f t="shared" si="2"/>
      </c>
      <c r="Q20" s="14">
        <f t="shared" si="5"/>
      </c>
      <c r="R20" s="14">
        <f t="shared" si="2"/>
      </c>
    </row>
    <row r="21" spans="2:18" ht="12.75">
      <c r="B21" s="12" t="s">
        <v>86</v>
      </c>
      <c r="C21" s="15">
        <v>0.001</v>
      </c>
      <c r="D21" s="15"/>
      <c r="E21" s="14">
        <v>0.63</v>
      </c>
      <c r="F21" s="14">
        <f t="shared" si="0"/>
        <v>0.00063</v>
      </c>
      <c r="G21" s="14">
        <f t="shared" si="3"/>
        <v>0.63</v>
      </c>
      <c r="H21" s="14">
        <f t="shared" si="0"/>
        <v>0.00063</v>
      </c>
      <c r="I21" s="14"/>
      <c r="J21" s="1">
        <v>1</v>
      </c>
      <c r="K21" s="14">
        <f t="shared" si="1"/>
        <v>0.001</v>
      </c>
      <c r="L21" s="14">
        <f t="shared" si="4"/>
        <v>1</v>
      </c>
      <c r="M21" s="14">
        <f t="shared" si="1"/>
        <v>0.001</v>
      </c>
      <c r="N21" s="14"/>
      <c r="O21" s="1">
        <v>0.96</v>
      </c>
      <c r="P21" s="14">
        <f t="shared" si="2"/>
        <v>0.00096</v>
      </c>
      <c r="Q21" s="14">
        <f t="shared" si="5"/>
        <v>0.96</v>
      </c>
      <c r="R21" s="14">
        <f t="shared" si="2"/>
        <v>0.00096</v>
      </c>
    </row>
    <row r="22" spans="2:18" ht="12.75">
      <c r="B22" s="12" t="s">
        <v>87</v>
      </c>
      <c r="C22" s="15">
        <v>0.1</v>
      </c>
      <c r="D22" s="15"/>
      <c r="E22" s="14">
        <v>0.07</v>
      </c>
      <c r="F22" s="14">
        <f t="shared" si="0"/>
        <v>0.007000000000000001</v>
      </c>
      <c r="G22" s="14">
        <f t="shared" si="3"/>
        <v>0.07</v>
      </c>
      <c r="H22" s="14">
        <f t="shared" si="0"/>
        <v>0.007000000000000001</v>
      </c>
      <c r="I22" s="14"/>
      <c r="J22" s="1">
        <v>0.17</v>
      </c>
      <c r="K22" s="14">
        <f t="shared" si="1"/>
        <v>0.017</v>
      </c>
      <c r="L22" s="14">
        <f t="shared" si="4"/>
        <v>0.17</v>
      </c>
      <c r="M22" s="14">
        <f t="shared" si="1"/>
        <v>0.017</v>
      </c>
      <c r="N22" s="14"/>
      <c r="O22" s="1">
        <v>0.16</v>
      </c>
      <c r="P22" s="14">
        <f t="shared" si="2"/>
        <v>0.016</v>
      </c>
      <c r="Q22" s="14">
        <f t="shared" si="5"/>
        <v>0.16</v>
      </c>
      <c r="R22" s="14">
        <f t="shared" si="2"/>
        <v>0.016</v>
      </c>
    </row>
    <row r="23" spans="2:18" ht="12.75">
      <c r="B23" s="12" t="s">
        <v>88</v>
      </c>
      <c r="C23" s="15">
        <v>0</v>
      </c>
      <c r="D23" s="15"/>
      <c r="E23" s="14"/>
      <c r="F23" s="14">
        <f t="shared" si="0"/>
      </c>
      <c r="G23" s="14">
        <f t="shared" si="3"/>
      </c>
      <c r="H23" s="14">
        <f t="shared" si="0"/>
      </c>
      <c r="I23" s="14"/>
      <c r="J23" s="1"/>
      <c r="K23" s="14">
        <f t="shared" si="1"/>
      </c>
      <c r="L23" s="14">
        <f t="shared" si="4"/>
      </c>
      <c r="M23" s="14">
        <f t="shared" si="1"/>
      </c>
      <c r="N23" s="14"/>
      <c r="O23" s="1"/>
      <c r="P23" s="14">
        <f t="shared" si="2"/>
      </c>
      <c r="Q23" s="14">
        <f t="shared" si="5"/>
      </c>
      <c r="R23" s="14">
        <f t="shared" si="2"/>
      </c>
    </row>
    <row r="24" spans="2:18" ht="12.75">
      <c r="B24" s="12" t="s">
        <v>89</v>
      </c>
      <c r="C24" s="15">
        <v>0.05</v>
      </c>
      <c r="D24" s="15"/>
      <c r="E24" s="14">
        <v>0.15</v>
      </c>
      <c r="F24" s="14">
        <f t="shared" si="0"/>
        <v>0.0075</v>
      </c>
      <c r="G24" s="14">
        <f t="shared" si="3"/>
        <v>0.15</v>
      </c>
      <c r="H24" s="14">
        <f t="shared" si="0"/>
        <v>0.0075</v>
      </c>
      <c r="I24" s="14"/>
      <c r="J24" s="1">
        <v>0.42</v>
      </c>
      <c r="K24" s="14">
        <f t="shared" si="1"/>
        <v>0.021</v>
      </c>
      <c r="L24" s="14">
        <f t="shared" si="4"/>
        <v>0.42</v>
      </c>
      <c r="M24" s="14">
        <f t="shared" si="1"/>
        <v>0.021</v>
      </c>
      <c r="N24" s="14"/>
      <c r="O24" s="1">
        <v>0.43</v>
      </c>
      <c r="P24" s="14">
        <f t="shared" si="2"/>
        <v>0.021500000000000002</v>
      </c>
      <c r="Q24" s="14">
        <f t="shared" si="5"/>
        <v>0.43</v>
      </c>
      <c r="R24" s="14">
        <f t="shared" si="2"/>
        <v>0.021500000000000002</v>
      </c>
    </row>
    <row r="25" spans="2:18" ht="12.75">
      <c r="B25" s="12" t="s">
        <v>90</v>
      </c>
      <c r="C25" s="15">
        <v>0.5</v>
      </c>
      <c r="D25" s="15"/>
      <c r="E25" s="14">
        <v>0.07</v>
      </c>
      <c r="F25" s="14">
        <f t="shared" si="0"/>
        <v>0.035</v>
      </c>
      <c r="G25" s="14">
        <f t="shared" si="3"/>
        <v>0.07</v>
      </c>
      <c r="H25" s="14">
        <f t="shared" si="0"/>
        <v>0.035</v>
      </c>
      <c r="I25" s="14"/>
      <c r="J25" s="1">
        <v>0.21</v>
      </c>
      <c r="K25" s="14">
        <f t="shared" si="1"/>
        <v>0.105</v>
      </c>
      <c r="L25" s="14">
        <f t="shared" si="4"/>
        <v>0.21</v>
      </c>
      <c r="M25" s="14">
        <f t="shared" si="1"/>
        <v>0.105</v>
      </c>
      <c r="N25" s="14"/>
      <c r="O25" s="1">
        <v>0.22</v>
      </c>
      <c r="P25" s="14">
        <f t="shared" si="2"/>
        <v>0.11</v>
      </c>
      <c r="Q25" s="14">
        <f t="shared" si="5"/>
        <v>0.22</v>
      </c>
      <c r="R25" s="14">
        <f t="shared" si="2"/>
        <v>0.11</v>
      </c>
    </row>
    <row r="26" spans="2:18" ht="12.75">
      <c r="B26" s="12" t="s">
        <v>91</v>
      </c>
      <c r="C26" s="15">
        <v>0</v>
      </c>
      <c r="D26" s="15"/>
      <c r="E26" s="14"/>
      <c r="F26" s="14">
        <f t="shared" si="0"/>
      </c>
      <c r="G26" s="14">
        <f t="shared" si="3"/>
      </c>
      <c r="H26" s="14">
        <f t="shared" si="0"/>
      </c>
      <c r="I26" s="14"/>
      <c r="J26" s="1"/>
      <c r="K26" s="14">
        <f t="shared" si="1"/>
      </c>
      <c r="L26" s="14">
        <f t="shared" si="4"/>
      </c>
      <c r="M26" s="14">
        <f t="shared" si="1"/>
      </c>
      <c r="N26" s="14"/>
      <c r="O26" s="1"/>
      <c r="P26" s="14">
        <f t="shared" si="2"/>
      </c>
      <c r="Q26" s="14">
        <f t="shared" si="5"/>
      </c>
      <c r="R26" s="14">
        <f t="shared" si="2"/>
      </c>
    </row>
    <row r="27" spans="2:18" ht="12.75">
      <c r="B27" s="12" t="s">
        <v>92</v>
      </c>
      <c r="C27" s="15">
        <v>0.1</v>
      </c>
      <c r="D27" s="15"/>
      <c r="E27" s="14">
        <v>0.37</v>
      </c>
      <c r="F27" s="14">
        <f t="shared" si="0"/>
        <v>0.037</v>
      </c>
      <c r="G27" s="14">
        <f t="shared" si="3"/>
        <v>0.37</v>
      </c>
      <c r="H27" s="14">
        <f t="shared" si="0"/>
        <v>0.037</v>
      </c>
      <c r="I27" s="14"/>
      <c r="J27" s="1">
        <v>1.3</v>
      </c>
      <c r="K27" s="14">
        <f t="shared" si="1"/>
        <v>0.13</v>
      </c>
      <c r="L27" s="14">
        <f t="shared" si="4"/>
        <v>1.3</v>
      </c>
      <c r="M27" s="14">
        <f t="shared" si="1"/>
        <v>0.13</v>
      </c>
      <c r="N27" s="14"/>
      <c r="O27" s="1">
        <v>1.3</v>
      </c>
      <c r="P27" s="14">
        <f t="shared" si="2"/>
        <v>0.13</v>
      </c>
      <c r="Q27" s="14">
        <f t="shared" si="5"/>
        <v>1.3</v>
      </c>
      <c r="R27" s="14">
        <f t="shared" si="2"/>
        <v>0.13</v>
      </c>
    </row>
    <row r="28" spans="2:18" ht="12.75">
      <c r="B28" s="12" t="s">
        <v>93</v>
      </c>
      <c r="C28" s="15">
        <v>0.1</v>
      </c>
      <c r="D28" s="15"/>
      <c r="E28" s="14">
        <v>0.11</v>
      </c>
      <c r="F28" s="14">
        <f t="shared" si="0"/>
        <v>0.011000000000000001</v>
      </c>
      <c r="G28" s="14">
        <f t="shared" si="3"/>
        <v>0.11</v>
      </c>
      <c r="H28" s="14">
        <f t="shared" si="0"/>
        <v>0.011000000000000001</v>
      </c>
      <c r="I28" s="14"/>
      <c r="J28" s="1">
        <v>0.38</v>
      </c>
      <c r="K28" s="14">
        <f t="shared" si="1"/>
        <v>0.038000000000000006</v>
      </c>
      <c r="L28" s="14">
        <f t="shared" si="4"/>
        <v>0.38</v>
      </c>
      <c r="M28" s="14">
        <f t="shared" si="1"/>
        <v>0.038000000000000006</v>
      </c>
      <c r="N28" s="14"/>
      <c r="O28" s="1">
        <v>0.35</v>
      </c>
      <c r="P28" s="14">
        <f t="shared" si="2"/>
        <v>0.034999999999999996</v>
      </c>
      <c r="Q28" s="14">
        <f t="shared" si="5"/>
        <v>0.35</v>
      </c>
      <c r="R28" s="14">
        <f t="shared" si="2"/>
        <v>0.034999999999999996</v>
      </c>
    </row>
    <row r="29" spans="2:18" ht="12.75">
      <c r="B29" s="12" t="s">
        <v>94</v>
      </c>
      <c r="C29" s="15">
        <v>0.1</v>
      </c>
      <c r="D29" s="15"/>
      <c r="E29" s="14">
        <v>0.07</v>
      </c>
      <c r="F29" s="14">
        <f t="shared" si="0"/>
        <v>0.007000000000000001</v>
      </c>
      <c r="G29" s="14">
        <f t="shared" si="3"/>
        <v>0.07</v>
      </c>
      <c r="H29" s="14">
        <f t="shared" si="0"/>
        <v>0.007000000000000001</v>
      </c>
      <c r="I29" s="14"/>
      <c r="J29" s="1">
        <v>0.22</v>
      </c>
      <c r="K29" s="14">
        <f aca="true" t="shared" si="6" ref="K29:M35">IF(J29="","",J29*$C29)</f>
        <v>0.022000000000000002</v>
      </c>
      <c r="L29" s="14">
        <f t="shared" si="4"/>
        <v>0.22</v>
      </c>
      <c r="M29" s="14">
        <f t="shared" si="6"/>
        <v>0.022000000000000002</v>
      </c>
      <c r="N29" s="14"/>
      <c r="O29" s="1">
        <v>0.22</v>
      </c>
      <c r="P29" s="14">
        <f aca="true" t="shared" si="7" ref="P29:R35">IF(O29="","",O29*$C29)</f>
        <v>0.022000000000000002</v>
      </c>
      <c r="Q29" s="14">
        <f t="shared" si="5"/>
        <v>0.22</v>
      </c>
      <c r="R29" s="14">
        <f t="shared" si="7"/>
        <v>0.022000000000000002</v>
      </c>
    </row>
    <row r="30" spans="2:18" ht="12.75">
      <c r="B30" s="12" t="s">
        <v>95</v>
      </c>
      <c r="C30" s="15">
        <v>0.1</v>
      </c>
      <c r="D30" s="15"/>
      <c r="E30" s="14">
        <v>0.01</v>
      </c>
      <c r="F30" s="14">
        <f t="shared" si="0"/>
        <v>0.001</v>
      </c>
      <c r="G30" s="14">
        <f t="shared" si="3"/>
        <v>0.01</v>
      </c>
      <c r="H30" s="14">
        <f t="shared" si="0"/>
        <v>0.001</v>
      </c>
      <c r="I30" s="14"/>
      <c r="J30" s="1">
        <v>0.06</v>
      </c>
      <c r="K30" s="14">
        <f t="shared" si="6"/>
        <v>0.006</v>
      </c>
      <c r="L30" s="14">
        <f aca="true" t="shared" si="8" ref="L30:L35">IF(J30=0,"",IF(I30="nd",J30/2,J30))</f>
        <v>0.06</v>
      </c>
      <c r="M30" s="14">
        <f t="shared" si="6"/>
        <v>0.006</v>
      </c>
      <c r="N30" s="14"/>
      <c r="O30" s="1">
        <v>0.05</v>
      </c>
      <c r="P30" s="14">
        <f t="shared" si="7"/>
        <v>0.005000000000000001</v>
      </c>
      <c r="Q30" s="14">
        <f aca="true" t="shared" si="9" ref="Q30:Q35">IF(O30=0,"",IF(N30="nd",O30/2,O30))</f>
        <v>0.05</v>
      </c>
      <c r="R30" s="14">
        <f t="shared" si="7"/>
        <v>0.005000000000000001</v>
      </c>
    </row>
    <row r="31" spans="2:18" ht="12.75">
      <c r="B31" s="12" t="s">
        <v>96</v>
      </c>
      <c r="C31" s="15">
        <v>0</v>
      </c>
      <c r="D31" s="15"/>
      <c r="E31" s="14"/>
      <c r="F31" s="14">
        <f t="shared" si="0"/>
      </c>
      <c r="G31" s="14">
        <f t="shared" si="3"/>
      </c>
      <c r="H31" s="14">
        <f t="shared" si="0"/>
      </c>
      <c r="I31" s="14"/>
      <c r="J31" s="1"/>
      <c r="K31" s="14">
        <f t="shared" si="6"/>
      </c>
      <c r="L31" s="14">
        <f t="shared" si="8"/>
      </c>
      <c r="M31" s="14">
        <f t="shared" si="6"/>
      </c>
      <c r="N31" s="14"/>
      <c r="O31" s="1"/>
      <c r="P31" s="14">
        <f t="shared" si="7"/>
      </c>
      <c r="Q31" s="14">
        <f t="shared" si="9"/>
      </c>
      <c r="R31" s="14">
        <f t="shared" si="7"/>
      </c>
    </row>
    <row r="32" spans="2:18" ht="12.75">
      <c r="B32" s="12" t="s">
        <v>97</v>
      </c>
      <c r="C32" s="15">
        <v>0.01</v>
      </c>
      <c r="D32" s="15"/>
      <c r="E32" s="14">
        <v>1.2</v>
      </c>
      <c r="F32" s="14">
        <f t="shared" si="0"/>
        <v>0.012</v>
      </c>
      <c r="G32" s="14">
        <f t="shared" si="3"/>
        <v>1.2</v>
      </c>
      <c r="H32" s="14">
        <f t="shared" si="0"/>
        <v>0.012</v>
      </c>
      <c r="I32" s="14"/>
      <c r="J32" s="1">
        <v>5.2</v>
      </c>
      <c r="K32" s="14">
        <f t="shared" si="6"/>
        <v>0.052000000000000005</v>
      </c>
      <c r="L32" s="14">
        <f t="shared" si="8"/>
        <v>5.2</v>
      </c>
      <c r="M32" s="14">
        <f t="shared" si="6"/>
        <v>0.052000000000000005</v>
      </c>
      <c r="N32" s="14"/>
      <c r="O32" s="1">
        <v>4.4</v>
      </c>
      <c r="P32" s="14">
        <f t="shared" si="7"/>
        <v>0.044000000000000004</v>
      </c>
      <c r="Q32" s="14">
        <f t="shared" si="9"/>
        <v>4.4</v>
      </c>
      <c r="R32" s="14">
        <f t="shared" si="7"/>
        <v>0.044000000000000004</v>
      </c>
    </row>
    <row r="33" spans="2:18" ht="12.75">
      <c r="B33" s="12" t="s">
        <v>98</v>
      </c>
      <c r="C33" s="15">
        <v>0.01</v>
      </c>
      <c r="D33" s="15"/>
      <c r="E33" s="14">
        <v>0.34</v>
      </c>
      <c r="F33" s="14">
        <f t="shared" si="0"/>
        <v>0.0034000000000000002</v>
      </c>
      <c r="G33" s="14">
        <f t="shared" si="3"/>
        <v>0.34</v>
      </c>
      <c r="H33" s="14">
        <f t="shared" si="0"/>
        <v>0.0034000000000000002</v>
      </c>
      <c r="I33" s="14"/>
      <c r="J33" s="1">
        <v>1.2</v>
      </c>
      <c r="K33" s="14">
        <f t="shared" si="6"/>
        <v>0.012</v>
      </c>
      <c r="L33" s="14">
        <f t="shared" si="8"/>
        <v>1.2</v>
      </c>
      <c r="M33" s="14">
        <f t="shared" si="6"/>
        <v>0.012</v>
      </c>
      <c r="N33" s="14"/>
      <c r="O33" s="1">
        <v>1.1</v>
      </c>
      <c r="P33" s="14">
        <f t="shared" si="7"/>
        <v>0.011000000000000001</v>
      </c>
      <c r="Q33" s="14">
        <f t="shared" si="9"/>
        <v>1.1</v>
      </c>
      <c r="R33" s="14">
        <f t="shared" si="7"/>
        <v>0.011000000000000001</v>
      </c>
    </row>
    <row r="34" spans="2:18" ht="12.75">
      <c r="B34" s="12" t="s">
        <v>99</v>
      </c>
      <c r="C34" s="15">
        <v>0</v>
      </c>
      <c r="D34" s="15"/>
      <c r="E34" s="14"/>
      <c r="F34" s="14">
        <f t="shared" si="0"/>
      </c>
      <c r="G34" s="14">
        <f t="shared" si="3"/>
      </c>
      <c r="H34" s="14">
        <f t="shared" si="0"/>
      </c>
      <c r="I34" s="14"/>
      <c r="J34" s="1"/>
      <c r="K34" s="14">
        <f t="shared" si="6"/>
      </c>
      <c r="L34" s="14">
        <f t="shared" si="8"/>
      </c>
      <c r="M34" s="14">
        <f t="shared" si="6"/>
      </c>
      <c r="N34" s="14"/>
      <c r="O34" s="1"/>
      <c r="P34" s="14">
        <f t="shared" si="7"/>
      </c>
      <c r="Q34" s="14">
        <f t="shared" si="9"/>
      </c>
      <c r="R34" s="14">
        <f t="shared" si="7"/>
      </c>
    </row>
    <row r="35" spans="2:18" ht="12.75">
      <c r="B35" s="12" t="s">
        <v>100</v>
      </c>
      <c r="C35" s="15">
        <v>0.001</v>
      </c>
      <c r="D35" s="15"/>
      <c r="E35" s="14">
        <v>3.3</v>
      </c>
      <c r="F35" s="14">
        <f t="shared" si="0"/>
        <v>0.0033</v>
      </c>
      <c r="G35" s="14">
        <f t="shared" si="3"/>
        <v>3.3</v>
      </c>
      <c r="H35" s="14">
        <f t="shared" si="0"/>
        <v>0.0033</v>
      </c>
      <c r="I35" s="14"/>
      <c r="J35" s="1">
        <v>12.2</v>
      </c>
      <c r="K35" s="14">
        <f t="shared" si="6"/>
        <v>0.012199999999999999</v>
      </c>
      <c r="L35" s="14">
        <f t="shared" si="8"/>
        <v>12.2</v>
      </c>
      <c r="M35" s="14">
        <f t="shared" si="6"/>
        <v>0.012199999999999999</v>
      </c>
      <c r="N35" s="14"/>
      <c r="O35" s="1">
        <v>11.2</v>
      </c>
      <c r="P35" s="14">
        <f t="shared" si="7"/>
        <v>0.0112</v>
      </c>
      <c r="Q35" s="14">
        <f t="shared" si="9"/>
        <v>11.2</v>
      </c>
      <c r="R35" s="14">
        <f t="shared" si="7"/>
        <v>0.0112</v>
      </c>
    </row>
    <row r="36" spans="5:17" ht="12.75">
      <c r="E36" s="21"/>
      <c r="G36" s="21"/>
      <c r="I36" s="21"/>
      <c r="J36" s="21"/>
      <c r="K36" s="21"/>
      <c r="L36" s="21"/>
      <c r="M36" s="21"/>
      <c r="N36" s="21"/>
      <c r="O36" s="21"/>
      <c r="Q36" s="21"/>
    </row>
    <row r="37" spans="2:18" ht="12.75">
      <c r="B37" s="12" t="s">
        <v>101</v>
      </c>
      <c r="E37" s="21"/>
      <c r="F37" s="21">
        <v>125.9</v>
      </c>
      <c r="G37" s="21"/>
      <c r="H37" s="21">
        <v>125.9</v>
      </c>
      <c r="I37" s="21"/>
      <c r="J37" s="21"/>
      <c r="K37" s="21">
        <v>135.4</v>
      </c>
      <c r="L37" s="21"/>
      <c r="M37" s="21">
        <v>135.4</v>
      </c>
      <c r="N37" s="21"/>
      <c r="O37" s="21"/>
      <c r="P37" s="21">
        <v>133.7</v>
      </c>
      <c r="Q37" s="21"/>
      <c r="R37" s="21">
        <v>133.7</v>
      </c>
    </row>
    <row r="38" spans="2:18" ht="12.75">
      <c r="B38" s="12" t="s">
        <v>102</v>
      </c>
      <c r="E38" s="21"/>
      <c r="F38" s="21">
        <v>6.2</v>
      </c>
      <c r="G38" s="21"/>
      <c r="H38" s="21">
        <v>6.2</v>
      </c>
      <c r="I38" s="21"/>
      <c r="J38" s="21"/>
      <c r="K38" s="21">
        <v>6.4</v>
      </c>
      <c r="L38" s="21"/>
      <c r="M38" s="21">
        <v>6.4</v>
      </c>
      <c r="N38" s="21"/>
      <c r="O38" s="21"/>
      <c r="P38" s="21">
        <v>6.6</v>
      </c>
      <c r="Q38" s="21"/>
      <c r="R38" s="21">
        <v>6.6</v>
      </c>
    </row>
    <row r="39" spans="5:18" ht="12.75">
      <c r="E39" s="21"/>
      <c r="F39" s="1"/>
      <c r="G39" s="21"/>
      <c r="H39" s="1"/>
      <c r="I39" s="1"/>
      <c r="J39" s="21"/>
      <c r="K39" s="1"/>
      <c r="L39" s="21"/>
      <c r="M39" s="1"/>
      <c r="N39" s="21"/>
      <c r="O39" s="21"/>
      <c r="P39" s="21"/>
      <c r="Q39" s="21"/>
      <c r="R39" s="21"/>
    </row>
    <row r="40" spans="2:18" ht="12.75">
      <c r="B40" s="12" t="s">
        <v>103</v>
      </c>
      <c r="C40" s="14"/>
      <c r="D40" s="14"/>
      <c r="E40" s="14"/>
      <c r="F40" s="14">
        <f>SUM(F11:F35)</f>
        <v>0.15333000000000005</v>
      </c>
      <c r="G40" s="14"/>
      <c r="H40" s="14">
        <f>SUM(H11:H35)</f>
        <v>0.14332999999999999</v>
      </c>
      <c r="I40" s="14"/>
      <c r="J40" s="14"/>
      <c r="K40" s="14">
        <f>SUM(K11:K35)</f>
        <v>0.46790000000000004</v>
      </c>
      <c r="L40" s="14"/>
      <c r="M40" s="14">
        <f>SUM(M11:M35)</f>
        <v>0.4644000000000001</v>
      </c>
      <c r="N40" s="14"/>
      <c r="O40" s="14"/>
      <c r="P40" s="14">
        <f>SUM(P11:P35)</f>
        <v>0.45646</v>
      </c>
      <c r="Q40" s="14"/>
      <c r="R40" s="14">
        <f>SUM(R11:R35)</f>
        <v>0.45146</v>
      </c>
    </row>
    <row r="41" spans="2:18" ht="12.75">
      <c r="B41" s="12" t="s">
        <v>104</v>
      </c>
      <c r="C41" s="14"/>
      <c r="D41" s="32">
        <f>(F41-H41)*2/F41*100</f>
        <v>13.043761820909245</v>
      </c>
      <c r="E41" s="14"/>
      <c r="F41" s="14">
        <f>F40/F37/0.0283*(21-7)/(21-F38)</f>
        <v>0.04070814289536312</v>
      </c>
      <c r="G41" s="14"/>
      <c r="H41" s="14">
        <f>H40/H37/0.0283*(21-7)/(21-H38)</f>
        <v>0.03805320629486984</v>
      </c>
      <c r="I41" s="32">
        <f>(K41-M41)*2/K41*100</f>
        <v>1.4960461637102072</v>
      </c>
      <c r="J41" s="14"/>
      <c r="K41" s="14">
        <f>K40/K37/0.0283*(21-7)/(21-K38)</f>
        <v>0.11709089489504007</v>
      </c>
      <c r="L41" s="14"/>
      <c r="M41" s="14">
        <f>M40/M37/0.0283*(21-7)/(21-M38)</f>
        <v>0.11621502797447447</v>
      </c>
      <c r="N41" s="32">
        <f>(P41-R41)*2/P41*100</f>
        <v>2.1907724663716635</v>
      </c>
      <c r="O41" s="14"/>
      <c r="P41" s="14">
        <f>P40/P37/0.0283*(21-7)/(21-P38)</f>
        <v>0.11728714821050122</v>
      </c>
      <c r="Q41" s="14"/>
      <c r="R41" s="14">
        <f>R40/R37/0.0283*(21-7)/(21-R38)</f>
        <v>0.11600240093570713</v>
      </c>
    </row>
    <row r="42" spans="5:17" ht="12.75">
      <c r="E42" s="22"/>
      <c r="G42" s="22"/>
      <c r="I42" s="22"/>
      <c r="J42" s="22"/>
      <c r="K42" s="22"/>
      <c r="L42" s="22"/>
      <c r="M42" s="22"/>
      <c r="N42" s="22"/>
      <c r="O42" s="22"/>
      <c r="Q42" s="22"/>
    </row>
    <row r="43" spans="2:23" s="21" customFormat="1" ht="12.75">
      <c r="B43" s="21" t="s">
        <v>117</v>
      </c>
      <c r="C43" s="22">
        <f>AVERAGE(H41,M41,R41)</f>
        <v>0.09009021173501715</v>
      </c>
      <c r="F43" s="14"/>
      <c r="H43" s="14"/>
      <c r="P43" s="13"/>
      <c r="R43" s="13"/>
      <c r="S43" s="12"/>
      <c r="T43" s="12"/>
      <c r="U43" s="12"/>
      <c r="V43" s="12"/>
      <c r="W43" s="12"/>
    </row>
    <row r="45" spans="5:18" ht="12.75">
      <c r="E45" s="12"/>
      <c r="G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5:18" ht="12.75">
      <c r="E46" s="12"/>
      <c r="G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5:18" ht="12.75">
      <c r="E47" s="12"/>
      <c r="G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5:18" ht="12.75">
      <c r="E48" s="12"/>
      <c r="G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5:18" ht="12.75">
      <c r="E49" s="12"/>
      <c r="G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5:18" ht="12.75">
      <c r="E50" s="12"/>
      <c r="G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5:18" ht="12.75">
      <c r="E51" s="12"/>
      <c r="G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5:18" ht="12.75">
      <c r="E52" s="12"/>
      <c r="G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5:18" ht="12.75">
      <c r="E53" s="12"/>
      <c r="G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5:18" ht="12.75">
      <c r="E54" s="12"/>
      <c r="G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5:18" ht="12.75">
      <c r="E55" s="12"/>
      <c r="G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5:18" ht="12.75">
      <c r="E56" s="12"/>
      <c r="G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5:18" ht="12.75">
      <c r="E57" s="12"/>
      <c r="G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5:18" ht="12.75">
      <c r="E58" s="12"/>
      <c r="G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5:18" ht="12.75">
      <c r="E59" s="12"/>
      <c r="G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5:18" ht="12.75">
      <c r="E60" s="12"/>
      <c r="G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5:18" ht="12.75">
      <c r="E61" s="12"/>
      <c r="G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5:18" ht="12.75">
      <c r="E62" s="12"/>
      <c r="G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5:18" ht="12.75">
      <c r="E63" s="12"/>
      <c r="G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5:18" ht="12.75">
      <c r="E64" s="12"/>
      <c r="G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2004-02-24T17:08:45Z</cp:lastPrinted>
  <dcterms:modified xsi:type="dcterms:W3CDTF">2004-02-24T17:08:49Z</dcterms:modified>
  <cp:category/>
  <cp:version/>
  <cp:contentType/>
  <cp:contentStatus/>
</cp:coreProperties>
</file>