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555" yWindow="2775" windowWidth="12120" windowHeight="6780" tabRatio="63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3" sheetId="7" r:id="rId7"/>
  </sheets>
  <definedNames/>
  <calcPr fullCalcOnLoad="1"/>
</workbook>
</file>

<file path=xl/sharedStrings.xml><?xml version="1.0" encoding="utf-8"?>
<sst xmlns="http://schemas.openxmlformats.org/spreadsheetml/2006/main" count="718" uniqueCount="220">
  <si>
    <t>Stack Gas Emissions</t>
  </si>
  <si>
    <t>HW</t>
  </si>
  <si>
    <t>PM</t>
  </si>
  <si>
    <t>HCl</t>
  </si>
  <si>
    <t>Cl2</t>
  </si>
  <si>
    <t>SVM</t>
  </si>
  <si>
    <t>LVM</t>
  </si>
  <si>
    <t>DRE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</si>
  <si>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</si>
  <si>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</si>
  <si>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</si>
  <si>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</si>
  <si>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</si>
  <si>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</si>
  <si>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</si>
  <si>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</si>
  <si>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</si>
  <si>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</si>
  <si>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</si>
  <si>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LAD008187080</t>
  </si>
  <si>
    <t>Facility Name</t>
  </si>
  <si>
    <t>Dow Chemical Co.</t>
  </si>
  <si>
    <t>Facility Location</t>
  </si>
  <si>
    <t>Plaquemine</t>
  </si>
  <si>
    <t>LA</t>
  </si>
  <si>
    <t>Unit ID Name/No.</t>
  </si>
  <si>
    <t>R-750</t>
  </si>
  <si>
    <t>Other Sister Facilities</t>
  </si>
  <si>
    <t>Combustor Characteristics</t>
  </si>
  <si>
    <t>APCS Characteristics</t>
  </si>
  <si>
    <t>Chlorinated methanes plant liquid wastes</t>
  </si>
  <si>
    <t>Natural gas</t>
  </si>
  <si>
    <t>Stack Characteristics</t>
  </si>
  <si>
    <t>Tier I for all metals expect Cr+6</t>
  </si>
  <si>
    <t xml:space="preserve">     Report Name/Date</t>
  </si>
  <si>
    <t>Trial Burn Report, Chlorinated Methanes, Industrial Boiler R-750, Dow Chem., Louisiana Operations, Volume 1: Report, December 22, 1997</t>
  </si>
  <si>
    <t xml:space="preserve">     Report Prepar</t>
  </si>
  <si>
    <t>Radian International</t>
  </si>
  <si>
    <t xml:space="preserve">     Testing Firm</t>
  </si>
  <si>
    <t xml:space="preserve">     Testing Dates</t>
  </si>
  <si>
    <t xml:space="preserve">     Content</t>
  </si>
  <si>
    <t>PM, HCl/Cl2, DRE, CO, Cr+6</t>
  </si>
  <si>
    <t>PM, HCl/Cl2, DRE, CO</t>
  </si>
  <si>
    <t>August 18-19, 1997</t>
  </si>
  <si>
    <t>Organics, PCDD/PCDF</t>
  </si>
  <si>
    <t>Units</t>
  </si>
  <si>
    <t>Run</t>
  </si>
  <si>
    <t>Cond Avg</t>
  </si>
  <si>
    <t>y</t>
  </si>
  <si>
    <t>n</t>
  </si>
  <si>
    <t xml:space="preserve">   Stack Gas Flowrate</t>
  </si>
  <si>
    <t xml:space="preserve">   Temperature</t>
  </si>
  <si>
    <t>nd</t>
  </si>
  <si>
    <t>POHC DRE</t>
  </si>
  <si>
    <t>&gt;</t>
  </si>
  <si>
    <t>Liq waste</t>
  </si>
  <si>
    <t>gal/min</t>
  </si>
  <si>
    <t>Density</t>
  </si>
  <si>
    <t>g/cc</t>
  </si>
  <si>
    <t>Btulb</t>
  </si>
  <si>
    <t>lb/hr</t>
  </si>
  <si>
    <t>Chlorine</t>
  </si>
  <si>
    <t>Stack Gas Flowrate</t>
  </si>
  <si>
    <t>Btu/lb</t>
  </si>
  <si>
    <t>Liquid waste</t>
  </si>
  <si>
    <t>mg/L</t>
  </si>
  <si>
    <t>Process Information</t>
  </si>
  <si>
    <t>Avg</t>
  </si>
  <si>
    <t>2003C1</t>
  </si>
  <si>
    <t>Burner Temp.</t>
  </si>
  <si>
    <t>Steam Production Rate</t>
  </si>
  <si>
    <t>2003C2</t>
  </si>
  <si>
    <t>2003C3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</si>
  <si>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</si>
  <si>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</si>
  <si>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</si>
  <si>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</si>
  <si>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</si>
  <si>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</si>
  <si>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</si>
  <si>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</si>
  <si>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</si>
  <si>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</si>
  <si>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TCDD Other</t>
  </si>
  <si>
    <t>1,2,3,7,8-PCDD</t>
  </si>
  <si>
    <t>PCDD Other</t>
  </si>
  <si>
    <t>1,2,3,4,7,8-HxCDD</t>
  </si>
  <si>
    <t>1,2,3,6,7,8-HxCDD</t>
  </si>
  <si>
    <t>1,2,3,7,8,9-HxCDD</t>
  </si>
  <si>
    <t>HxCDD Other</t>
  </si>
  <si>
    <t>1,2,3,4,6,7,8-HpCDD</t>
  </si>
  <si>
    <t>HpCDD Other</t>
  </si>
  <si>
    <t>OCDD</t>
  </si>
  <si>
    <t>2,3,7,8-TCDF</t>
  </si>
  <si>
    <t>TCDF Other</t>
  </si>
  <si>
    <t>1,2,3,7,8-PCDF</t>
  </si>
  <si>
    <t>2,3,4,7,8-PCDF</t>
  </si>
  <si>
    <t>PCDF Other</t>
  </si>
  <si>
    <t>1,2,3,4,7,8-HxCDF</t>
  </si>
  <si>
    <t>1,2,3,6,7,8-HxCDF</t>
  </si>
  <si>
    <t>2,3,4,6,7,8-HxCDF</t>
  </si>
  <si>
    <t>1,2,3,7,8,9-HxCDF</t>
  </si>
  <si>
    <t>HxCDF Other</t>
  </si>
  <si>
    <t>1,2,3,4,6,7,8-HpCDF</t>
  </si>
  <si>
    <t>1,2,3,4,7,8,9-HpCDF</t>
  </si>
  <si>
    <t>HpCDF Other</t>
  </si>
  <si>
    <t>OCDF</t>
  </si>
  <si>
    <t>Gas sample volume (dscf)</t>
  </si>
  <si>
    <t>O2 (%)</t>
  </si>
  <si>
    <t>PCDD/PCDF (ng in sample)</t>
  </si>
  <si>
    <t>PCDD/PCDF (ng/dscm @ 7% O2)</t>
  </si>
  <si>
    <t>ug/dscm</t>
  </si>
  <si>
    <t>(Total Feedrate)</t>
  </si>
  <si>
    <t>g/min</t>
  </si>
  <si>
    <t>MMBtu/hr</t>
  </si>
  <si>
    <t>Estimated Firing Rate</t>
  </si>
  <si>
    <t>Multipass firetube</t>
  </si>
  <si>
    <t>Scrubber</t>
  </si>
  <si>
    <t xml:space="preserve">   pH</t>
  </si>
  <si>
    <t xml:space="preserve">   L/G</t>
  </si>
  <si>
    <t xml:space="preserve">   Blowdown</t>
  </si>
  <si>
    <t>gpm</t>
  </si>
  <si>
    <t>1/2 ND</t>
  </si>
  <si>
    <t>PCDD/PCDF</t>
  </si>
  <si>
    <t>TEQ Cond Avg</t>
  </si>
  <si>
    <t>Trial burn; max waste feedrates (Cr, ash spiking), steam prod rate, min L/G</t>
  </si>
  <si>
    <t>Trial burn; min combustion chamber temperature</t>
  </si>
  <si>
    <t>Liq</t>
  </si>
  <si>
    <t>Feedstreams</t>
  </si>
  <si>
    <t>Capacity (MMBtu/hr)</t>
  </si>
  <si>
    <t>None</t>
  </si>
  <si>
    <t>Hazardous Wastes</t>
  </si>
  <si>
    <t>Haz Waste Description</t>
  </si>
  <si>
    <t>Supplemental Fuel</t>
  </si>
  <si>
    <t>Phase II ID No.</t>
  </si>
  <si>
    <t>7% O2</t>
  </si>
  <si>
    <t>Feedrate MTEC Calculations</t>
  </si>
  <si>
    <t>Carbon tetrachloride</t>
  </si>
  <si>
    <t>Chlorobenzene</t>
  </si>
  <si>
    <t>Source Description</t>
  </si>
  <si>
    <t>Permitting Status</t>
  </si>
  <si>
    <t xml:space="preserve">     Cond Description</t>
  </si>
  <si>
    <t>Risk burn; normal op conditions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</si>
  <si>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</si>
  <si>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</si>
  <si>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</si>
  <si>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</si>
  <si>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</si>
  <si>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</si>
  <si>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</si>
  <si>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</si>
  <si>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(min comb temp)</t>
  </si>
  <si>
    <t>PM, HCl/Cl2</t>
  </si>
  <si>
    <t>(max feed, prod. rates)</t>
  </si>
  <si>
    <t>(normal risk burn)</t>
  </si>
  <si>
    <t>POHC Feedrate</t>
  </si>
  <si>
    <t xml:space="preserve">   O2</t>
  </si>
  <si>
    <t xml:space="preserve">   Moisture</t>
  </si>
  <si>
    <t>Carbon Tetrachloride</t>
  </si>
  <si>
    <t>Emissions Rate</t>
  </si>
  <si>
    <t>Total Chlorine</t>
  </si>
  <si>
    <t>CO (RA)</t>
  </si>
  <si>
    <t>CO (MHRA)</t>
  </si>
  <si>
    <t>Sampling Train</t>
  </si>
  <si>
    <t>Arsenic</t>
  </si>
  <si>
    <t>Beryllium</t>
  </si>
  <si>
    <t>Antimony</t>
  </si>
  <si>
    <t>Lead</t>
  </si>
  <si>
    <t>Nickel</t>
  </si>
  <si>
    <t>Cadmium</t>
  </si>
  <si>
    <t>Chromium</t>
  </si>
  <si>
    <t xml:space="preserve">2003C1 </t>
  </si>
  <si>
    <t>(max oper cond)</t>
  </si>
  <si>
    <t xml:space="preserve">2003C2 </t>
  </si>
  <si>
    <t xml:space="preserve">2003C3 </t>
  </si>
  <si>
    <t>(risk burn normal conditions)</t>
  </si>
  <si>
    <t>*</t>
  </si>
  <si>
    <t>Thermal Feedrate</t>
  </si>
  <si>
    <t>Mercury</t>
  </si>
  <si>
    <t>Feed Rate</t>
  </si>
  <si>
    <t>Feedstream Description</t>
  </si>
  <si>
    <t>HWC Burn Status (Date if Terminated)</t>
  </si>
  <si>
    <t>R1</t>
  </si>
  <si>
    <t>R2</t>
  </si>
  <si>
    <t>R3</t>
  </si>
  <si>
    <t xml:space="preserve">     Cond Dates</t>
  </si>
  <si>
    <t>Liquid-fired boiler</t>
  </si>
  <si>
    <t>Cond Description</t>
  </si>
  <si>
    <t>Feedstream Number</t>
  </si>
  <si>
    <t>Feed Class</t>
  </si>
  <si>
    <t>Liq HW</t>
  </si>
  <si>
    <t>Heating Value</t>
  </si>
  <si>
    <t>E1</t>
  </si>
  <si>
    <t>Number of Sister Facilities</t>
  </si>
  <si>
    <t>Combustor Class</t>
  </si>
  <si>
    <t>Combustor Type</t>
  </si>
  <si>
    <t>APCS Detailed Acronym</t>
  </si>
  <si>
    <t>APCS General Class</t>
  </si>
  <si>
    <t>source</t>
  </si>
  <si>
    <t>cond</t>
  </si>
  <si>
    <t>emiss</t>
  </si>
  <si>
    <t>feed</t>
  </si>
  <si>
    <t>process</t>
  </si>
  <si>
    <t>Liquid-fired</t>
  </si>
  <si>
    <t>Chromium (Hex)</t>
  </si>
  <si>
    <t>F1</t>
  </si>
  <si>
    <t>F2</t>
  </si>
  <si>
    <t>F3</t>
  </si>
  <si>
    <t>Selenium</t>
  </si>
  <si>
    <t>Feed Class 2</t>
  </si>
  <si>
    <t>Full ND</t>
  </si>
  <si>
    <t>df c3</t>
  </si>
  <si>
    <t xml:space="preserve">Q/HClABS/CWS </t>
  </si>
  <si>
    <t>Quench, HCl absorber, Cl2 wet scrubber .Water in HCl absorber, caustic sodium hydroxide in Cl2 scrubber</t>
  </si>
  <si>
    <t>WQ, LEWS</t>
  </si>
  <si>
    <t>Dow (Plaquemine LA), Boiler R-750</t>
  </si>
  <si>
    <t>Facility Name and ID:</t>
  </si>
  <si>
    <t>Condition ID:</t>
  </si>
  <si>
    <t>Condition/Test Date:</t>
  </si>
  <si>
    <t>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</si>
</sst>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E+00;\ĝ"/>
    <numFmt numFmtId="168" formatCode="0.00E+00;\ิ"/>
    <numFmt numFmtId="169" formatCode="0.0E+00;\ิ"/>
    <numFmt numFmtId="170" formatCode="0.00000"/>
    <numFmt numFmtId="171" formatCode="0.000000"/>
    <numFmt numFmtId="172" formatCode="0.00000000"/>
    <numFmt numFmtId="173" formatCode="0.0000000"/>
    <numFmt numFmtId="174" formatCode="mmmm\ d\,\ yyyy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74" fontId="4" fillId="0" borderId="0" xfId="0" applyNumberFormat="1" applyFont="1" applyAlignment="1">
      <alignment horizontal="left"/>
    </xf>
    <xf numFmtId="174" fontId="4" fillId="0" borderId="0" xfId="0" applyNumberFormat="1" applyFont="1" applyAlignment="1">
      <alignment horizontal="left" vertical="center"/>
    </xf>
    <xf numFmtId="15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1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1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/>
    </xf>
    <xf numFmtId="17" fontId="4" fillId="0" borderId="0" xfId="0" applyNumberFormat="1" applyFont="1" applyAlignment="1">
      <alignment horizontal="left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2" fontId="0" fillId="0" borderId="0" xfId="0" applyNumberFormat="1" applyFill="1" applyBorder="1" applyAlignment="1">
      <alignment/>
    </xf>
    <xf numFmtId="165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C26" sqref="C26"/>
    </sheetView>
  </sheetViews>
  <sheetFormatPr defaultColWidth="9.140625" defaultRowHeight="12.75"/>
  <sheetData>
    <row r="1" ht="12.75">
      <c r="A1" t="s">
        <v>198</v>
      </c>
    </row>
    <row r="2" ht="12.75">
      <c r="A2" t="s">
        <v>199</v>
      </c>
    </row>
    <row r="3" ht="12.75">
      <c r="A3" t="s">
        <v>200</v>
      </c>
    </row>
    <row r="4" ht="12.75">
      <c r="A4" t="s">
        <v>201</v>
      </c>
    </row>
    <row r="5" ht="12.75">
      <c r="A5" t="s">
        <v>202</v>
      </c>
    </row>
    <row r="6" ht="12.75">
      <c r="A6" t="s">
        <v>211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workbookViewId="0" topLeftCell="B1">
      <selection activeCell="C13" sqref="C13"/>
    </sheetView>
  </sheetViews>
  <sheetFormatPr defaultColWidth="9.140625" defaultRowHeight="12.75"/>
  <cols>
    <col min="1" max="1" width="9.140625" style="1" hidden="1" customWidth="1"/>
    <col min="2" max="2" width="24.00390625" style="1" customWidth="1"/>
    <col min="3" max="3" width="57.140625" style="1" customWidth="1"/>
    <col min="4" max="4" width="9.00390625" style="1" customWidth="1"/>
    <col min="5" max="16384" width="11.421875" style="1" customWidth="1"/>
  </cols>
  <sheetData>
    <row r="1" ht="12.75">
      <c r="B1" s="10" t="s">
        <v>139</v>
      </c>
    </row>
    <row r="3" spans="2:3" ht="12.75">
      <c r="B3" s="1" t="s">
        <v>134</v>
      </c>
      <c r="C3" s="3">
        <v>2003</v>
      </c>
    </row>
    <row r="4" spans="2:3" ht="12.75">
      <c r="B4" s="1" t="s">
        <v>18</v>
      </c>
      <c r="C4" s="1" t="s">
        <v>19</v>
      </c>
    </row>
    <row r="5" spans="2:3" ht="12.75">
      <c r="B5" s="1" t="s">
        <v>20</v>
      </c>
      <c r="C5" s="1" t="s">
        <v>21</v>
      </c>
    </row>
    <row r="6" ht="12.75">
      <c r="B6" s="1" t="s">
        <v>22</v>
      </c>
    </row>
    <row r="7" spans="2:3" ht="12.75">
      <c r="B7" s="1" t="s">
        <v>144</v>
      </c>
      <c r="C7" s="1" t="s">
        <v>23</v>
      </c>
    </row>
    <row r="8" spans="2:3" ht="12.75">
      <c r="B8" s="1" t="s">
        <v>145</v>
      </c>
      <c r="C8" s="1" t="s">
        <v>24</v>
      </c>
    </row>
    <row r="9" spans="2:3" ht="12.75">
      <c r="B9" s="1" t="s">
        <v>25</v>
      </c>
      <c r="C9" s="1" t="s">
        <v>26</v>
      </c>
    </row>
    <row r="10" spans="2:3" ht="12.75">
      <c r="B10" s="1" t="s">
        <v>27</v>
      </c>
      <c r="C10" s="1" t="s">
        <v>130</v>
      </c>
    </row>
    <row r="11" spans="2:3" ht="12.75">
      <c r="B11" s="1" t="s">
        <v>193</v>
      </c>
      <c r="C11" s="3">
        <v>0</v>
      </c>
    </row>
    <row r="12" spans="2:3" ht="12.75">
      <c r="B12" s="1" t="s">
        <v>194</v>
      </c>
      <c r="C12" s="1" t="s">
        <v>186</v>
      </c>
    </row>
    <row r="13" spans="2:3" ht="12.75">
      <c r="B13" s="1" t="s">
        <v>195</v>
      </c>
      <c r="C13" s="1" t="s">
        <v>203</v>
      </c>
    </row>
    <row r="14" spans="2:3" ht="12.75">
      <c r="B14" s="1" t="s">
        <v>28</v>
      </c>
      <c r="C14" s="1" t="s">
        <v>116</v>
      </c>
    </row>
    <row r="15" spans="2:3" ht="12.75">
      <c r="B15" s="1" t="s">
        <v>129</v>
      </c>
      <c r="C15" s="3">
        <v>15</v>
      </c>
    </row>
    <row r="16" spans="2:3" ht="12.75">
      <c r="B16" s="1" t="s">
        <v>143</v>
      </c>
      <c r="C16" s="3"/>
    </row>
    <row r="17" spans="2:3" s="17" customFormat="1" ht="12.75">
      <c r="B17" s="1" t="s">
        <v>196</v>
      </c>
      <c r="C17" s="17" t="s">
        <v>212</v>
      </c>
    </row>
    <row r="18" spans="2:3" ht="12.75">
      <c r="B18" s="1" t="s">
        <v>197</v>
      </c>
      <c r="C18" s="1" t="s">
        <v>214</v>
      </c>
    </row>
    <row r="19" spans="2:3" ht="25.5">
      <c r="B19" s="1" t="s">
        <v>29</v>
      </c>
      <c r="C19" s="32" t="s">
        <v>213</v>
      </c>
    </row>
    <row r="20" spans="2:3" ht="12.75">
      <c r="B20" s="1" t="s">
        <v>131</v>
      </c>
      <c r="C20" s="1" t="s">
        <v>127</v>
      </c>
    </row>
    <row r="21" spans="2:3" ht="12.75">
      <c r="B21" s="1" t="s">
        <v>132</v>
      </c>
      <c r="C21" s="1" t="s">
        <v>30</v>
      </c>
    </row>
    <row r="22" spans="2:3" ht="12.75">
      <c r="B22" s="1" t="s">
        <v>133</v>
      </c>
      <c r="C22" s="1" t="s">
        <v>31</v>
      </c>
    </row>
    <row r="24" ht="12.75">
      <c r="B24" s="1" t="s">
        <v>32</v>
      </c>
    </row>
    <row r="25" spans="2:3" ht="12.75">
      <c r="B25" s="1" t="s">
        <v>146</v>
      </c>
      <c r="C25" s="3">
        <v>2.92</v>
      </c>
    </row>
    <row r="26" spans="2:3" ht="12.75">
      <c r="B26" s="1" t="s">
        <v>147</v>
      </c>
      <c r="C26" s="3">
        <v>80</v>
      </c>
    </row>
    <row r="27" spans="2:3" ht="12.75">
      <c r="B27" s="1" t="s">
        <v>148</v>
      </c>
      <c r="C27" s="11">
        <v>7</v>
      </c>
    </row>
    <row r="28" spans="2:3" ht="12.75">
      <c r="B28" s="1" t="s">
        <v>149</v>
      </c>
      <c r="C28" s="3">
        <v>100</v>
      </c>
    </row>
    <row r="29" ht="12.75">
      <c r="C29" s="11"/>
    </row>
    <row r="30" spans="2:3" ht="12.75">
      <c r="B30" s="1" t="s">
        <v>140</v>
      </c>
      <c r="C30" s="1" t="s">
        <v>33</v>
      </c>
    </row>
    <row r="31" s="32" customFormat="1" ht="25.5">
      <c r="B31" s="32" t="s">
        <v>181</v>
      </c>
    </row>
    <row r="33" s="28" customFormat="1" ht="12.75"/>
    <row r="37" ht="12.75">
      <c r="C37" s="12"/>
    </row>
    <row r="38" ht="12.75">
      <c r="C38" s="30"/>
    </row>
    <row r="39" s="28" customFormat="1" ht="12.75"/>
    <row r="42" ht="12.75">
      <c r="C42" s="13"/>
    </row>
    <row r="43" ht="12.75">
      <c r="C43" s="30"/>
    </row>
    <row r="47" ht="12.75">
      <c r="C47" s="14"/>
    </row>
    <row r="48" ht="12.75">
      <c r="C48" s="30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13" sqref="C13"/>
    </sheetView>
  </sheetViews>
  <sheetFormatPr defaultColWidth="9.140625" defaultRowHeight="12.75"/>
  <cols>
    <col min="1" max="1" width="9.140625" style="1" hidden="1" customWidth="1"/>
    <col min="2" max="2" width="23.140625" style="1" customWidth="1"/>
    <col min="3" max="3" width="61.8515625" style="1" customWidth="1"/>
    <col min="4" max="16384" width="9.140625" style="1" customWidth="1"/>
  </cols>
  <sheetData>
    <row r="1" ht="12.75">
      <c r="B1" s="10" t="s">
        <v>187</v>
      </c>
    </row>
    <row r="3" ht="12.75">
      <c r="B3" s="31" t="s">
        <v>68</v>
      </c>
    </row>
    <row r="4" ht="12.75">
      <c r="B4" s="31"/>
    </row>
    <row r="5" spans="2:3" s="28" customFormat="1" ht="25.5">
      <c r="B5" s="28" t="s">
        <v>34</v>
      </c>
      <c r="C5" s="28" t="s">
        <v>35</v>
      </c>
    </row>
    <row r="6" spans="2:3" ht="12.75">
      <c r="B6" s="1" t="s">
        <v>36</v>
      </c>
      <c r="C6" s="1" t="s">
        <v>37</v>
      </c>
    </row>
    <row r="7" spans="2:3" ht="12.75">
      <c r="B7" s="1" t="s">
        <v>38</v>
      </c>
      <c r="C7" s="1" t="s">
        <v>37</v>
      </c>
    </row>
    <row r="8" spans="2:3" ht="12.75">
      <c r="B8" s="1" t="s">
        <v>39</v>
      </c>
      <c r="C8" s="12">
        <v>34233</v>
      </c>
    </row>
    <row r="9" spans="2:3" ht="12.75">
      <c r="B9" s="1" t="s">
        <v>185</v>
      </c>
      <c r="C9" s="30">
        <v>34212</v>
      </c>
    </row>
    <row r="10" spans="2:3" s="28" customFormat="1" ht="25.5">
      <c r="B10" s="28" t="s">
        <v>141</v>
      </c>
      <c r="C10" s="28" t="s">
        <v>125</v>
      </c>
    </row>
    <row r="11" spans="2:3" ht="12.75">
      <c r="B11" s="1" t="s">
        <v>40</v>
      </c>
      <c r="C11" s="1" t="s">
        <v>41</v>
      </c>
    </row>
    <row r="13" ht="12.75">
      <c r="B13" s="31" t="s">
        <v>71</v>
      </c>
    </row>
    <row r="14" ht="12.75">
      <c r="B14" s="31"/>
    </row>
    <row r="15" spans="2:3" s="28" customFormat="1" ht="25.5">
      <c r="B15" s="28" t="s">
        <v>34</v>
      </c>
      <c r="C15" s="28" t="s">
        <v>35</v>
      </c>
    </row>
    <row r="16" spans="2:3" ht="12.75">
      <c r="B16" s="1" t="s">
        <v>36</v>
      </c>
      <c r="C16" s="1" t="s">
        <v>37</v>
      </c>
    </row>
    <row r="17" spans="2:3" ht="12.75">
      <c r="B17" s="1" t="s">
        <v>38</v>
      </c>
      <c r="C17" s="1" t="s">
        <v>37</v>
      </c>
    </row>
    <row r="18" spans="2:3" ht="12.75">
      <c r="B18" s="1" t="s">
        <v>39</v>
      </c>
      <c r="C18" s="13">
        <v>34236</v>
      </c>
    </row>
    <row r="19" spans="2:3" ht="12.75">
      <c r="B19" s="1" t="s">
        <v>185</v>
      </c>
      <c r="C19" s="30">
        <v>34212</v>
      </c>
    </row>
    <row r="20" spans="2:3" ht="12.75">
      <c r="B20" s="1" t="s">
        <v>141</v>
      </c>
      <c r="C20" s="1" t="s">
        <v>126</v>
      </c>
    </row>
    <row r="21" spans="2:3" ht="12.75">
      <c r="B21" s="1" t="s">
        <v>40</v>
      </c>
      <c r="C21" s="1" t="s">
        <v>42</v>
      </c>
    </row>
    <row r="23" ht="12.75">
      <c r="B23" s="31" t="s">
        <v>72</v>
      </c>
    </row>
    <row r="24" ht="12.75">
      <c r="B24" s="31"/>
    </row>
    <row r="25" spans="2:3" s="28" customFormat="1" ht="25.5">
      <c r="B25" s="28" t="s">
        <v>34</v>
      </c>
      <c r="C25" s="28" t="s">
        <v>35</v>
      </c>
    </row>
    <row r="26" spans="2:3" ht="12.75">
      <c r="B26" s="1" t="s">
        <v>36</v>
      </c>
      <c r="C26" s="1" t="s">
        <v>37</v>
      </c>
    </row>
    <row r="27" spans="2:3" ht="12.75">
      <c r="B27" s="1" t="s">
        <v>38</v>
      </c>
      <c r="C27" s="1" t="s">
        <v>37</v>
      </c>
    </row>
    <row r="28" spans="2:3" ht="12.75">
      <c r="B28" s="1" t="s">
        <v>39</v>
      </c>
      <c r="C28" s="14" t="s">
        <v>43</v>
      </c>
    </row>
    <row r="29" spans="2:3" ht="12.75">
      <c r="B29" s="1" t="s">
        <v>185</v>
      </c>
      <c r="C29" s="30">
        <v>34181</v>
      </c>
    </row>
    <row r="30" spans="2:3" ht="12.75">
      <c r="B30" s="1" t="s">
        <v>141</v>
      </c>
      <c r="C30" s="1" t="s">
        <v>142</v>
      </c>
    </row>
    <row r="31" spans="2:3" ht="12.75">
      <c r="B31" s="1" t="s">
        <v>40</v>
      </c>
      <c r="C31" s="1" t="s">
        <v>44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B1">
      <selection activeCell="C13" sqref="C13"/>
    </sheetView>
  </sheetViews>
  <sheetFormatPr defaultColWidth="9.140625" defaultRowHeight="12.75"/>
  <cols>
    <col min="1" max="1" width="2.8515625" style="1" hidden="1" customWidth="1"/>
    <col min="2" max="2" width="19.421875" style="1" customWidth="1"/>
    <col min="3" max="3" width="11.8515625" style="1" customWidth="1"/>
    <col min="4" max="4" width="9.140625" style="1" customWidth="1"/>
    <col min="5" max="5" width="6.00390625" style="1" customWidth="1"/>
    <col min="6" max="6" width="2.57421875" style="1" customWidth="1"/>
    <col min="7" max="7" width="9.8515625" style="1" customWidth="1"/>
    <col min="8" max="8" width="2.7109375" style="1" customWidth="1"/>
    <col min="9" max="9" width="10.140625" style="1" customWidth="1"/>
    <col min="10" max="10" width="2.28125" style="1" customWidth="1"/>
    <col min="11" max="11" width="9.8515625" style="1" customWidth="1"/>
    <col min="12" max="12" width="3.7109375" style="1" customWidth="1"/>
    <col min="13" max="13" width="10.140625" style="1" customWidth="1"/>
    <col min="14" max="14" width="9.8515625" style="1" customWidth="1"/>
    <col min="15" max="15" width="10.421875" style="1" customWidth="1"/>
    <col min="16" max="16" width="9.8515625" style="1" customWidth="1"/>
    <col min="17" max="16384" width="11.421875" style="1" customWidth="1"/>
  </cols>
  <sheetData>
    <row r="1" spans="2:3" ht="12.75">
      <c r="B1" s="10" t="s">
        <v>0</v>
      </c>
      <c r="C1" s="10"/>
    </row>
    <row r="3" spans="3:16" ht="12.75">
      <c r="C3" s="1" t="s">
        <v>150</v>
      </c>
      <c r="D3" s="1" t="s">
        <v>45</v>
      </c>
      <c r="E3" s="1" t="s">
        <v>135</v>
      </c>
      <c r="N3" s="2"/>
      <c r="P3" s="2"/>
    </row>
    <row r="4" spans="7:13" ht="12.75">
      <c r="G4" s="2"/>
      <c r="H4" s="2"/>
      <c r="I4" s="2"/>
      <c r="J4" s="2"/>
      <c r="K4" s="2"/>
      <c r="L4" s="2"/>
      <c r="M4" s="2"/>
    </row>
    <row r="5" spans="7:13" ht="12.75">
      <c r="G5" s="2"/>
      <c r="H5" s="2"/>
      <c r="I5" s="2"/>
      <c r="J5" s="2"/>
      <c r="K5" s="2"/>
      <c r="L5" s="2"/>
      <c r="M5" s="2"/>
    </row>
    <row r="6" spans="1:13" ht="12.75">
      <c r="A6" s="1">
        <v>1</v>
      </c>
      <c r="B6" s="10" t="s">
        <v>68</v>
      </c>
      <c r="C6" s="10" t="s">
        <v>151</v>
      </c>
      <c r="G6" s="2" t="s">
        <v>182</v>
      </c>
      <c r="H6" s="2"/>
      <c r="I6" s="2" t="s">
        <v>183</v>
      </c>
      <c r="J6" s="2"/>
      <c r="K6" s="2" t="s">
        <v>184</v>
      </c>
      <c r="L6" s="2"/>
      <c r="M6" s="4" t="s">
        <v>47</v>
      </c>
    </row>
    <row r="7" spans="2:13" ht="12.75" customHeight="1">
      <c r="B7" s="10"/>
      <c r="C7" s="10"/>
      <c r="G7" s="2"/>
      <c r="H7" s="2"/>
      <c r="I7" s="2"/>
      <c r="J7" s="2"/>
      <c r="K7" s="2"/>
      <c r="L7" s="2"/>
      <c r="M7" s="2"/>
    </row>
    <row r="8" spans="2:13" ht="12.75">
      <c r="B8" s="1" t="s">
        <v>2</v>
      </c>
      <c r="C8" s="1" t="s">
        <v>192</v>
      </c>
      <c r="D8" s="1" t="s">
        <v>10</v>
      </c>
      <c r="E8" s="1" t="s">
        <v>48</v>
      </c>
      <c r="G8" s="1">
        <v>0.028</v>
      </c>
      <c r="I8" s="1">
        <v>0.019</v>
      </c>
      <c r="K8" s="1">
        <v>0.013</v>
      </c>
      <c r="M8" s="6">
        <v>0.02</v>
      </c>
    </row>
    <row r="9" spans="2:13" ht="12.75">
      <c r="B9" s="1" t="s">
        <v>162</v>
      </c>
      <c r="C9" s="1" t="s">
        <v>192</v>
      </c>
      <c r="D9" s="1" t="s">
        <v>11</v>
      </c>
      <c r="E9" s="1" t="s">
        <v>48</v>
      </c>
      <c r="G9" s="1">
        <v>10.8</v>
      </c>
      <c r="I9" s="1">
        <v>9.5</v>
      </c>
      <c r="K9" s="1">
        <v>9.7</v>
      </c>
      <c r="M9" s="5">
        <v>10</v>
      </c>
    </row>
    <row r="10" spans="2:13" ht="12.75">
      <c r="B10" s="1" t="s">
        <v>161</v>
      </c>
      <c r="C10" s="1" t="s">
        <v>192</v>
      </c>
      <c r="D10" s="1" t="s">
        <v>11</v>
      </c>
      <c r="E10" s="1" t="s">
        <v>48</v>
      </c>
      <c r="G10" s="1">
        <v>10.2</v>
      </c>
      <c r="I10" s="1">
        <v>9.2</v>
      </c>
      <c r="K10" s="1">
        <v>9.5</v>
      </c>
      <c r="M10" s="5">
        <v>9.633333333333333</v>
      </c>
    </row>
    <row r="11" spans="2:11" ht="12.75">
      <c r="B11" s="1" t="s">
        <v>3</v>
      </c>
      <c r="D11" s="1" t="s">
        <v>12</v>
      </c>
      <c r="E11" s="1" t="s">
        <v>49</v>
      </c>
      <c r="G11" s="1">
        <v>2.44</v>
      </c>
      <c r="I11" s="1">
        <v>3.32</v>
      </c>
      <c r="K11" s="1">
        <v>4.76</v>
      </c>
    </row>
    <row r="12" spans="2:11" ht="12.75">
      <c r="B12" s="1" t="s">
        <v>4</v>
      </c>
      <c r="D12" s="1" t="s">
        <v>12</v>
      </c>
      <c r="E12" s="1" t="s">
        <v>49</v>
      </c>
      <c r="G12" s="1">
        <v>397</v>
      </c>
      <c r="I12" s="1">
        <v>582</v>
      </c>
      <c r="K12" s="1">
        <v>552</v>
      </c>
    </row>
    <row r="13" spans="2:11" ht="12.75">
      <c r="B13" s="34" t="s">
        <v>204</v>
      </c>
      <c r="D13" s="1" t="s">
        <v>12</v>
      </c>
      <c r="E13" s="1" t="s">
        <v>49</v>
      </c>
      <c r="G13" s="1">
        <v>9.9</v>
      </c>
      <c r="I13" s="1">
        <v>13.5</v>
      </c>
      <c r="K13" s="1">
        <v>8.14</v>
      </c>
    </row>
    <row r="14" ht="12.75" customHeight="1"/>
    <row r="15" spans="2:3" ht="12.75">
      <c r="B15" s="1" t="s">
        <v>53</v>
      </c>
      <c r="C15" s="1" t="s">
        <v>137</v>
      </c>
    </row>
    <row r="16" spans="2:11" ht="12.75">
      <c r="B16" s="1" t="s">
        <v>155</v>
      </c>
      <c r="D16" s="1" t="s">
        <v>60</v>
      </c>
      <c r="F16" s="2"/>
      <c r="G16" s="1">
        <v>2176</v>
      </c>
      <c r="H16" s="2"/>
      <c r="I16" s="1">
        <v>2219</v>
      </c>
      <c r="J16" s="2"/>
      <c r="K16" s="1">
        <v>2341</v>
      </c>
    </row>
    <row r="17" spans="2:10" ht="12.75">
      <c r="B17" s="1" t="s">
        <v>159</v>
      </c>
      <c r="F17" s="2"/>
      <c r="H17" s="2"/>
      <c r="J17" s="2"/>
    </row>
    <row r="18" spans="2:11" ht="12.75">
      <c r="B18" s="1" t="s">
        <v>7</v>
      </c>
      <c r="C18" s="1" t="s">
        <v>192</v>
      </c>
      <c r="D18" s="1" t="s">
        <v>16</v>
      </c>
      <c r="F18" s="2" t="s">
        <v>54</v>
      </c>
      <c r="G18" s="1">
        <v>99.99997</v>
      </c>
      <c r="H18" s="2" t="s">
        <v>54</v>
      </c>
      <c r="I18" s="1">
        <v>99.99996</v>
      </c>
      <c r="J18" s="2" t="s">
        <v>54</v>
      </c>
      <c r="K18" s="1">
        <v>99.99996</v>
      </c>
    </row>
    <row r="20" spans="2:10" ht="12.75">
      <c r="B20" s="1" t="s">
        <v>53</v>
      </c>
      <c r="C20" s="1" t="s">
        <v>138</v>
      </c>
      <c r="F20" s="2"/>
      <c r="H20" s="2"/>
      <c r="J20" s="2"/>
    </row>
    <row r="21" spans="2:11" ht="12.75">
      <c r="B21" s="1" t="s">
        <v>155</v>
      </c>
      <c r="D21" s="1" t="s">
        <v>60</v>
      </c>
      <c r="F21" s="2"/>
      <c r="G21" s="1">
        <v>199.98</v>
      </c>
      <c r="H21" s="2"/>
      <c r="I21" s="1">
        <v>199.96</v>
      </c>
      <c r="J21" s="2"/>
      <c r="K21" s="1">
        <v>176.59</v>
      </c>
    </row>
    <row r="22" spans="2:10" ht="12.75">
      <c r="B22" s="1" t="s">
        <v>159</v>
      </c>
      <c r="F22" s="2"/>
      <c r="H22" s="2"/>
      <c r="J22" s="2"/>
    </row>
    <row r="23" spans="2:11" ht="12.75">
      <c r="B23" s="1" t="s">
        <v>7</v>
      </c>
      <c r="C23" s="1" t="s">
        <v>192</v>
      </c>
      <c r="D23" s="1" t="s">
        <v>16</v>
      </c>
      <c r="F23" s="2" t="s">
        <v>54</v>
      </c>
      <c r="G23" s="1">
        <v>99.9996</v>
      </c>
      <c r="H23" s="2" t="s">
        <v>54</v>
      </c>
      <c r="I23" s="1">
        <v>99.9996</v>
      </c>
      <c r="J23" s="2" t="s">
        <v>54</v>
      </c>
      <c r="K23" s="1">
        <v>99.9996</v>
      </c>
    </row>
    <row r="24" spans="6:10" ht="12.75">
      <c r="F24" s="2"/>
      <c r="H24" s="2"/>
      <c r="J24" s="2"/>
    </row>
    <row r="25" spans="2:4" ht="12" customHeight="1">
      <c r="B25" s="1" t="s">
        <v>163</v>
      </c>
      <c r="C25" s="1" t="s">
        <v>152</v>
      </c>
      <c r="D25" s="1" t="s">
        <v>192</v>
      </c>
    </row>
    <row r="26" spans="2:13" ht="12.75">
      <c r="B26" s="1" t="s">
        <v>50</v>
      </c>
      <c r="D26" s="1" t="s">
        <v>15</v>
      </c>
      <c r="G26" s="1">
        <v>3318</v>
      </c>
      <c r="I26" s="1">
        <v>3992</v>
      </c>
      <c r="K26" s="1">
        <v>3820</v>
      </c>
      <c r="M26" s="5">
        <f>AVERAGE(K26,I26,G26)</f>
        <v>3710</v>
      </c>
    </row>
    <row r="27" spans="2:13" ht="12.75">
      <c r="B27" s="1" t="s">
        <v>156</v>
      </c>
      <c r="D27" s="1" t="s">
        <v>16</v>
      </c>
      <c r="G27" s="1">
        <v>5.3</v>
      </c>
      <c r="I27" s="1">
        <v>5.2</v>
      </c>
      <c r="K27" s="1">
        <v>5.2</v>
      </c>
      <c r="M27" s="5">
        <f>AVERAGE(K27,I27,G27)</f>
        <v>5.233333333333333</v>
      </c>
    </row>
    <row r="28" spans="2:13" ht="12.75">
      <c r="B28" s="1" t="s">
        <v>157</v>
      </c>
      <c r="D28" s="1" t="s">
        <v>16</v>
      </c>
      <c r="G28" s="1">
        <v>9.4</v>
      </c>
      <c r="I28" s="1">
        <v>8.7</v>
      </c>
      <c r="K28" s="1">
        <v>8.7</v>
      </c>
      <c r="M28" s="5">
        <f>AVERAGE(K28,I28,G28)</f>
        <v>8.933333333333332</v>
      </c>
    </row>
    <row r="29" spans="2:13" ht="12.75">
      <c r="B29" s="1" t="s">
        <v>51</v>
      </c>
      <c r="D29" s="1" t="s">
        <v>17</v>
      </c>
      <c r="G29" s="1">
        <v>113</v>
      </c>
      <c r="I29" s="1">
        <v>110</v>
      </c>
      <c r="K29" s="1">
        <v>110</v>
      </c>
      <c r="M29" s="5">
        <f>AVERAGE(K29,I29,G29)</f>
        <v>111</v>
      </c>
    </row>
    <row r="31" spans="2:13" ht="12.75">
      <c r="B31" s="1" t="s">
        <v>3</v>
      </c>
      <c r="C31" s="1" t="s">
        <v>192</v>
      </c>
      <c r="D31" s="1" t="s">
        <v>11</v>
      </c>
      <c r="E31" s="1" t="s">
        <v>48</v>
      </c>
      <c r="G31" s="9">
        <f>G11*(21-7)/(21-G27)*667.8/1000000</f>
        <v>0.001452996687898089</v>
      </c>
      <c r="I31" s="9">
        <f>I11*(21-7)/(21-I27)*667.8/1000000</f>
        <v>0.0019645154430379744</v>
      </c>
      <c r="K31" s="9">
        <f>K11*(21-7)/(21-K27)*667.8/1000000</f>
        <v>0.002816594430379747</v>
      </c>
      <c r="L31" s="9"/>
      <c r="M31" s="9">
        <f>AVERAGE(K31,I31,G31)</f>
        <v>0.0020780355204386034</v>
      </c>
    </row>
    <row r="32" spans="2:13" ht="12.75">
      <c r="B32" s="1" t="s">
        <v>4</v>
      </c>
      <c r="C32" s="1" t="s">
        <v>192</v>
      </c>
      <c r="D32" s="1" t="s">
        <v>11</v>
      </c>
      <c r="E32" s="1" t="s">
        <v>48</v>
      </c>
      <c r="G32" s="7">
        <f>G12*(21-7)/(21-G27)*343.4/1000000</f>
        <v>0.121567974522293</v>
      </c>
      <c r="I32" s="7">
        <f>I12*(21-7)/(21-I27)*343.4/1000000</f>
        <v>0.17709007594936707</v>
      </c>
      <c r="K32" s="7">
        <f>K12*(21-7)/(21-K27)*343.4/1000000</f>
        <v>0.16796172151898733</v>
      </c>
      <c r="L32" s="7"/>
      <c r="M32" s="7">
        <f>AVERAGE(K32,I32,G32)</f>
        <v>0.15553992399688246</v>
      </c>
    </row>
    <row r="33" spans="2:13" ht="12.75">
      <c r="B33" s="1" t="s">
        <v>160</v>
      </c>
      <c r="C33" s="1" t="s">
        <v>192</v>
      </c>
      <c r="D33" s="1" t="s">
        <v>11</v>
      </c>
      <c r="E33" s="1" t="s">
        <v>48</v>
      </c>
      <c r="G33" s="7">
        <f>G31+2*G32</f>
        <v>0.24458894573248408</v>
      </c>
      <c r="I33" s="7">
        <f>I31+2*I32</f>
        <v>0.35614466734177214</v>
      </c>
      <c r="K33" s="7">
        <f>K31+2*K32</f>
        <v>0.3387400374683544</v>
      </c>
      <c r="L33" s="7"/>
      <c r="M33" s="7">
        <f>AVERAGE(K33,I33,G33)</f>
        <v>0.31315788351420354</v>
      </c>
    </row>
    <row r="34" spans="2:13" ht="12.75">
      <c r="B34" s="34" t="s">
        <v>204</v>
      </c>
      <c r="C34" s="1" t="s">
        <v>192</v>
      </c>
      <c r="D34" s="1" t="s">
        <v>12</v>
      </c>
      <c r="E34" s="1" t="s">
        <v>48</v>
      </c>
      <c r="G34" s="5">
        <f>G13*(21-7)/(21-G27)</f>
        <v>8.828025477707007</v>
      </c>
      <c r="I34" s="5">
        <f>I13*(21-7)/(21-I27)</f>
        <v>11.962025316455696</v>
      </c>
      <c r="K34" s="5">
        <f>K13*(21-7)/(21-K27)</f>
        <v>7.2126582278481015</v>
      </c>
      <c r="L34" s="5"/>
      <c r="M34" s="5">
        <f>AVERAGE(K34,I34,G34)</f>
        <v>9.334236340670268</v>
      </c>
    </row>
    <row r="35" ht="12.75" customHeight="1"/>
    <row r="36" spans="1:13" ht="12.75" customHeight="1">
      <c r="A36" s="1">
        <v>2</v>
      </c>
      <c r="B36" s="10" t="s">
        <v>71</v>
      </c>
      <c r="C36" s="10" t="s">
        <v>153</v>
      </c>
      <c r="G36" s="2" t="s">
        <v>182</v>
      </c>
      <c r="H36" s="2"/>
      <c r="I36" s="2" t="s">
        <v>183</v>
      </c>
      <c r="J36" s="2"/>
      <c r="K36" s="2" t="s">
        <v>184</v>
      </c>
      <c r="L36" s="2"/>
      <c r="M36" s="4" t="s">
        <v>47</v>
      </c>
    </row>
    <row r="37" ht="12.75" customHeight="1"/>
    <row r="38" spans="2:13" ht="12.75">
      <c r="B38" s="1" t="s">
        <v>2</v>
      </c>
      <c r="C38" s="1" t="s">
        <v>192</v>
      </c>
      <c r="D38" s="1" t="s">
        <v>10</v>
      </c>
      <c r="E38" s="1" t="s">
        <v>48</v>
      </c>
      <c r="G38" s="1">
        <v>0.0092</v>
      </c>
      <c r="I38" s="1">
        <v>0.0053</v>
      </c>
      <c r="K38" s="1">
        <v>0.0048</v>
      </c>
      <c r="M38" s="6">
        <f>AVERAGE(K38,I38,G38)</f>
        <v>0.006433333333333333</v>
      </c>
    </row>
    <row r="39" spans="2:13" ht="12.75">
      <c r="B39" s="1" t="s">
        <v>162</v>
      </c>
      <c r="C39" s="1" t="s">
        <v>192</v>
      </c>
      <c r="D39" s="1" t="s">
        <v>11</v>
      </c>
      <c r="E39" s="1" t="s">
        <v>48</v>
      </c>
      <c r="G39" s="1">
        <v>12.5</v>
      </c>
      <c r="I39" s="1">
        <v>12.6</v>
      </c>
      <c r="K39" s="1">
        <v>12.6</v>
      </c>
      <c r="M39" s="5">
        <f>AVERAGE(K39,I39,G39)</f>
        <v>12.566666666666668</v>
      </c>
    </row>
    <row r="40" spans="2:13" ht="12.75">
      <c r="B40" s="1" t="s">
        <v>161</v>
      </c>
      <c r="C40" s="1" t="s">
        <v>192</v>
      </c>
      <c r="D40" s="1" t="s">
        <v>11</v>
      </c>
      <c r="E40" s="1" t="s">
        <v>48</v>
      </c>
      <c r="G40" s="1">
        <v>12.2</v>
      </c>
      <c r="I40" s="1">
        <v>12.5</v>
      </c>
      <c r="K40" s="1">
        <v>12.2</v>
      </c>
      <c r="M40" s="5">
        <f>AVERAGE(K40,I40,G40)</f>
        <v>12.299999999999999</v>
      </c>
    </row>
    <row r="41" spans="2:11" ht="12.75">
      <c r="B41" s="1" t="s">
        <v>3</v>
      </c>
      <c r="D41" s="1" t="s">
        <v>12</v>
      </c>
      <c r="E41" s="1" t="s">
        <v>49</v>
      </c>
      <c r="G41" s="1">
        <v>9</v>
      </c>
      <c r="I41" s="1">
        <v>7.03</v>
      </c>
      <c r="K41" s="1">
        <v>9.73</v>
      </c>
    </row>
    <row r="42" spans="2:11" ht="12.75">
      <c r="B42" s="1" t="s">
        <v>4</v>
      </c>
      <c r="D42" s="1" t="s">
        <v>12</v>
      </c>
      <c r="E42" s="1" t="s">
        <v>49</v>
      </c>
      <c r="G42" s="1">
        <v>718</v>
      </c>
      <c r="I42" s="1">
        <v>769</v>
      </c>
      <c r="K42" s="1">
        <v>826</v>
      </c>
    </row>
    <row r="43" ht="12.75" customHeight="1"/>
    <row r="44" spans="2:10" ht="12.75">
      <c r="B44" s="1" t="s">
        <v>53</v>
      </c>
      <c r="C44" s="1" t="s">
        <v>158</v>
      </c>
      <c r="F44" s="2"/>
      <c r="H44" s="2"/>
      <c r="J44" s="2"/>
    </row>
    <row r="45" spans="2:11" ht="12.75">
      <c r="B45" s="1" t="s">
        <v>155</v>
      </c>
      <c r="D45" s="1" t="s">
        <v>60</v>
      </c>
      <c r="F45" s="2"/>
      <c r="G45" s="1">
        <v>2199</v>
      </c>
      <c r="H45" s="2"/>
      <c r="I45" s="1">
        <v>2450</v>
      </c>
      <c r="J45" s="2"/>
      <c r="K45" s="1">
        <v>2292</v>
      </c>
    </row>
    <row r="46" spans="2:10" ht="12.75">
      <c r="B46" s="1" t="s">
        <v>159</v>
      </c>
      <c r="F46" s="2"/>
      <c r="H46" s="2"/>
      <c r="J46" s="2"/>
    </row>
    <row r="47" spans="2:11" ht="12.75">
      <c r="B47" s="1" t="s">
        <v>7</v>
      </c>
      <c r="C47" s="1" t="s">
        <v>192</v>
      </c>
      <c r="D47" s="1" t="s">
        <v>16</v>
      </c>
      <c r="F47" s="2" t="s">
        <v>54</v>
      </c>
      <c r="G47" s="1">
        <v>99.999996</v>
      </c>
      <c r="H47" s="2"/>
      <c r="I47" s="1">
        <v>99.99998</v>
      </c>
      <c r="J47" s="2"/>
      <c r="K47" s="1">
        <v>99.99996</v>
      </c>
    </row>
    <row r="48" spans="6:10" ht="12.75">
      <c r="F48" s="2"/>
      <c r="H48" s="2"/>
      <c r="J48" s="2"/>
    </row>
    <row r="49" spans="2:10" ht="12.75">
      <c r="B49" s="1" t="s">
        <v>53</v>
      </c>
      <c r="C49" s="1" t="s">
        <v>138</v>
      </c>
      <c r="F49" s="2"/>
      <c r="H49" s="2"/>
      <c r="J49" s="2"/>
    </row>
    <row r="50" spans="2:11" ht="12.75">
      <c r="B50" s="1" t="s">
        <v>155</v>
      </c>
      <c r="D50" s="1" t="s">
        <v>60</v>
      </c>
      <c r="F50" s="2"/>
      <c r="G50" s="1">
        <v>200</v>
      </c>
      <c r="H50" s="2"/>
      <c r="I50" s="1">
        <v>200</v>
      </c>
      <c r="J50" s="2"/>
      <c r="K50" s="1">
        <v>200</v>
      </c>
    </row>
    <row r="51" spans="2:10" ht="12.75">
      <c r="B51" s="1" t="s">
        <v>159</v>
      </c>
      <c r="F51" s="2"/>
      <c r="H51" s="2"/>
      <c r="J51" s="2"/>
    </row>
    <row r="52" spans="2:11" ht="12.75">
      <c r="B52" s="1" t="s">
        <v>7</v>
      </c>
      <c r="C52" s="1" t="s">
        <v>192</v>
      </c>
      <c r="D52" s="1" t="s">
        <v>16</v>
      </c>
      <c r="F52" s="2" t="s">
        <v>54</v>
      </c>
      <c r="G52" s="1">
        <v>99.9997</v>
      </c>
      <c r="H52" s="2" t="s">
        <v>54</v>
      </c>
      <c r="I52" s="1">
        <v>99.9997</v>
      </c>
      <c r="J52" s="2" t="s">
        <v>54</v>
      </c>
      <c r="K52" s="1">
        <v>99.9997</v>
      </c>
    </row>
    <row r="53" spans="6:10" ht="12.75">
      <c r="F53" s="2"/>
      <c r="H53" s="2"/>
      <c r="J53" s="2"/>
    </row>
    <row r="54" spans="2:4" ht="12" customHeight="1">
      <c r="B54" s="1" t="s">
        <v>163</v>
      </c>
      <c r="C54" s="1" t="s">
        <v>152</v>
      </c>
      <c r="D54" s="1" t="s">
        <v>192</v>
      </c>
    </row>
    <row r="55" spans="2:13" ht="12.75">
      <c r="B55" s="1" t="s">
        <v>50</v>
      </c>
      <c r="D55" s="1" t="s">
        <v>15</v>
      </c>
      <c r="G55" s="1">
        <v>2748</v>
      </c>
      <c r="I55" s="1">
        <v>2830</v>
      </c>
      <c r="K55" s="1">
        <v>2816</v>
      </c>
      <c r="M55" s="5">
        <f>AVERAGE(K55,I55,G55)</f>
        <v>2798</v>
      </c>
    </row>
    <row r="56" spans="2:13" ht="12.75">
      <c r="B56" s="1" t="s">
        <v>156</v>
      </c>
      <c r="D56" s="1" t="s">
        <v>16</v>
      </c>
      <c r="G56" s="1">
        <v>9.5</v>
      </c>
      <c r="I56" s="1">
        <v>9.5</v>
      </c>
      <c r="K56" s="1">
        <v>9.6</v>
      </c>
      <c r="M56" s="5">
        <f>AVERAGE(K56,I56,G56)</f>
        <v>9.533333333333333</v>
      </c>
    </row>
    <row r="57" spans="2:13" ht="12.75">
      <c r="B57" s="1" t="s">
        <v>157</v>
      </c>
      <c r="D57" s="1" t="s">
        <v>16</v>
      </c>
      <c r="G57" s="1">
        <v>6</v>
      </c>
      <c r="I57" s="1">
        <v>6.7</v>
      </c>
      <c r="K57" s="1">
        <v>6.4</v>
      </c>
      <c r="M57" s="5">
        <f>AVERAGE(K57,I57,G57)</f>
        <v>6.366666666666667</v>
      </c>
    </row>
    <row r="58" spans="2:13" ht="12.75">
      <c r="B58" s="1" t="s">
        <v>51</v>
      </c>
      <c r="D58" s="1" t="s">
        <v>17</v>
      </c>
      <c r="G58" s="1">
        <v>98</v>
      </c>
      <c r="I58" s="1">
        <v>101</v>
      </c>
      <c r="K58" s="1">
        <v>100</v>
      </c>
      <c r="M58" s="5">
        <f>AVERAGE(K58,I58,G58)</f>
        <v>99.66666666666667</v>
      </c>
    </row>
    <row r="59" ht="12.75" customHeight="1"/>
    <row r="60" spans="2:13" ht="12.75">
      <c r="B60" s="1" t="s">
        <v>3</v>
      </c>
      <c r="C60" s="1" t="s">
        <v>192</v>
      </c>
      <c r="D60" s="1" t="s">
        <v>11</v>
      </c>
      <c r="E60" s="1" t="s">
        <v>48</v>
      </c>
      <c r="G60" s="9">
        <f>G41*(21-7)/(21-G56)*667.8/1000000</f>
        <v>0.007316765217391305</v>
      </c>
      <c r="I60" s="9">
        <f>I41*(21-7)/(21-I56)*667.8/1000000</f>
        <v>0.005715206608695651</v>
      </c>
      <c r="K60" s="9">
        <f>K41*(21-7)/(21-K56)*667.8/1000000</f>
        <v>0.007979624210526316</v>
      </c>
      <c r="L60" s="9"/>
      <c r="M60" s="9">
        <f>AVERAGE(K60,I60,G60)</f>
        <v>0.007003865345537757</v>
      </c>
    </row>
    <row r="61" spans="2:13" ht="12.75">
      <c r="B61" s="1" t="s">
        <v>4</v>
      </c>
      <c r="C61" s="1" t="s">
        <v>192</v>
      </c>
      <c r="D61" s="1" t="s">
        <v>11</v>
      </c>
      <c r="E61" s="1" t="s">
        <v>48</v>
      </c>
      <c r="G61" s="15">
        <f>G42*(21-7)/(21-G56)*343.4/1000000</f>
        <v>0.3001614608695652</v>
      </c>
      <c r="I61" s="15">
        <f>I42*(21-7)/(21-I56)*343.4/1000000</f>
        <v>0.32148212173913043</v>
      </c>
      <c r="K61" s="15">
        <f>K42*(21-7)/(21-K56)*343.4/1000000</f>
        <v>0.3483401403508771</v>
      </c>
      <c r="L61" s="15"/>
      <c r="M61" s="9">
        <f>AVERAGE(K61,I61,G61)</f>
        <v>0.3233279076531909</v>
      </c>
    </row>
    <row r="62" spans="2:13" ht="12.75">
      <c r="B62" s="1" t="s">
        <v>160</v>
      </c>
      <c r="C62" s="1" t="s">
        <v>192</v>
      </c>
      <c r="D62" s="1" t="s">
        <v>11</v>
      </c>
      <c r="E62" s="1" t="s">
        <v>48</v>
      </c>
      <c r="G62" s="9">
        <f>G60+2*G61</f>
        <v>0.6076396869565217</v>
      </c>
      <c r="I62" s="9">
        <f>I60+2*I61</f>
        <v>0.6486794500869565</v>
      </c>
      <c r="K62" s="9">
        <f>K60+2*K61</f>
        <v>0.7046599049122806</v>
      </c>
      <c r="L62" s="9"/>
      <c r="M62" s="9">
        <f>AVERAGE(K62,I62,G62)</f>
        <v>0.6536596806519196</v>
      </c>
    </row>
    <row r="63" spans="7:13" ht="12.75">
      <c r="G63" s="9"/>
      <c r="I63" s="9"/>
      <c r="K63" s="9"/>
      <c r="L63" s="9"/>
      <c r="M63" s="9"/>
    </row>
    <row r="64" spans="1:13" ht="12.75">
      <c r="A64" s="1">
        <v>3</v>
      </c>
      <c r="B64" s="10" t="s">
        <v>72</v>
      </c>
      <c r="C64" s="10" t="s">
        <v>154</v>
      </c>
      <c r="G64" s="2" t="s">
        <v>182</v>
      </c>
      <c r="H64" s="2"/>
      <c r="I64" s="2" t="s">
        <v>183</v>
      </c>
      <c r="J64" s="2"/>
      <c r="K64" s="2" t="s">
        <v>184</v>
      </c>
      <c r="L64" s="2"/>
      <c r="M64" s="4" t="s">
        <v>47</v>
      </c>
    </row>
    <row r="65" ht="12.75" customHeight="1"/>
    <row r="66" spans="2:13" ht="12.75">
      <c r="B66" s="1" t="s">
        <v>2</v>
      </c>
      <c r="C66" s="1" t="s">
        <v>192</v>
      </c>
      <c r="D66" s="1" t="s">
        <v>10</v>
      </c>
      <c r="E66" s="1" t="s">
        <v>48</v>
      </c>
      <c r="G66" s="1">
        <v>0.0077</v>
      </c>
      <c r="I66" s="1">
        <v>0.0032</v>
      </c>
      <c r="K66" s="1">
        <v>0.0034</v>
      </c>
      <c r="M66" s="6">
        <f>AVERAGE(K66,I66,G66)</f>
        <v>0.0047666666666666664</v>
      </c>
    </row>
    <row r="67" spans="2:13" ht="12.75">
      <c r="B67" s="1" t="s">
        <v>162</v>
      </c>
      <c r="C67" s="1" t="s">
        <v>192</v>
      </c>
      <c r="D67" s="1" t="s">
        <v>11</v>
      </c>
      <c r="E67" s="1" t="s">
        <v>48</v>
      </c>
      <c r="G67" s="1">
        <v>8.1</v>
      </c>
      <c r="I67" s="1">
        <v>13.7</v>
      </c>
      <c r="K67" s="1">
        <v>8.2</v>
      </c>
      <c r="M67" s="5">
        <f>AVERAGE(K67,I67,G67)</f>
        <v>10</v>
      </c>
    </row>
    <row r="68" spans="2:13" ht="12.75">
      <c r="B68" s="1" t="s">
        <v>161</v>
      </c>
      <c r="C68" s="1" t="s">
        <v>192</v>
      </c>
      <c r="D68" s="1" t="s">
        <v>11</v>
      </c>
      <c r="E68" s="1" t="s">
        <v>48</v>
      </c>
      <c r="G68" s="1">
        <v>7</v>
      </c>
      <c r="I68" s="1">
        <v>10</v>
      </c>
      <c r="K68" s="1">
        <v>8</v>
      </c>
      <c r="M68" s="5">
        <f>AVERAGE(K68,I68,G68)</f>
        <v>8.333333333333334</v>
      </c>
    </row>
    <row r="69" spans="2:11" ht="12.75">
      <c r="B69" s="1" t="s">
        <v>3</v>
      </c>
      <c r="D69" s="1" t="s">
        <v>12</v>
      </c>
      <c r="E69" s="1" t="s">
        <v>49</v>
      </c>
      <c r="G69" s="1">
        <v>10.7</v>
      </c>
      <c r="I69" s="1">
        <v>9.67</v>
      </c>
      <c r="K69" s="1">
        <v>14.5</v>
      </c>
    </row>
    <row r="70" spans="2:11" ht="12.75">
      <c r="B70" s="1" t="s">
        <v>4</v>
      </c>
      <c r="D70" s="1" t="s">
        <v>12</v>
      </c>
      <c r="E70" s="1" t="s">
        <v>49</v>
      </c>
      <c r="F70" s="1" t="s">
        <v>52</v>
      </c>
      <c r="G70" s="1">
        <v>0.15</v>
      </c>
      <c r="I70" s="1">
        <v>30.6</v>
      </c>
      <c r="K70" s="1">
        <v>16.4</v>
      </c>
    </row>
    <row r="71" ht="12.75" customHeight="1"/>
    <row r="72" spans="6:10" ht="12.75">
      <c r="F72" s="2"/>
      <c r="H72" s="2"/>
      <c r="J72" s="2"/>
    </row>
    <row r="73" spans="2:4" ht="12" customHeight="1">
      <c r="B73" s="1" t="s">
        <v>163</v>
      </c>
      <c r="C73" s="1" t="s">
        <v>152</v>
      </c>
      <c r="D73" s="1" t="s">
        <v>192</v>
      </c>
    </row>
    <row r="74" spans="2:13" ht="12.75">
      <c r="B74" s="1" t="s">
        <v>50</v>
      </c>
      <c r="D74" s="1" t="s">
        <v>15</v>
      </c>
      <c r="G74" s="1">
        <v>2657</v>
      </c>
      <c r="I74" s="1">
        <v>2615</v>
      </c>
      <c r="K74" s="1">
        <v>2636</v>
      </c>
      <c r="M74" s="5">
        <f>AVERAGE(K74,I74,G74)</f>
        <v>2636</v>
      </c>
    </row>
    <row r="75" spans="2:13" ht="12.75">
      <c r="B75" s="1" t="s">
        <v>156</v>
      </c>
      <c r="D75" s="1" t="s">
        <v>16</v>
      </c>
      <c r="G75" s="1">
        <v>8.6</v>
      </c>
      <c r="I75" s="1">
        <v>9</v>
      </c>
      <c r="K75" s="1">
        <v>9</v>
      </c>
      <c r="M75" s="5">
        <f>AVERAGE(K75,I75,G75)</f>
        <v>8.866666666666667</v>
      </c>
    </row>
    <row r="76" spans="2:13" ht="12.75">
      <c r="B76" s="1" t="s">
        <v>157</v>
      </c>
      <c r="D76" s="1" t="s">
        <v>16</v>
      </c>
      <c r="G76" s="1">
        <v>5.8</v>
      </c>
      <c r="I76" s="1">
        <v>5.7</v>
      </c>
      <c r="K76" s="1">
        <v>5.7</v>
      </c>
      <c r="M76" s="5">
        <f>AVERAGE(K76,I76,G76)</f>
        <v>5.733333333333333</v>
      </c>
    </row>
    <row r="77" spans="2:13" ht="12.75">
      <c r="B77" s="1" t="s">
        <v>51</v>
      </c>
      <c r="D77" s="1" t="s">
        <v>17</v>
      </c>
      <c r="G77" s="1">
        <v>97</v>
      </c>
      <c r="I77" s="1">
        <v>96</v>
      </c>
      <c r="K77" s="1">
        <v>96</v>
      </c>
      <c r="M77" s="5">
        <f>AVERAGE(K77,I77,G77)</f>
        <v>96.33333333333333</v>
      </c>
    </row>
    <row r="78" ht="12.75">
      <c r="M78" s="5"/>
    </row>
    <row r="79" spans="2:13" ht="12.75">
      <c r="B79" s="1" t="s">
        <v>3</v>
      </c>
      <c r="C79" s="1" t="s">
        <v>192</v>
      </c>
      <c r="D79" s="1" t="s">
        <v>11</v>
      </c>
      <c r="E79" s="1" t="s">
        <v>48</v>
      </c>
      <c r="G79" s="9">
        <f>G69*(21-7)/(21-G75)*667.8/1000000</f>
        <v>0.008067454838709676</v>
      </c>
      <c r="I79" s="9">
        <f>I69*(21-7)/(21-I75)*667.8/1000000</f>
        <v>0.007533896999999999</v>
      </c>
      <c r="K79" s="9">
        <f>K69*(21-7)/(21-K75)*667.8/1000000</f>
        <v>0.01129695</v>
      </c>
      <c r="L79" s="9"/>
      <c r="M79" s="9">
        <f>AVERAGE(K79,I79,G79)</f>
        <v>0.008966100612903224</v>
      </c>
    </row>
    <row r="80" spans="2:13" ht="12.75">
      <c r="B80" s="1" t="s">
        <v>4</v>
      </c>
      <c r="C80" s="1" t="s">
        <v>192</v>
      </c>
      <c r="D80" s="1" t="s">
        <v>11</v>
      </c>
      <c r="E80" s="1" t="s">
        <v>48</v>
      </c>
      <c r="G80" s="15">
        <f>G70*(21-7)/(21-G75)*343.4/1000000</f>
        <v>5.8156451612903226E-05</v>
      </c>
      <c r="I80" s="15">
        <f>I70*(21-7)/(21-I75)*343.4/1000000</f>
        <v>0.01225938</v>
      </c>
      <c r="K80" s="15">
        <f>K70*(21-7)/(21-K75)*343.4/1000000</f>
        <v>0.006570386666666665</v>
      </c>
      <c r="L80" s="15"/>
      <c r="M80" s="9">
        <f>AVERAGE(K80,I80,G80)</f>
        <v>0.006295974372759856</v>
      </c>
    </row>
    <row r="81" spans="2:13" ht="12.75">
      <c r="B81" s="1" t="s">
        <v>160</v>
      </c>
      <c r="C81" s="1" t="s">
        <v>192</v>
      </c>
      <c r="D81" s="1" t="s">
        <v>11</v>
      </c>
      <c r="E81" s="1" t="s">
        <v>48</v>
      </c>
      <c r="G81" s="9">
        <f>G79+2*G80</f>
        <v>0.008183767741935483</v>
      </c>
      <c r="I81" s="9">
        <f>I79+2*I80</f>
        <v>0.032052657</v>
      </c>
      <c r="K81" s="9">
        <f>K79+2*K80</f>
        <v>0.024437723333333328</v>
      </c>
      <c r="L81" s="9"/>
      <c r="M81" s="9">
        <f>AVERAGE(K81,I81,G81)</f>
        <v>0.021558049358422936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97"/>
  <sheetViews>
    <sheetView zoomScale="75" zoomScaleNormal="75" workbookViewId="0" topLeftCell="B59">
      <selection activeCell="C13" sqref="C13"/>
    </sheetView>
  </sheetViews>
  <sheetFormatPr defaultColWidth="9.140625" defaultRowHeight="12.75"/>
  <cols>
    <col min="1" max="1" width="7.421875" style="1" hidden="1" customWidth="1"/>
    <col min="2" max="2" width="19.57421875" style="1" customWidth="1"/>
    <col min="3" max="3" width="8.00390625" style="1" customWidth="1"/>
    <col min="4" max="4" width="9.7109375" style="1" customWidth="1"/>
    <col min="5" max="5" width="4.140625" style="1" customWidth="1"/>
    <col min="6" max="6" width="10.140625" style="1" customWidth="1"/>
    <col min="7" max="7" width="4.00390625" style="1" customWidth="1"/>
    <col min="8" max="8" width="10.00390625" style="1" customWidth="1"/>
    <col min="9" max="9" width="4.00390625" style="1" customWidth="1"/>
    <col min="10" max="10" width="11.421875" style="1" customWidth="1"/>
    <col min="11" max="11" width="3.8515625" style="1" customWidth="1"/>
    <col min="12" max="12" width="11.7109375" style="1" bestFit="1" customWidth="1"/>
    <col min="13" max="13" width="4.8515625" style="1" customWidth="1"/>
    <col min="14" max="14" width="10.7109375" style="1" bestFit="1" customWidth="1"/>
    <col min="15" max="15" width="4.7109375" style="1" customWidth="1"/>
    <col min="16" max="16" width="10.140625" style="1" customWidth="1"/>
    <col min="17" max="17" width="4.140625" style="1" customWidth="1"/>
    <col min="18" max="18" width="10.8515625" style="1" customWidth="1"/>
    <col min="19" max="19" width="4.28125" style="1" customWidth="1"/>
    <col min="20" max="20" width="13.140625" style="1" customWidth="1"/>
    <col min="21" max="21" width="3.7109375" style="1" customWidth="1"/>
    <col min="22" max="22" width="11.421875" style="1" customWidth="1"/>
    <col min="23" max="23" width="4.421875" style="1" customWidth="1"/>
    <col min="24" max="24" width="11.421875" style="1" customWidth="1"/>
    <col min="25" max="25" width="4.00390625" style="1" customWidth="1"/>
    <col min="26" max="26" width="11.421875" style="1" customWidth="1"/>
    <col min="27" max="27" width="3.140625" style="1" customWidth="1"/>
    <col min="28" max="16384" width="11.421875" style="1" customWidth="1"/>
  </cols>
  <sheetData>
    <row r="1" spans="2:3" ht="12.75">
      <c r="B1" s="10" t="s">
        <v>128</v>
      </c>
      <c r="C1" s="10"/>
    </row>
    <row r="2" ht="12.75" customHeight="1"/>
    <row r="3" ht="12.75">
      <c r="D3" s="1" t="s">
        <v>45</v>
      </c>
    </row>
    <row r="5" spans="1:28" ht="12.75">
      <c r="A5" s="1" t="s">
        <v>176</v>
      </c>
      <c r="B5" s="10" t="s">
        <v>171</v>
      </c>
      <c r="C5" s="10" t="s">
        <v>172</v>
      </c>
      <c r="F5" s="1" t="s">
        <v>182</v>
      </c>
      <c r="H5" s="1" t="s">
        <v>183</v>
      </c>
      <c r="J5" s="1" t="s">
        <v>184</v>
      </c>
      <c r="L5" s="1" t="s">
        <v>47</v>
      </c>
      <c r="N5" s="1" t="s">
        <v>182</v>
      </c>
      <c r="P5" s="1" t="s">
        <v>183</v>
      </c>
      <c r="R5" s="1" t="s">
        <v>184</v>
      </c>
      <c r="T5" s="1" t="s">
        <v>47</v>
      </c>
      <c r="U5" s="2"/>
      <c r="V5" s="1" t="s">
        <v>182</v>
      </c>
      <c r="X5" s="1" t="s">
        <v>183</v>
      </c>
      <c r="Z5" s="1" t="s">
        <v>184</v>
      </c>
      <c r="AB5" s="1" t="s">
        <v>47</v>
      </c>
    </row>
    <row r="6" spans="2:21" ht="12.75">
      <c r="B6" s="10"/>
      <c r="C6" s="10"/>
      <c r="U6" s="2"/>
    </row>
    <row r="7" spans="2:28" ht="12.75">
      <c r="B7" s="33" t="s">
        <v>188</v>
      </c>
      <c r="C7" s="10"/>
      <c r="F7" s="1" t="s">
        <v>205</v>
      </c>
      <c r="H7" s="1" t="s">
        <v>205</v>
      </c>
      <c r="J7" s="1" t="s">
        <v>205</v>
      </c>
      <c r="L7" s="1" t="s">
        <v>205</v>
      </c>
      <c r="N7" s="1" t="s">
        <v>206</v>
      </c>
      <c r="P7" s="1" t="s">
        <v>206</v>
      </c>
      <c r="R7" s="1" t="s">
        <v>206</v>
      </c>
      <c r="T7" s="1" t="s">
        <v>206</v>
      </c>
      <c r="U7" s="2"/>
      <c r="V7" s="1" t="s">
        <v>207</v>
      </c>
      <c r="X7" s="1" t="s">
        <v>207</v>
      </c>
      <c r="Z7" s="1" t="s">
        <v>207</v>
      </c>
      <c r="AB7" s="1" t="s">
        <v>207</v>
      </c>
    </row>
    <row r="8" spans="2:28" ht="12.75">
      <c r="B8" s="33" t="s">
        <v>189</v>
      </c>
      <c r="F8" s="1" t="s">
        <v>190</v>
      </c>
      <c r="H8" s="1" t="s">
        <v>190</v>
      </c>
      <c r="J8" s="1" t="s">
        <v>190</v>
      </c>
      <c r="L8" s="1" t="s">
        <v>190</v>
      </c>
      <c r="N8" s="1" t="s">
        <v>13</v>
      </c>
      <c r="P8" s="1" t="s">
        <v>13</v>
      </c>
      <c r="R8" s="1" t="s">
        <v>13</v>
      </c>
      <c r="T8" s="1" t="s">
        <v>13</v>
      </c>
      <c r="V8" s="1" t="s">
        <v>78</v>
      </c>
      <c r="X8" s="1" t="s">
        <v>78</v>
      </c>
      <c r="Z8" s="1" t="s">
        <v>78</v>
      </c>
      <c r="AB8" s="1" t="s">
        <v>78</v>
      </c>
    </row>
    <row r="9" spans="2:28" ht="12.75">
      <c r="B9" s="33" t="s">
        <v>209</v>
      </c>
      <c r="F9" s="1" t="s">
        <v>1</v>
      </c>
      <c r="H9" s="1" t="s">
        <v>1</v>
      </c>
      <c r="J9" s="1" t="s">
        <v>1</v>
      </c>
      <c r="L9" s="1" t="s">
        <v>1</v>
      </c>
      <c r="N9" s="1" t="s">
        <v>13</v>
      </c>
      <c r="P9" s="1" t="s">
        <v>13</v>
      </c>
      <c r="R9" s="1" t="s">
        <v>13</v>
      </c>
      <c r="T9" s="1" t="s">
        <v>13</v>
      </c>
      <c r="V9" s="1" t="s">
        <v>78</v>
      </c>
      <c r="X9" s="1" t="s">
        <v>78</v>
      </c>
      <c r="Z9" s="1" t="s">
        <v>78</v>
      </c>
      <c r="AB9" s="1" t="s">
        <v>78</v>
      </c>
    </row>
    <row r="10" spans="2:28" ht="12.75">
      <c r="B10" s="1" t="s">
        <v>180</v>
      </c>
      <c r="F10" s="1" t="s">
        <v>55</v>
      </c>
      <c r="H10" s="1" t="s">
        <v>55</v>
      </c>
      <c r="J10" s="1" t="s">
        <v>55</v>
      </c>
      <c r="L10" s="1" t="s">
        <v>55</v>
      </c>
      <c r="N10" s="1" t="s">
        <v>13</v>
      </c>
      <c r="P10" s="1" t="s">
        <v>13</v>
      </c>
      <c r="R10" s="1" t="s">
        <v>13</v>
      </c>
      <c r="T10" s="1" t="s">
        <v>13</v>
      </c>
      <c r="V10" s="1" t="s">
        <v>78</v>
      </c>
      <c r="X10" s="1" t="s">
        <v>78</v>
      </c>
      <c r="Z10" s="1" t="s">
        <v>78</v>
      </c>
      <c r="AB10" s="1" t="s">
        <v>78</v>
      </c>
    </row>
    <row r="11" spans="2:12" ht="12.75">
      <c r="B11" s="1" t="s">
        <v>179</v>
      </c>
      <c r="D11" s="1" t="s">
        <v>56</v>
      </c>
      <c r="F11" s="1">
        <v>2.9</v>
      </c>
      <c r="H11" s="1">
        <v>2.9</v>
      </c>
      <c r="J11" s="1">
        <v>3</v>
      </c>
      <c r="L11" s="1">
        <v>2.9</v>
      </c>
    </row>
    <row r="12" spans="2:12" ht="12.75">
      <c r="B12" s="1" t="s">
        <v>57</v>
      </c>
      <c r="D12" s="1" t="s">
        <v>58</v>
      </c>
      <c r="F12" s="1">
        <v>1.5</v>
      </c>
      <c r="H12" s="1">
        <v>1.53</v>
      </c>
      <c r="J12" s="1">
        <v>1.56</v>
      </c>
      <c r="L12" s="1">
        <v>1.5</v>
      </c>
    </row>
    <row r="13" spans="2:19" ht="12.75">
      <c r="B13" s="1" t="s">
        <v>112</v>
      </c>
      <c r="D13" s="1" t="s">
        <v>113</v>
      </c>
      <c r="F13" s="8">
        <f>F11*F12*0.003785*(100^3)</f>
        <v>16464.75</v>
      </c>
      <c r="H13" s="8">
        <f>H11*H12*0.003785*(100^3)</f>
        <v>16794.045000000002</v>
      </c>
      <c r="J13" s="8">
        <f>J11*J12*0.003785*(100^3)</f>
        <v>17713.8</v>
      </c>
      <c r="L13" s="8">
        <f>L11*L12*0.003785*(100^3)</f>
        <v>16464.75</v>
      </c>
      <c r="M13" s="8"/>
      <c r="N13" s="8"/>
      <c r="O13" s="8"/>
      <c r="P13" s="8"/>
      <c r="Q13" s="8"/>
      <c r="R13" s="8"/>
      <c r="S13" s="8"/>
    </row>
    <row r="14" spans="2:12" ht="12.75">
      <c r="B14" s="1" t="s">
        <v>191</v>
      </c>
      <c r="D14" s="1" t="s">
        <v>59</v>
      </c>
      <c r="F14" s="1">
        <v>2200</v>
      </c>
      <c r="H14" s="1">
        <v>2200</v>
      </c>
      <c r="J14" s="1">
        <v>1900</v>
      </c>
      <c r="L14" s="1">
        <v>2000</v>
      </c>
    </row>
    <row r="15" spans="2:20" ht="12.75">
      <c r="B15" s="1" t="s">
        <v>8</v>
      </c>
      <c r="D15" s="1" t="s">
        <v>60</v>
      </c>
      <c r="F15" s="1">
        <v>0.65</v>
      </c>
      <c r="H15" s="1">
        <v>0.44</v>
      </c>
      <c r="J15" s="1">
        <v>0.47</v>
      </c>
      <c r="L15" s="1">
        <v>0.5</v>
      </c>
      <c r="N15" s="1">
        <v>8</v>
      </c>
      <c r="P15" s="1">
        <v>8</v>
      </c>
      <c r="R15" s="1">
        <v>8</v>
      </c>
      <c r="T15" s="1">
        <v>8</v>
      </c>
    </row>
    <row r="16" spans="2:20" ht="12.75">
      <c r="B16" s="1" t="s">
        <v>61</v>
      </c>
      <c r="D16" s="1" t="s">
        <v>60</v>
      </c>
      <c r="F16" s="1">
        <v>1719</v>
      </c>
      <c r="H16" s="1">
        <v>1864.4</v>
      </c>
      <c r="J16" s="1">
        <v>1966.4</v>
      </c>
      <c r="L16" s="1">
        <v>1900</v>
      </c>
      <c r="N16" s="1">
        <v>63</v>
      </c>
      <c r="P16" s="1">
        <v>63</v>
      </c>
      <c r="R16" s="1">
        <v>63</v>
      </c>
      <c r="T16" s="1">
        <v>63</v>
      </c>
    </row>
    <row r="17" spans="2:20" ht="12.75">
      <c r="B17" s="1" t="s">
        <v>204</v>
      </c>
      <c r="D17" s="1" t="s">
        <v>60</v>
      </c>
      <c r="N17" s="1">
        <v>0.017</v>
      </c>
      <c r="P17" s="1">
        <v>0.017</v>
      </c>
      <c r="R17" s="1">
        <v>0.017</v>
      </c>
      <c r="T17" s="1">
        <v>0.017</v>
      </c>
    </row>
    <row r="19" spans="2:20" ht="12.75">
      <c r="B19" s="1" t="s">
        <v>62</v>
      </c>
      <c r="D19" s="1" t="s">
        <v>15</v>
      </c>
      <c r="F19" s="1">
        <f>emiss!$G$26</f>
        <v>3318</v>
      </c>
      <c r="H19" s="1">
        <f>emiss!$I$26</f>
        <v>3992</v>
      </c>
      <c r="J19" s="1">
        <f>emiss!$K$26</f>
        <v>3820</v>
      </c>
      <c r="L19" s="5">
        <f>emiss!$M$26</f>
        <v>3710</v>
      </c>
      <c r="N19" s="1">
        <f>emiss!$G$26</f>
        <v>3318</v>
      </c>
      <c r="P19" s="1">
        <f>emiss!$I$26</f>
        <v>3992</v>
      </c>
      <c r="R19" s="1">
        <f>emiss!$K$26</f>
        <v>3820</v>
      </c>
      <c r="T19" s="5">
        <f>emiss!$M$26</f>
        <v>3710</v>
      </c>
    </row>
    <row r="20" spans="2:20" ht="12.75">
      <c r="B20" s="1" t="s">
        <v>9</v>
      </c>
      <c r="D20" s="1" t="s">
        <v>16</v>
      </c>
      <c r="F20" s="1">
        <f>emiss!$G$27</f>
        <v>5.3</v>
      </c>
      <c r="H20" s="1">
        <f>emiss!$I$27</f>
        <v>5.2</v>
      </c>
      <c r="J20" s="1">
        <f>emiss!$K$27</f>
        <v>5.2</v>
      </c>
      <c r="L20" s="5">
        <f>emiss!$M$27</f>
        <v>5.233333333333333</v>
      </c>
      <c r="M20" s="5"/>
      <c r="N20" s="1">
        <f>emiss!$G$27</f>
        <v>5.3</v>
      </c>
      <c r="P20" s="1">
        <f>emiss!$I$27</f>
        <v>5.2</v>
      </c>
      <c r="R20" s="1">
        <f>emiss!$K$27</f>
        <v>5.2</v>
      </c>
      <c r="T20" s="5">
        <f>emiss!$M$27</f>
        <v>5.233333333333333</v>
      </c>
    </row>
    <row r="22" spans="2:28" ht="12.75">
      <c r="B22" s="1" t="s">
        <v>177</v>
      </c>
      <c r="D22" s="1" t="s">
        <v>114</v>
      </c>
      <c r="F22" s="7">
        <f>F13/454*60*F14/1000000</f>
        <v>4.787107929515418</v>
      </c>
      <c r="H22" s="7">
        <f>H13/454*60*H14/1000000</f>
        <v>4.882850088105727</v>
      </c>
      <c r="J22" s="7">
        <f>J13/454*60*J14/1000000</f>
        <v>4.447958590308369</v>
      </c>
      <c r="L22" s="7">
        <f>L13/454*60*L14/1000000</f>
        <v>4.351916299559472</v>
      </c>
      <c r="M22" s="7"/>
      <c r="N22" s="7"/>
      <c r="O22" s="7"/>
      <c r="P22" s="7"/>
      <c r="Q22" s="7"/>
      <c r="R22" s="7"/>
      <c r="S22" s="7"/>
      <c r="V22" s="7">
        <f>F22</f>
        <v>4.787107929515418</v>
      </c>
      <c r="X22" s="7">
        <f>H22</f>
        <v>4.882850088105727</v>
      </c>
      <c r="Z22" s="7">
        <f>J22</f>
        <v>4.447958590308369</v>
      </c>
      <c r="AB22" s="7">
        <f>L22</f>
        <v>4.351916299559472</v>
      </c>
    </row>
    <row r="23" spans="2:28" ht="12.75">
      <c r="B23" s="1" t="s">
        <v>115</v>
      </c>
      <c r="D23" s="1" t="s">
        <v>114</v>
      </c>
      <c r="M23" s="5"/>
      <c r="N23" s="5"/>
      <c r="O23" s="5"/>
      <c r="P23" s="5"/>
      <c r="Q23" s="5"/>
      <c r="R23" s="5"/>
      <c r="S23" s="5"/>
      <c r="V23" s="5">
        <f>F19/9000*(21-F20)/21*60</f>
        <v>16.53733333333333</v>
      </c>
      <c r="X23" s="5">
        <f>H19/9000*(21-H20)/21*60</f>
        <v>20.023365079365078</v>
      </c>
      <c r="Z23" s="5">
        <f>J19/9000*(21-J20)/21*60</f>
        <v>19.160634920634923</v>
      </c>
      <c r="AB23" s="5">
        <f>L19/9000*(21-L20)/21*60</f>
        <v>18.569629629629627</v>
      </c>
    </row>
    <row r="24" spans="6:19" ht="12.75">
      <c r="F24" s="5"/>
      <c r="H24" s="5"/>
      <c r="J24" s="5"/>
      <c r="L24" s="5"/>
      <c r="M24" s="5"/>
      <c r="N24" s="5"/>
      <c r="O24" s="5"/>
      <c r="P24" s="5"/>
      <c r="Q24" s="5"/>
      <c r="R24" s="5"/>
      <c r="S24" s="5"/>
    </row>
    <row r="25" spans="2:19" ht="12.75">
      <c r="B25" s="29" t="s">
        <v>136</v>
      </c>
      <c r="C25" s="29"/>
      <c r="F25" s="5"/>
      <c r="H25" s="5"/>
      <c r="J25" s="5"/>
      <c r="L25" s="5"/>
      <c r="M25" s="5"/>
      <c r="N25" s="5"/>
      <c r="O25" s="5"/>
      <c r="P25" s="5"/>
      <c r="Q25" s="5"/>
      <c r="R25" s="5"/>
      <c r="S25" s="5"/>
    </row>
    <row r="26" spans="2:19" ht="12.75">
      <c r="B26" s="29"/>
      <c r="C26" s="29"/>
      <c r="F26" s="5"/>
      <c r="H26" s="5"/>
      <c r="J26" s="5"/>
      <c r="L26" s="5"/>
      <c r="M26" s="5"/>
      <c r="N26" s="5"/>
      <c r="O26" s="5"/>
      <c r="P26" s="5"/>
      <c r="Q26" s="5"/>
      <c r="R26" s="5"/>
      <c r="S26" s="5"/>
    </row>
    <row r="27" spans="2:28" ht="12.75">
      <c r="B27" s="1" t="s">
        <v>8</v>
      </c>
      <c r="D27" s="1" t="s">
        <v>14</v>
      </c>
      <c r="F27" s="5">
        <f>F15*454/60/F19/0.0283*1000*(21-7)/(21-F20)</f>
        <v>46.70716689266858</v>
      </c>
      <c r="H27" s="5">
        <f>H15*454/60/H19/0.0283*1000*(21-7)/(21-H20)</f>
        <v>26.112668748210435</v>
      </c>
      <c r="J27" s="5">
        <f>J15*454/60/J19/0.0283*1000*(21-7)/(21-J20)</f>
        <v>29.148996675477367</v>
      </c>
      <c r="L27" s="5">
        <f>L15*454/60/L19/0.0283*1000*(21-7)/(21-L20)</f>
        <v>31.996495326608812</v>
      </c>
      <c r="M27" s="5"/>
      <c r="N27" s="5">
        <f>N15*454/60/N19/0.0283*1000*(21-7)/(21-N20)</f>
        <v>574.8574386789978</v>
      </c>
      <c r="P27" s="5">
        <f>P15*454/60/P19/0.0283*1000*(21-7)/(21-P20)</f>
        <v>474.775795422008</v>
      </c>
      <c r="R27" s="5">
        <f>R15*454/60/R19/0.0283*1000*(21-7)/(21-R20)</f>
        <v>496.1531349017424</v>
      </c>
      <c r="T27" s="5">
        <f>T15*454/60/T19/0.0283*1000*(21-7)/(21-T20)</f>
        <v>511.943925225741</v>
      </c>
      <c r="V27" s="5">
        <f>SUM(N27,F27)</f>
        <v>621.5646055716664</v>
      </c>
      <c r="X27" s="5">
        <f>SUM(P27,H27)</f>
        <v>500.8884641702184</v>
      </c>
      <c r="Z27" s="5">
        <f>SUM(R27,J27)</f>
        <v>525.3021315772198</v>
      </c>
      <c r="AB27" s="5">
        <f>AVERAGE(Z27,X27,V27,T27)</f>
        <v>539.9247816362115</v>
      </c>
    </row>
    <row r="28" spans="2:28" ht="12.75">
      <c r="B28" s="1" t="s">
        <v>61</v>
      </c>
      <c r="D28" s="1" t="s">
        <v>111</v>
      </c>
      <c r="F28" s="8">
        <f>F16*454/60/F19/0.0283*1000000*(21-7)/(21-F20)</f>
        <v>123522492.13614969</v>
      </c>
      <c r="H28" s="8">
        <f>H16*454/60/H19/0.0283*1000000*(21-7)/(21-H20)</f>
        <v>110646499.12309897</v>
      </c>
      <c r="J28" s="8">
        <f>J16*454/60/J19/0.0283*1000000*(21-7)/(21-J20)</f>
        <v>121954440.55884828</v>
      </c>
      <c r="L28" s="8">
        <f>L16*454/60/L19/0.0283*1000000*(21-7)/(21-L20)</f>
        <v>121586682.24111348</v>
      </c>
      <c r="M28" s="8"/>
      <c r="N28" s="8">
        <f>N16*454/60/N19/0.0283*1000000*(21-7)/(21-N20)</f>
        <v>4527002.329597108</v>
      </c>
      <c r="P28" s="8">
        <f>P16*454/60/P19/0.0283*1000000*(21-7)/(21-P20)</f>
        <v>3738859.388948313</v>
      </c>
      <c r="R28" s="8">
        <f>R16*454/60/R19/0.0283*1000000*(21-7)/(21-R20)</f>
        <v>3907205.937351222</v>
      </c>
      <c r="T28" s="8">
        <f>T16*454/60/T19/0.0283*1000000*(21-7)/(21-T20)</f>
        <v>4031558.4111527097</v>
      </c>
      <c r="V28" s="5">
        <f aca="true" t="shared" si="0" ref="V28:Z29">SUM(N28,F28)</f>
        <v>128049494.46574679</v>
      </c>
      <c r="X28" s="5">
        <f t="shared" si="0"/>
        <v>114385358.51204728</v>
      </c>
      <c r="Z28" s="5">
        <f t="shared" si="0"/>
        <v>125861646.4961995</v>
      </c>
      <c r="AB28" s="5">
        <f>AVERAGE(Z28,X28,V28,T28)</f>
        <v>93082014.47128657</v>
      </c>
    </row>
    <row r="29" spans="2:28" ht="12.75">
      <c r="B29" s="1" t="s">
        <v>170</v>
      </c>
      <c r="D29" s="1" t="s">
        <v>111</v>
      </c>
      <c r="N29" s="5">
        <f>N17*454/60/F19/0.0283*1000000*(21-7)/(21-F20)</f>
        <v>1221.572057192871</v>
      </c>
      <c r="P29" s="5">
        <f>P17*454/60/H19/0.0283*1000000*(21-7)/(21-H20)</f>
        <v>1008.8985652717673</v>
      </c>
      <c r="R29" s="5">
        <f>R17*454/60/J19/0.0283*1000000*(21-7)/(21-J20)</f>
        <v>1054.3254116662026</v>
      </c>
      <c r="T29" s="5">
        <f>T17*454/60/L19/0.0283*1000000*(21-7)/(21-L20)</f>
        <v>1087.8808411046998</v>
      </c>
      <c r="V29" s="5">
        <f t="shared" si="0"/>
        <v>1221.572057192871</v>
      </c>
      <c r="X29" s="5">
        <f t="shared" si="0"/>
        <v>1008.8985652717673</v>
      </c>
      <c r="Z29" s="5">
        <f t="shared" si="0"/>
        <v>1054.3254116662026</v>
      </c>
      <c r="AB29" s="5">
        <f>AVERAGE(Z29,X29,V29,T29)</f>
        <v>1093.169218808885</v>
      </c>
    </row>
    <row r="31" spans="1:28" ht="12.75">
      <c r="A31" s="1" t="s">
        <v>176</v>
      </c>
      <c r="B31" s="10" t="s">
        <v>173</v>
      </c>
      <c r="C31" s="10" t="s">
        <v>151</v>
      </c>
      <c r="F31" s="1" t="s">
        <v>182</v>
      </c>
      <c r="H31" s="1" t="s">
        <v>183</v>
      </c>
      <c r="J31" s="1" t="s">
        <v>184</v>
      </c>
      <c r="L31" s="1" t="s">
        <v>47</v>
      </c>
      <c r="N31" s="1" t="s">
        <v>182</v>
      </c>
      <c r="P31" s="1" t="s">
        <v>183</v>
      </c>
      <c r="R31" s="1" t="s">
        <v>184</v>
      </c>
      <c r="T31" s="1" t="s">
        <v>47</v>
      </c>
      <c r="U31" s="2"/>
      <c r="V31" s="1" t="s">
        <v>182</v>
      </c>
      <c r="X31" s="1" t="s">
        <v>183</v>
      </c>
      <c r="Z31" s="1" t="s">
        <v>184</v>
      </c>
      <c r="AB31" s="1" t="s">
        <v>47</v>
      </c>
    </row>
    <row r="32" spans="2:21" ht="12.75">
      <c r="B32" s="10"/>
      <c r="C32" s="10"/>
      <c r="U32" s="2"/>
    </row>
    <row r="33" spans="2:28" ht="12.75">
      <c r="B33" s="33" t="s">
        <v>188</v>
      </c>
      <c r="C33" s="10"/>
      <c r="F33" s="1" t="s">
        <v>205</v>
      </c>
      <c r="H33" s="1" t="s">
        <v>205</v>
      </c>
      <c r="J33" s="1" t="s">
        <v>205</v>
      </c>
      <c r="L33" s="1" t="s">
        <v>205</v>
      </c>
      <c r="N33" s="1" t="s">
        <v>206</v>
      </c>
      <c r="P33" s="1" t="s">
        <v>206</v>
      </c>
      <c r="R33" s="1" t="s">
        <v>206</v>
      </c>
      <c r="T33" s="1" t="s">
        <v>206</v>
      </c>
      <c r="U33" s="2"/>
      <c r="V33" s="1" t="s">
        <v>207</v>
      </c>
      <c r="X33" s="1" t="s">
        <v>207</v>
      </c>
      <c r="Z33" s="1" t="s">
        <v>207</v>
      </c>
      <c r="AB33" s="1" t="s">
        <v>207</v>
      </c>
    </row>
    <row r="34" spans="2:28" ht="12.75">
      <c r="B34" s="33" t="s">
        <v>189</v>
      </c>
      <c r="F34" s="1" t="s">
        <v>190</v>
      </c>
      <c r="H34" s="1" t="s">
        <v>190</v>
      </c>
      <c r="J34" s="1" t="s">
        <v>190</v>
      </c>
      <c r="L34" s="1" t="s">
        <v>190</v>
      </c>
      <c r="N34" s="1" t="s">
        <v>13</v>
      </c>
      <c r="P34" s="1" t="s">
        <v>13</v>
      </c>
      <c r="R34" s="1" t="s">
        <v>13</v>
      </c>
      <c r="T34" s="1" t="s">
        <v>13</v>
      </c>
      <c r="V34" s="1" t="s">
        <v>78</v>
      </c>
      <c r="X34" s="1" t="s">
        <v>78</v>
      </c>
      <c r="Z34" s="1" t="s">
        <v>78</v>
      </c>
      <c r="AB34" s="1" t="s">
        <v>78</v>
      </c>
    </row>
    <row r="35" spans="2:28" ht="12.75">
      <c r="B35" s="33" t="s">
        <v>209</v>
      </c>
      <c r="F35" s="1" t="s">
        <v>1</v>
      </c>
      <c r="H35" s="1" t="s">
        <v>1</v>
      </c>
      <c r="J35" s="1" t="s">
        <v>1</v>
      </c>
      <c r="L35" s="1" t="s">
        <v>1</v>
      </c>
      <c r="N35" s="1" t="s">
        <v>13</v>
      </c>
      <c r="P35" s="1" t="s">
        <v>13</v>
      </c>
      <c r="R35" s="1" t="s">
        <v>13</v>
      </c>
      <c r="T35" s="1" t="s">
        <v>13</v>
      </c>
      <c r="V35" s="1" t="s">
        <v>78</v>
      </c>
      <c r="X35" s="1" t="s">
        <v>78</v>
      </c>
      <c r="Z35" s="1" t="s">
        <v>78</v>
      </c>
      <c r="AB35" s="1" t="s">
        <v>78</v>
      </c>
    </row>
    <row r="36" spans="2:28" ht="12.75">
      <c r="B36" s="1" t="s">
        <v>180</v>
      </c>
      <c r="F36" s="1" t="s">
        <v>55</v>
      </c>
      <c r="H36" s="1" t="s">
        <v>55</v>
      </c>
      <c r="J36" s="1" t="s">
        <v>55</v>
      </c>
      <c r="L36" s="1" t="s">
        <v>55</v>
      </c>
      <c r="N36" s="1" t="s">
        <v>13</v>
      </c>
      <c r="P36" s="1" t="s">
        <v>13</v>
      </c>
      <c r="R36" s="1" t="s">
        <v>13</v>
      </c>
      <c r="T36" s="1" t="s">
        <v>13</v>
      </c>
      <c r="V36" s="1" t="s">
        <v>78</v>
      </c>
      <c r="X36" s="1" t="s">
        <v>78</v>
      </c>
      <c r="Z36" s="1" t="s">
        <v>78</v>
      </c>
      <c r="AB36" s="1" t="s">
        <v>78</v>
      </c>
    </row>
    <row r="37" spans="2:12" ht="12.75">
      <c r="B37" s="1" t="s">
        <v>179</v>
      </c>
      <c r="D37" s="1" t="s">
        <v>56</v>
      </c>
      <c r="F37" s="1">
        <v>2.8</v>
      </c>
      <c r="H37" s="1">
        <v>3.1</v>
      </c>
      <c r="J37" s="1">
        <v>2.9</v>
      </c>
      <c r="L37" s="1">
        <v>3</v>
      </c>
    </row>
    <row r="38" spans="2:12" ht="12.75">
      <c r="B38" s="1" t="s">
        <v>57</v>
      </c>
      <c r="D38" s="1" t="s">
        <v>58</v>
      </c>
      <c r="F38" s="1">
        <v>1.57</v>
      </c>
      <c r="H38" s="1">
        <v>1.58</v>
      </c>
      <c r="J38" s="1">
        <v>1.58</v>
      </c>
      <c r="L38" s="1">
        <v>1.5</v>
      </c>
    </row>
    <row r="39" spans="2:19" ht="12.75">
      <c r="B39" s="1" t="s">
        <v>112</v>
      </c>
      <c r="D39" s="1" t="s">
        <v>113</v>
      </c>
      <c r="F39" s="8">
        <f>F37*F38*0.003785*(100^3)</f>
        <v>16638.86</v>
      </c>
      <c r="H39" s="8">
        <f>H37*H38*0.003785*(100^3)</f>
        <v>18538.93</v>
      </c>
      <c r="J39" s="8">
        <f>J37*J38*0.003785*(100^3)</f>
        <v>17342.87</v>
      </c>
      <c r="L39" s="8">
        <f>L37*L38*0.003785*(100^3)</f>
        <v>17032.5</v>
      </c>
      <c r="M39" s="8"/>
      <c r="N39" s="8"/>
      <c r="O39" s="8"/>
      <c r="P39" s="8"/>
      <c r="Q39" s="8"/>
      <c r="R39" s="8"/>
      <c r="S39" s="8"/>
    </row>
    <row r="40" spans="2:12" ht="12.75">
      <c r="B40" s="1" t="s">
        <v>191</v>
      </c>
      <c r="D40" s="1" t="s">
        <v>63</v>
      </c>
      <c r="F40" s="1">
        <v>1400</v>
      </c>
      <c r="H40" s="1">
        <v>1500</v>
      </c>
      <c r="J40" s="1">
        <v>1000</v>
      </c>
      <c r="L40" s="1">
        <v>1400</v>
      </c>
    </row>
    <row r="41" spans="2:12" ht="12.75">
      <c r="B41" s="1" t="s">
        <v>8</v>
      </c>
      <c r="D41" s="1" t="s">
        <v>60</v>
      </c>
      <c r="E41" s="1" t="s">
        <v>52</v>
      </c>
      <c r="F41" s="1">
        <v>0.22</v>
      </c>
      <c r="G41" s="1" t="s">
        <v>52</v>
      </c>
      <c r="H41" s="1">
        <v>0.25</v>
      </c>
      <c r="J41" s="1">
        <v>0.69</v>
      </c>
      <c r="L41" s="1">
        <v>0.3</v>
      </c>
    </row>
    <row r="42" spans="2:20" ht="12.75">
      <c r="B42" s="1" t="s">
        <v>61</v>
      </c>
      <c r="D42" s="1" t="s">
        <v>60</v>
      </c>
      <c r="F42" s="1">
        <v>1935.1</v>
      </c>
      <c r="H42" s="1">
        <v>2229.6</v>
      </c>
      <c r="J42" s="1">
        <v>2062.8</v>
      </c>
      <c r="L42" s="1">
        <v>2100</v>
      </c>
      <c r="N42" s="1">
        <v>63</v>
      </c>
      <c r="P42" s="1">
        <v>63</v>
      </c>
      <c r="R42" s="1">
        <v>63</v>
      </c>
      <c r="T42" s="1">
        <v>63</v>
      </c>
    </row>
    <row r="44" spans="2:20" ht="12.75">
      <c r="B44" s="1" t="s">
        <v>62</v>
      </c>
      <c r="D44" s="1" t="s">
        <v>15</v>
      </c>
      <c r="F44" s="1">
        <f>emiss!$G$55</f>
        <v>2748</v>
      </c>
      <c r="H44" s="1">
        <f>emiss!$I$55</f>
        <v>2830</v>
      </c>
      <c r="J44" s="1">
        <f>emiss!$K$55</f>
        <v>2816</v>
      </c>
      <c r="L44" s="5">
        <f>emiss!$M$55</f>
        <v>2798</v>
      </c>
      <c r="N44" s="1">
        <f>emiss!$G$55</f>
        <v>2748</v>
      </c>
      <c r="P44" s="1">
        <f>emiss!$I$55</f>
        <v>2830</v>
      </c>
      <c r="R44" s="1">
        <f>emiss!$K$55</f>
        <v>2816</v>
      </c>
      <c r="T44" s="5">
        <f>emiss!$M$55</f>
        <v>2798</v>
      </c>
    </row>
    <row r="45" spans="2:20" ht="12.75">
      <c r="B45" s="1" t="s">
        <v>9</v>
      </c>
      <c r="D45" s="1" t="s">
        <v>16</v>
      </c>
      <c r="F45" s="1">
        <f>emiss!$G$56</f>
        <v>9.5</v>
      </c>
      <c r="H45" s="1">
        <f>emiss!$I$56</f>
        <v>9.5</v>
      </c>
      <c r="J45" s="1">
        <f>emiss!$K$56</f>
        <v>9.6</v>
      </c>
      <c r="L45" s="5">
        <f>emiss!$M$56</f>
        <v>9.533333333333333</v>
      </c>
      <c r="M45" s="5"/>
      <c r="N45" s="1">
        <f>emiss!$G$56</f>
        <v>9.5</v>
      </c>
      <c r="P45" s="1">
        <f>emiss!$I$56</f>
        <v>9.5</v>
      </c>
      <c r="R45" s="1">
        <f>emiss!$K$56</f>
        <v>9.6</v>
      </c>
      <c r="T45" s="5">
        <f>emiss!$M$56</f>
        <v>9.533333333333333</v>
      </c>
    </row>
    <row r="47" spans="2:28" ht="12.75">
      <c r="B47" s="1" t="s">
        <v>177</v>
      </c>
      <c r="D47" s="1" t="s">
        <v>114</v>
      </c>
      <c r="F47" s="7">
        <f>F39/454*60*F40/1000000</f>
        <v>3.0785555947136567</v>
      </c>
      <c r="H47" s="7">
        <f>H39/454*60*H40/1000000</f>
        <v>3.675118281938326</v>
      </c>
      <c r="J47" s="7">
        <f>J39/454*60*J40/1000000</f>
        <v>2.2920092511013213</v>
      </c>
      <c r="L47" s="7">
        <f>L39/454*60*L40/1000000</f>
        <v>3.1513876651982375</v>
      </c>
      <c r="M47" s="7"/>
      <c r="N47" s="7"/>
      <c r="O47" s="7"/>
      <c r="P47" s="7"/>
      <c r="Q47" s="7"/>
      <c r="R47" s="7"/>
      <c r="S47" s="7"/>
      <c r="V47" s="7">
        <f>F47</f>
        <v>3.0785555947136567</v>
      </c>
      <c r="X47" s="7">
        <f>H47</f>
        <v>3.675118281938326</v>
      </c>
      <c r="Z47" s="7">
        <f>J47</f>
        <v>2.2920092511013213</v>
      </c>
      <c r="AB47" s="7">
        <f>L47</f>
        <v>3.1513876651982375</v>
      </c>
    </row>
    <row r="48" spans="2:19" ht="12.75">
      <c r="B48" s="1" t="s">
        <v>115</v>
      </c>
      <c r="D48" s="1" t="s">
        <v>114</v>
      </c>
      <c r="F48" s="5">
        <f>F44/9000*(21-F45)/21*60</f>
        <v>10.032380952380953</v>
      </c>
      <c r="H48" s="5">
        <f>H44/9000*(21-H45)/21*60</f>
        <v>10.331746031746032</v>
      </c>
      <c r="J48" s="5">
        <f>J44/9000*(21-J45)/21*60</f>
        <v>10.191238095238095</v>
      </c>
      <c r="L48" s="5">
        <f>L44/9000*(21-L45)/21*60</f>
        <v>10.18531216931217</v>
      </c>
      <c r="M48" s="5"/>
      <c r="N48" s="5"/>
      <c r="O48" s="5"/>
      <c r="P48" s="5"/>
      <c r="Q48" s="5"/>
      <c r="R48" s="5"/>
      <c r="S48" s="5"/>
    </row>
    <row r="49" spans="6:19" ht="12.75">
      <c r="F49" s="5"/>
      <c r="H49" s="5"/>
      <c r="J49" s="5"/>
      <c r="L49" s="5"/>
      <c r="M49" s="5"/>
      <c r="N49" s="5"/>
      <c r="O49" s="5"/>
      <c r="P49" s="5"/>
      <c r="Q49" s="5"/>
      <c r="R49" s="5"/>
      <c r="S49" s="5"/>
    </row>
    <row r="50" spans="2:19" ht="12.75">
      <c r="B50" s="29" t="s">
        <v>136</v>
      </c>
      <c r="C50" s="29"/>
      <c r="F50" s="5"/>
      <c r="H50" s="5"/>
      <c r="J50" s="5"/>
      <c r="L50" s="5"/>
      <c r="M50" s="5"/>
      <c r="N50" s="5"/>
      <c r="O50" s="5"/>
      <c r="P50" s="5"/>
      <c r="Q50" s="5"/>
      <c r="R50" s="5"/>
      <c r="S50" s="5"/>
    </row>
    <row r="51" spans="2:28" ht="12.75">
      <c r="B51" s="1" t="s">
        <v>8</v>
      </c>
      <c r="D51" s="1" t="s">
        <v>14</v>
      </c>
      <c r="E51" s="1">
        <v>100</v>
      </c>
      <c r="F51" s="5">
        <f>F41*454/60/F44/0.0283*1000*(21-7)/(21-F45)</f>
        <v>26.058794119946935</v>
      </c>
      <c r="G51" s="1">
        <v>100</v>
      </c>
      <c r="H51" s="5">
        <f>H41*454/60/H44/0.0283*1000*(21-7)/(21-H45)</f>
        <v>28.754242788955253</v>
      </c>
      <c r="J51" s="5">
        <f>J41*454/60/J44/0.0283*1000*(21-7)/(21-J45)</f>
        <v>80.45588040531781</v>
      </c>
      <c r="K51" s="1">
        <f>SUM(F51,H51)/SUM(J51,H51,F51)*100</f>
        <v>40.52153147760873</v>
      </c>
      <c r="L51" s="5">
        <f>AVERAGE(J51,H51,F51)</f>
        <v>45.08963910474</v>
      </c>
      <c r="M51" s="5"/>
      <c r="N51" s="5"/>
      <c r="O51" s="5"/>
      <c r="P51" s="5"/>
      <c r="Q51" s="5"/>
      <c r="R51" s="5"/>
      <c r="S51" s="5"/>
      <c r="U51" s="1">
        <v>100</v>
      </c>
      <c r="V51" s="5">
        <f>SUM(N51,F51)</f>
        <v>26.058794119946935</v>
      </c>
      <c r="W51" s="1">
        <v>100</v>
      </c>
      <c r="X51" s="5">
        <f>SUM(P51,H51)</f>
        <v>28.754242788955253</v>
      </c>
      <c r="Z51" s="5">
        <f>SUM(R51,J51)</f>
        <v>80.45588040531781</v>
      </c>
      <c r="AA51" s="1">
        <f>SUM(V51,X51)/SUM(Z51,X51,V51)*100</f>
        <v>40.52153147760873</v>
      </c>
      <c r="AB51" s="5">
        <f>AVERAGE(Z51,X51,V51,T51)</f>
        <v>45.08963910474</v>
      </c>
    </row>
    <row r="52" spans="2:28" ht="12.75">
      <c r="B52" s="1" t="s">
        <v>61</v>
      </c>
      <c r="D52" s="1" t="s">
        <v>111</v>
      </c>
      <c r="F52" s="8">
        <f>F42*454/60/F44/0.0283*1000000*(21-7)/(21-F45)</f>
        <v>229210784.09776956</v>
      </c>
      <c r="H52" s="8">
        <f>H42*454/60/H44/0.0283*1000000*(21-7)/(21-H45)</f>
        <v>256441838.88901857</v>
      </c>
      <c r="J52" s="8">
        <f>J42*454/60/J44/0.0283*1000000*(21-7)/(21-J45)</f>
        <v>240528101.59433275</v>
      </c>
      <c r="L52" s="5">
        <f>AVERAGE(J52,H52,F52)</f>
        <v>242060241.52704033</v>
      </c>
      <c r="M52" s="8"/>
      <c r="N52" s="8">
        <f>N42*454/60/N44/0.0283*1000000*(21-7)/(21-N45)</f>
        <v>7462291.043439351</v>
      </c>
      <c r="P52" s="8">
        <f>P42*454/60/P44/0.0283*1000000*(21-7)/(21-P45)</f>
        <v>7246069.182816726</v>
      </c>
      <c r="R52" s="8">
        <f>R42*454/60/R44/0.0283*1000000*(21-7)/(21-R45)</f>
        <v>7345971.689181193</v>
      </c>
      <c r="T52" s="8">
        <f>T42*454/60/T44/0.0283*1000000*(21-7)/(21-T45)</f>
        <v>7350245.655787263</v>
      </c>
      <c r="V52" s="5">
        <f>SUM(N52,F52)</f>
        <v>236673075.14120892</v>
      </c>
      <c r="X52" s="5">
        <f>SUM(P52,H52)</f>
        <v>263687908.07183528</v>
      </c>
      <c r="Z52" s="5">
        <f>SUM(R52,J52)</f>
        <v>247874073.28351393</v>
      </c>
      <c r="AB52" s="5">
        <f>AVERAGE(Z52,X52,V52,T52)</f>
        <v>188896325.53808632</v>
      </c>
    </row>
    <row r="53" spans="12:19" ht="12.75">
      <c r="L53" s="5"/>
      <c r="M53" s="5"/>
      <c r="N53" s="5"/>
      <c r="O53" s="5"/>
      <c r="P53" s="5"/>
      <c r="Q53" s="5"/>
      <c r="R53" s="5"/>
      <c r="S53" s="5"/>
    </row>
    <row r="54" spans="1:21" ht="12.75">
      <c r="A54" s="1" t="s">
        <v>176</v>
      </c>
      <c r="B54" s="10" t="s">
        <v>174</v>
      </c>
      <c r="C54" s="10" t="s">
        <v>175</v>
      </c>
      <c r="F54" s="1" t="s">
        <v>182</v>
      </c>
      <c r="H54" s="1" t="s">
        <v>183</v>
      </c>
      <c r="J54" s="1" t="s">
        <v>184</v>
      </c>
      <c r="L54" s="1" t="s">
        <v>47</v>
      </c>
      <c r="N54" s="1" t="s">
        <v>182</v>
      </c>
      <c r="P54" s="1" t="s">
        <v>183</v>
      </c>
      <c r="R54" s="1" t="s">
        <v>184</v>
      </c>
      <c r="T54" s="1" t="s">
        <v>47</v>
      </c>
      <c r="U54" s="2"/>
    </row>
    <row r="55" spans="2:21" ht="12.75">
      <c r="B55" s="10"/>
      <c r="C55" s="10"/>
      <c r="U55" s="2"/>
    </row>
    <row r="56" spans="2:21" ht="12.75">
      <c r="B56" s="33" t="s">
        <v>188</v>
      </c>
      <c r="C56" s="10"/>
      <c r="F56" s="1" t="s">
        <v>205</v>
      </c>
      <c r="H56" s="1" t="s">
        <v>205</v>
      </c>
      <c r="J56" s="1" t="s">
        <v>205</v>
      </c>
      <c r="L56" s="1" t="s">
        <v>205</v>
      </c>
      <c r="N56" s="1" t="s">
        <v>206</v>
      </c>
      <c r="P56" s="1" t="s">
        <v>206</v>
      </c>
      <c r="R56" s="1" t="s">
        <v>206</v>
      </c>
      <c r="T56" s="1" t="s">
        <v>206</v>
      </c>
      <c r="U56" s="2"/>
    </row>
    <row r="57" spans="2:21" ht="12.75" customHeight="1">
      <c r="B57" s="33" t="s">
        <v>189</v>
      </c>
      <c r="F57" s="1" t="s">
        <v>190</v>
      </c>
      <c r="H57" s="1" t="s">
        <v>190</v>
      </c>
      <c r="J57" s="1" t="s">
        <v>190</v>
      </c>
      <c r="L57" s="1" t="s">
        <v>190</v>
      </c>
      <c r="N57" s="1" t="s">
        <v>78</v>
      </c>
      <c r="P57" s="1" t="s">
        <v>78</v>
      </c>
      <c r="R57" s="1" t="s">
        <v>78</v>
      </c>
      <c r="T57" s="1" t="s">
        <v>78</v>
      </c>
      <c r="U57" s="2"/>
    </row>
    <row r="58" spans="2:20" ht="12.75">
      <c r="B58" s="33" t="s">
        <v>209</v>
      </c>
      <c r="F58" s="1" t="s">
        <v>1</v>
      </c>
      <c r="H58" s="1" t="s">
        <v>1</v>
      </c>
      <c r="J58" s="1" t="s">
        <v>1</v>
      </c>
      <c r="L58" s="1" t="s">
        <v>1</v>
      </c>
      <c r="N58" s="1" t="s">
        <v>78</v>
      </c>
      <c r="P58" s="1" t="s">
        <v>78</v>
      </c>
      <c r="R58" s="1" t="s">
        <v>78</v>
      </c>
      <c r="T58" s="1" t="s">
        <v>78</v>
      </c>
    </row>
    <row r="59" spans="2:20" ht="12.75">
      <c r="B59" s="1" t="s">
        <v>180</v>
      </c>
      <c r="F59" s="1" t="s">
        <v>64</v>
      </c>
      <c r="H59" s="1" t="s">
        <v>64</v>
      </c>
      <c r="J59" s="1" t="s">
        <v>64</v>
      </c>
      <c r="L59" s="1" t="s">
        <v>64</v>
      </c>
      <c r="N59" s="1" t="s">
        <v>78</v>
      </c>
      <c r="P59" s="1" t="s">
        <v>78</v>
      </c>
      <c r="R59" s="1" t="s">
        <v>78</v>
      </c>
      <c r="T59" s="1" t="s">
        <v>78</v>
      </c>
    </row>
    <row r="60" spans="2:12" ht="12.75">
      <c r="B60" s="1" t="s">
        <v>179</v>
      </c>
      <c r="D60" s="1" t="s">
        <v>56</v>
      </c>
      <c r="F60" s="1">
        <v>0.6</v>
      </c>
      <c r="H60" s="1">
        <v>0.7</v>
      </c>
      <c r="J60" s="1">
        <v>0.6</v>
      </c>
      <c r="L60" s="1">
        <v>0.6</v>
      </c>
    </row>
    <row r="61" spans="2:12" ht="12.75">
      <c r="B61" s="1" t="s">
        <v>57</v>
      </c>
      <c r="D61" s="1" t="s">
        <v>58</v>
      </c>
      <c r="F61" s="1">
        <v>1.51</v>
      </c>
      <c r="H61" s="1">
        <v>1.49</v>
      </c>
      <c r="J61" s="1">
        <v>1.48</v>
      </c>
      <c r="L61" s="1">
        <v>1.5</v>
      </c>
    </row>
    <row r="62" spans="2:19" ht="12.75">
      <c r="B62" s="1" t="s">
        <v>112</v>
      </c>
      <c r="D62" s="1" t="s">
        <v>113</v>
      </c>
      <c r="F62" s="8">
        <f>F60*F61*0.003785*(100^3)</f>
        <v>3429.21</v>
      </c>
      <c r="H62" s="8">
        <f>H60*H61*0.003785*(100^3)</f>
        <v>3947.7549999999997</v>
      </c>
      <c r="J62" s="8">
        <f>J60*J61*0.003785*(100^3)</f>
        <v>3361.0800000000004</v>
      </c>
      <c r="L62" s="8">
        <f>L60*L61*0.003785*(100^3)</f>
        <v>3406.5</v>
      </c>
      <c r="M62" s="8"/>
      <c r="N62" s="8"/>
      <c r="O62" s="8"/>
      <c r="P62" s="8"/>
      <c r="Q62" s="8"/>
      <c r="R62" s="8"/>
      <c r="S62" s="8"/>
    </row>
    <row r="63" spans="2:12" ht="12.75">
      <c r="B63" s="1" t="s">
        <v>191</v>
      </c>
      <c r="D63" s="1" t="s">
        <v>63</v>
      </c>
      <c r="F63" s="1">
        <v>2300</v>
      </c>
      <c r="H63" s="1">
        <v>2400</v>
      </c>
      <c r="J63" s="1">
        <v>2300</v>
      </c>
      <c r="L63" s="1">
        <v>2300</v>
      </c>
    </row>
    <row r="64" spans="2:12" ht="12.75">
      <c r="B64" s="1" t="s">
        <v>8</v>
      </c>
      <c r="D64" s="1" t="s">
        <v>60</v>
      </c>
      <c r="F64" s="1">
        <v>0.68</v>
      </c>
      <c r="H64" s="1">
        <v>0.783</v>
      </c>
      <c r="J64" s="1">
        <v>0.533</v>
      </c>
      <c r="L64" s="1">
        <v>0.6</v>
      </c>
    </row>
    <row r="65" spans="2:12" ht="12.75">
      <c r="B65" s="1" t="s">
        <v>61</v>
      </c>
      <c r="D65" s="1" t="s">
        <v>60</v>
      </c>
      <c r="F65" s="1">
        <v>380.7</v>
      </c>
      <c r="H65" s="1">
        <v>438.2</v>
      </c>
      <c r="J65" s="1">
        <v>355.4</v>
      </c>
      <c r="L65" s="1">
        <v>400</v>
      </c>
    </row>
    <row r="66" spans="2:12" ht="12.75">
      <c r="B66" s="1" t="s">
        <v>178</v>
      </c>
      <c r="D66" s="1" t="s">
        <v>65</v>
      </c>
      <c r="F66" s="1">
        <v>0.002</v>
      </c>
      <c r="G66" s="1" t="s">
        <v>52</v>
      </c>
      <c r="H66" s="1">
        <v>0.026</v>
      </c>
      <c r="I66" s="1" t="s">
        <v>52</v>
      </c>
      <c r="J66" s="1">
        <v>0.026</v>
      </c>
      <c r="L66" s="1">
        <v>0.02</v>
      </c>
    </row>
    <row r="67" spans="2:12" ht="12.75">
      <c r="B67" s="1" t="s">
        <v>167</v>
      </c>
      <c r="D67" s="1" t="s">
        <v>65</v>
      </c>
      <c r="F67" s="1">
        <v>1.24</v>
      </c>
      <c r="H67" s="1">
        <v>0.698</v>
      </c>
      <c r="J67" s="1">
        <v>0.448</v>
      </c>
      <c r="L67" s="1">
        <v>0.8</v>
      </c>
    </row>
    <row r="68" spans="2:12" ht="12.75">
      <c r="B68" s="1" t="s">
        <v>169</v>
      </c>
      <c r="D68" s="1" t="s">
        <v>65</v>
      </c>
      <c r="E68" s="1" t="s">
        <v>52</v>
      </c>
      <c r="F68" s="1">
        <v>0.0342</v>
      </c>
      <c r="G68" s="1" t="s">
        <v>52</v>
      </c>
      <c r="H68" s="1">
        <v>0.0342</v>
      </c>
      <c r="I68" s="1" t="s">
        <v>52</v>
      </c>
      <c r="J68" s="1">
        <v>0.0342</v>
      </c>
      <c r="L68" s="1">
        <v>0.034</v>
      </c>
    </row>
    <row r="69" spans="2:12" ht="12.75">
      <c r="B69" s="1" t="s">
        <v>164</v>
      </c>
      <c r="D69" s="1" t="s">
        <v>65</v>
      </c>
      <c r="F69" s="1">
        <v>2.18</v>
      </c>
      <c r="H69" s="1">
        <v>2.08</v>
      </c>
      <c r="J69" s="1">
        <v>1.93</v>
      </c>
      <c r="L69" s="1">
        <v>2</v>
      </c>
    </row>
    <row r="70" spans="2:12" ht="12.75">
      <c r="B70" s="1" t="s">
        <v>165</v>
      </c>
      <c r="D70" s="1" t="s">
        <v>65</v>
      </c>
      <c r="F70" s="1">
        <v>0.004</v>
      </c>
      <c r="G70" s="1" t="s">
        <v>52</v>
      </c>
      <c r="H70" s="1">
        <v>0.0388</v>
      </c>
      <c r="I70" s="1" t="s">
        <v>52</v>
      </c>
      <c r="J70" s="1">
        <v>0.0388</v>
      </c>
      <c r="L70" s="1">
        <v>0.04</v>
      </c>
    </row>
    <row r="71" spans="2:12" ht="12.75">
      <c r="B71" s="1" t="s">
        <v>170</v>
      </c>
      <c r="D71" s="1" t="s">
        <v>65</v>
      </c>
      <c r="F71" s="1">
        <v>5.73</v>
      </c>
      <c r="H71" s="1">
        <v>7.41</v>
      </c>
      <c r="J71" s="1">
        <v>4.32</v>
      </c>
      <c r="L71" s="1">
        <v>6</v>
      </c>
    </row>
    <row r="72" spans="2:12" ht="12.75">
      <c r="B72" s="1" t="s">
        <v>168</v>
      </c>
      <c r="D72" s="1" t="s">
        <v>65</v>
      </c>
      <c r="F72" s="1">
        <v>8.16</v>
      </c>
      <c r="H72" s="1">
        <v>13.4</v>
      </c>
      <c r="J72" s="1">
        <v>7.35</v>
      </c>
      <c r="L72" s="1">
        <v>9</v>
      </c>
    </row>
    <row r="73" spans="2:12" ht="12.75">
      <c r="B73" s="1" t="s">
        <v>166</v>
      </c>
      <c r="D73" s="1" t="s">
        <v>65</v>
      </c>
      <c r="E73" s="1" t="s">
        <v>52</v>
      </c>
      <c r="F73" s="1">
        <v>0.828</v>
      </c>
      <c r="G73" s="1" t="s">
        <v>52</v>
      </c>
      <c r="H73" s="1">
        <v>0.828</v>
      </c>
      <c r="I73" s="1" t="s">
        <v>52</v>
      </c>
      <c r="J73" s="1">
        <v>0.828</v>
      </c>
      <c r="L73" s="1">
        <v>0.83</v>
      </c>
    </row>
    <row r="74" spans="2:12" ht="12.75">
      <c r="B74" s="1" t="s">
        <v>208</v>
      </c>
      <c r="D74" s="1" t="s">
        <v>65</v>
      </c>
      <c r="F74" s="1">
        <v>5.09</v>
      </c>
      <c r="H74" s="1">
        <v>4.31</v>
      </c>
      <c r="J74" s="1">
        <v>4.32</v>
      </c>
      <c r="L74" s="1">
        <v>4.5</v>
      </c>
    </row>
    <row r="75" ht="12.75" customHeight="1"/>
    <row r="76" spans="2:12" ht="12.75">
      <c r="B76" s="1" t="s">
        <v>62</v>
      </c>
      <c r="D76" s="1" t="s">
        <v>15</v>
      </c>
      <c r="F76" s="1">
        <f>emiss!G74</f>
        <v>2657</v>
      </c>
      <c r="H76" s="1">
        <f>emiss!I74</f>
        <v>2615</v>
      </c>
      <c r="J76" s="1">
        <f>emiss!K74</f>
        <v>2636</v>
      </c>
      <c r="L76" s="5">
        <f>emiss!M74</f>
        <v>2636</v>
      </c>
    </row>
    <row r="77" spans="2:19" ht="12.75">
      <c r="B77" s="1" t="s">
        <v>9</v>
      </c>
      <c r="D77" s="1" t="s">
        <v>16</v>
      </c>
      <c r="F77" s="1">
        <f>emiss!G75</f>
        <v>8.6</v>
      </c>
      <c r="H77" s="1">
        <f>emiss!I75</f>
        <v>9</v>
      </c>
      <c r="J77" s="1">
        <f>emiss!K75</f>
        <v>9</v>
      </c>
      <c r="L77" s="5">
        <f>emiss!M75</f>
        <v>8.866666666666667</v>
      </c>
      <c r="M77" s="5"/>
      <c r="N77" s="5"/>
      <c r="O77" s="5"/>
      <c r="P77" s="5"/>
      <c r="Q77" s="5"/>
      <c r="R77" s="5"/>
      <c r="S77" s="5"/>
    </row>
    <row r="79" spans="2:20" ht="12.75">
      <c r="B79" s="1" t="s">
        <v>177</v>
      </c>
      <c r="D79" s="1" t="s">
        <v>114</v>
      </c>
      <c r="F79" s="5">
        <f>F62/454*60*F63/1000000</f>
        <v>1.042358986784141</v>
      </c>
      <c r="H79" s="5">
        <f>H62/454*60*H63/1000000</f>
        <v>1.2521513656387662</v>
      </c>
      <c r="J79" s="5">
        <f>J62/454*60*J63/1000000</f>
        <v>1.0216498678414097</v>
      </c>
      <c r="L79" s="5">
        <f>L62/454*60*L63/1000000</f>
        <v>1.0354559471365639</v>
      </c>
      <c r="M79" s="5"/>
      <c r="N79" s="5">
        <f>F79</f>
        <v>1.042358986784141</v>
      </c>
      <c r="O79" s="5"/>
      <c r="P79" s="5">
        <f>H79</f>
        <v>1.2521513656387662</v>
      </c>
      <c r="Q79" s="5"/>
      <c r="R79" s="5">
        <f>J79</f>
        <v>1.0216498678414097</v>
      </c>
      <c r="S79" s="5"/>
      <c r="T79" s="5">
        <f>L79</f>
        <v>1.0354559471365639</v>
      </c>
    </row>
    <row r="80" spans="2:19" ht="12.75">
      <c r="B80" s="1" t="s">
        <v>115</v>
      </c>
      <c r="D80" s="1" t="s">
        <v>114</v>
      </c>
      <c r="F80" s="5">
        <f>F76/9000*(21-F77)/21*60</f>
        <v>10.459301587301587</v>
      </c>
      <c r="H80" s="5">
        <f>H76/9000*(21-H77)/21*60</f>
        <v>9.961904761904762</v>
      </c>
      <c r="J80" s="5">
        <f>J76/9000*(21-J77)/21*60</f>
        <v>10.041904761904762</v>
      </c>
      <c r="L80" s="5">
        <f>L76/9000*(21-L77)/21*60</f>
        <v>10.15348148148148</v>
      </c>
      <c r="M80" s="5"/>
      <c r="N80" s="5"/>
      <c r="O80" s="5"/>
      <c r="P80" s="5"/>
      <c r="Q80" s="5"/>
      <c r="R80" s="5"/>
      <c r="S80" s="5"/>
    </row>
    <row r="81" spans="6:19" ht="12.75">
      <c r="F81" s="5"/>
      <c r="H81" s="5"/>
      <c r="J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29" t="s">
        <v>136</v>
      </c>
      <c r="C82" s="29"/>
      <c r="F82" s="5"/>
      <c r="H82" s="5"/>
      <c r="J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s="29"/>
      <c r="C83" s="29"/>
      <c r="F83" s="5"/>
      <c r="H83" s="5"/>
      <c r="J83" s="5"/>
      <c r="L83" s="5"/>
      <c r="M83" s="5"/>
      <c r="N83" s="5"/>
      <c r="O83" s="5"/>
      <c r="P83" s="5"/>
      <c r="Q83" s="5"/>
      <c r="R83" s="5"/>
      <c r="S83" s="5"/>
    </row>
    <row r="84" spans="2:20" ht="12.75">
      <c r="B84" s="1" t="s">
        <v>8</v>
      </c>
      <c r="D84" s="1" t="s">
        <v>14</v>
      </c>
      <c r="F84" s="5">
        <f>F64*454/60/F76/0.0283*1000*(21-7)/(21-F77)</f>
        <v>77.2577179532159</v>
      </c>
      <c r="H84" s="5">
        <f>H64*454/60/H76/0.0283*1000*(21-7)/(21-H77)</f>
        <v>93.4017525961259</v>
      </c>
      <c r="J84" s="5">
        <f>J64*454/60/J76/0.0283*1000*(21-7)/(21-J77)</f>
        <v>63.07347511696643</v>
      </c>
      <c r="L84" s="5">
        <f>AVERAGE(J84,H84,F84)</f>
        <v>77.91098188876941</v>
      </c>
      <c r="M84" s="5"/>
      <c r="N84" s="5">
        <f>F84</f>
        <v>77.2577179532159</v>
      </c>
      <c r="O84" s="5"/>
      <c r="P84" s="5">
        <f>H84</f>
        <v>93.4017525961259</v>
      </c>
      <c r="Q84" s="5"/>
      <c r="R84" s="5">
        <f>J84</f>
        <v>63.07347511696643</v>
      </c>
      <c r="S84" s="5"/>
      <c r="T84" s="5">
        <f>L84</f>
        <v>77.91098188876941</v>
      </c>
    </row>
    <row r="85" spans="2:20" ht="12.75">
      <c r="B85" s="1" t="s">
        <v>61</v>
      </c>
      <c r="D85" s="1" t="s">
        <v>111</v>
      </c>
      <c r="F85" s="8">
        <f>F65*454/60/F76/0.0283*1000000*(21-7)/(21-F77)</f>
        <v>43252960.62469012</v>
      </c>
      <c r="H85" s="8">
        <f>H65*454/60/H76/0.0283*1000000*(21-7)/(21-H77)</f>
        <v>52271581.08253177</v>
      </c>
      <c r="J85" s="8">
        <f>J65*454/60/J76/0.0283*1000000*(21-7)/(21-J77)</f>
        <v>42056872.526397504</v>
      </c>
      <c r="L85" s="5">
        <f aca="true" t="shared" si="1" ref="L85:L94">AVERAGE(J85,H85,F85)</f>
        <v>45860471.41120646</v>
      </c>
      <c r="M85" s="8"/>
      <c r="N85" s="5">
        <f aca="true" t="shared" si="2" ref="N85:T86">F85</f>
        <v>43252960.62469012</v>
      </c>
      <c r="O85" s="8"/>
      <c r="P85" s="5">
        <f t="shared" si="2"/>
        <v>52271581.08253177</v>
      </c>
      <c r="Q85" s="8"/>
      <c r="R85" s="5">
        <f t="shared" si="2"/>
        <v>42056872.526397504</v>
      </c>
      <c r="S85" s="8"/>
      <c r="T85" s="5">
        <f t="shared" si="2"/>
        <v>45860471.41120646</v>
      </c>
    </row>
    <row r="86" spans="2:20" ht="12.75">
      <c r="B86" s="1" t="s">
        <v>178</v>
      </c>
      <c r="D86" s="1" t="s">
        <v>12</v>
      </c>
      <c r="F86" s="5">
        <f>F66/1000000/0.0283*F$62/F$76*1000000*(21-7)/(21-F$77)</f>
        <v>0.10297989335929546</v>
      </c>
      <c r="G86" s="1">
        <v>100</v>
      </c>
      <c r="H86" s="5">
        <f>H66/1000000/0.0283*H$62/H$76*1000000*(21-7)/(21-H$77)</f>
        <v>1.6181254968729377</v>
      </c>
      <c r="I86" s="1">
        <v>100</v>
      </c>
      <c r="J86" s="5">
        <f aca="true" t="shared" si="3" ref="J86:J94">J66/1000000/0.0283*J$62/J$76*1000000*(21-7)/(21-J$77)</f>
        <v>1.3666809653774592</v>
      </c>
      <c r="K86" s="1">
        <f>SUM(H86,J86)/SUM(F86,H86,J86)*100</f>
        <v>96.66492815566052</v>
      </c>
      <c r="L86" s="5">
        <f t="shared" si="1"/>
        <v>1.029262118536564</v>
      </c>
      <c r="M86" s="5"/>
      <c r="N86" s="5">
        <f t="shared" si="2"/>
        <v>0.10297989335929546</v>
      </c>
      <c r="O86" s="1">
        <v>100</v>
      </c>
      <c r="P86" s="5">
        <f t="shared" si="2"/>
        <v>1.6181254968729377</v>
      </c>
      <c r="Q86" s="1">
        <v>100</v>
      </c>
      <c r="R86" s="5">
        <f t="shared" si="2"/>
        <v>1.3666809653774592</v>
      </c>
      <c r="S86" s="1">
        <f>SUM(P86,R86)/SUM(N86,P86,R86)*100</f>
        <v>96.66492815566052</v>
      </c>
      <c r="T86" s="5">
        <f t="shared" si="2"/>
        <v>1.029262118536564</v>
      </c>
    </row>
    <row r="87" spans="2:20" ht="12.75">
      <c r="B87" s="1" t="s">
        <v>167</v>
      </c>
      <c r="D87" s="1" t="s">
        <v>12</v>
      </c>
      <c r="F87" s="5">
        <f aca="true" t="shared" si="4" ref="F87:H94">F67/1000000/0.0283*F$62/F$76*1000000*(21-7)/(21-F$77)</f>
        <v>63.84753388276317</v>
      </c>
      <c r="H87" s="5">
        <f t="shared" si="4"/>
        <v>43.440446031435016</v>
      </c>
      <c r="J87" s="5">
        <f t="shared" si="3"/>
        <v>23.548964326503917</v>
      </c>
      <c r="L87" s="5">
        <f t="shared" si="1"/>
        <v>43.6123147469007</v>
      </c>
      <c r="M87" s="5"/>
      <c r="N87" s="5">
        <f aca="true" t="shared" si="5" ref="N87:N94">F87</f>
        <v>63.84753388276317</v>
      </c>
      <c r="P87" s="5">
        <f aca="true" t="shared" si="6" ref="P87:P94">H87</f>
        <v>43.440446031435016</v>
      </c>
      <c r="R87" s="5">
        <f aca="true" t="shared" si="7" ref="R87:R94">J87</f>
        <v>23.548964326503917</v>
      </c>
      <c r="T87" s="5">
        <f aca="true" t="shared" si="8" ref="T87:T94">L87</f>
        <v>43.6123147469007</v>
      </c>
    </row>
    <row r="88" spans="2:20" ht="12.75">
      <c r="B88" s="1" t="s">
        <v>169</v>
      </c>
      <c r="D88" s="1" t="s">
        <v>12</v>
      </c>
      <c r="E88" s="1">
        <v>100</v>
      </c>
      <c r="F88" s="5">
        <f t="shared" si="4"/>
        <v>1.7609561764439523</v>
      </c>
      <c r="G88" s="1">
        <v>100</v>
      </c>
      <c r="H88" s="5">
        <f t="shared" si="4"/>
        <v>2.128457384348249</v>
      </c>
      <c r="I88" s="1">
        <v>100</v>
      </c>
      <c r="J88" s="5">
        <f t="shared" si="3"/>
        <v>1.7977111159965045</v>
      </c>
      <c r="K88" s="1">
        <v>100</v>
      </c>
      <c r="L88" s="5">
        <f t="shared" si="1"/>
        <v>1.8957082255962352</v>
      </c>
      <c r="M88" s="1">
        <v>100</v>
      </c>
      <c r="N88" s="5">
        <f t="shared" si="5"/>
        <v>1.7609561764439523</v>
      </c>
      <c r="O88" s="1">
        <v>100</v>
      </c>
      <c r="P88" s="5">
        <f t="shared" si="6"/>
        <v>2.128457384348249</v>
      </c>
      <c r="Q88" s="1">
        <v>100</v>
      </c>
      <c r="R88" s="5">
        <f t="shared" si="7"/>
        <v>1.7977111159965045</v>
      </c>
      <c r="S88" s="1">
        <v>100</v>
      </c>
      <c r="T88" s="5">
        <f t="shared" si="8"/>
        <v>1.8957082255962352</v>
      </c>
    </row>
    <row r="89" spans="2:20" ht="12.75">
      <c r="B89" s="1" t="s">
        <v>164</v>
      </c>
      <c r="D89" s="1" t="s">
        <v>12</v>
      </c>
      <c r="F89" s="5">
        <f t="shared" si="4"/>
        <v>112.24808376163207</v>
      </c>
      <c r="H89" s="5">
        <f t="shared" si="4"/>
        <v>129.45003974983504</v>
      </c>
      <c r="J89" s="5">
        <f t="shared" si="3"/>
        <v>101.44977935301908</v>
      </c>
      <c r="L89" s="5">
        <f t="shared" si="1"/>
        <v>114.38263428816207</v>
      </c>
      <c r="N89" s="5">
        <f t="shared" si="5"/>
        <v>112.24808376163207</v>
      </c>
      <c r="P89" s="5">
        <f t="shared" si="6"/>
        <v>129.45003974983504</v>
      </c>
      <c r="R89" s="5">
        <f t="shared" si="7"/>
        <v>101.44977935301908</v>
      </c>
      <c r="T89" s="5">
        <f t="shared" si="8"/>
        <v>114.38263428816207</v>
      </c>
    </row>
    <row r="90" spans="2:20" ht="12.75">
      <c r="B90" s="1" t="s">
        <v>165</v>
      </c>
      <c r="D90" s="1" t="s">
        <v>12</v>
      </c>
      <c r="F90" s="5">
        <f t="shared" si="4"/>
        <v>0.20595978671859091</v>
      </c>
      <c r="G90" s="1">
        <v>100</v>
      </c>
      <c r="H90" s="5">
        <f t="shared" si="4"/>
        <v>2.4147411261026925</v>
      </c>
      <c r="I90" s="1">
        <v>100</v>
      </c>
      <c r="J90" s="5">
        <f t="shared" si="3"/>
        <v>2.0395085175632857</v>
      </c>
      <c r="K90" s="1">
        <f>SUM(H90,J90)/SUM(F90,H90,J90)*100</f>
        <v>95.58046071114889</v>
      </c>
      <c r="L90" s="5">
        <f t="shared" si="1"/>
        <v>1.553403143461523</v>
      </c>
      <c r="N90" s="5">
        <f t="shared" si="5"/>
        <v>0.20595978671859091</v>
      </c>
      <c r="O90" s="1">
        <v>100</v>
      </c>
      <c r="P90" s="5">
        <f t="shared" si="6"/>
        <v>2.4147411261026925</v>
      </c>
      <c r="Q90" s="1">
        <v>100</v>
      </c>
      <c r="R90" s="5">
        <f t="shared" si="7"/>
        <v>2.0395085175632857</v>
      </c>
      <c r="S90" s="1">
        <f>SUM(P90,R90)/SUM(N90,P90,R90)*100</f>
        <v>95.58046071114889</v>
      </c>
      <c r="T90" s="5">
        <f t="shared" si="8"/>
        <v>1.553403143461523</v>
      </c>
    </row>
    <row r="91" spans="2:20" ht="12.75">
      <c r="B91" s="1" t="s">
        <v>170</v>
      </c>
      <c r="D91" s="1" t="s">
        <v>12</v>
      </c>
      <c r="F91" s="5">
        <f t="shared" si="4"/>
        <v>295.0373944743815</v>
      </c>
      <c r="H91" s="5">
        <f t="shared" si="4"/>
        <v>461.16576660878724</v>
      </c>
      <c r="J91" s="5">
        <f t="shared" si="3"/>
        <v>227.0792988627164</v>
      </c>
      <c r="L91" s="5">
        <f t="shared" si="1"/>
        <v>327.7608199819617</v>
      </c>
      <c r="N91" s="5">
        <f t="shared" si="5"/>
        <v>295.0373944743815</v>
      </c>
      <c r="P91" s="5">
        <f t="shared" si="6"/>
        <v>461.16576660878724</v>
      </c>
      <c r="R91" s="5">
        <f t="shared" si="7"/>
        <v>227.0792988627164</v>
      </c>
      <c r="T91" s="5">
        <f t="shared" si="8"/>
        <v>327.7608199819617</v>
      </c>
    </row>
    <row r="92" spans="2:20" ht="12.75">
      <c r="B92" s="1" t="s">
        <v>168</v>
      </c>
      <c r="D92" s="1" t="s">
        <v>12</v>
      </c>
      <c r="F92" s="5">
        <f t="shared" si="4"/>
        <v>420.15796490592544</v>
      </c>
      <c r="H92" s="5">
        <f t="shared" si="4"/>
        <v>833.9569868498987</v>
      </c>
      <c r="J92" s="5">
        <f t="shared" si="3"/>
        <v>386.35019598170487</v>
      </c>
      <c r="L92" s="5">
        <f t="shared" si="1"/>
        <v>546.8217159125096</v>
      </c>
      <c r="N92" s="5">
        <f t="shared" si="5"/>
        <v>420.15796490592544</v>
      </c>
      <c r="P92" s="5">
        <f t="shared" si="6"/>
        <v>833.9569868498987</v>
      </c>
      <c r="R92" s="5">
        <f t="shared" si="7"/>
        <v>386.35019598170487</v>
      </c>
      <c r="T92" s="5">
        <f t="shared" si="8"/>
        <v>546.8217159125096</v>
      </c>
    </row>
    <row r="93" spans="2:20" ht="12.75">
      <c r="B93" s="1" t="s">
        <v>166</v>
      </c>
      <c r="D93" s="1" t="s">
        <v>12</v>
      </c>
      <c r="E93" s="1">
        <v>100</v>
      </c>
      <c r="F93" s="5">
        <f t="shared" si="4"/>
        <v>42.63367585074832</v>
      </c>
      <c r="G93" s="1">
        <v>100</v>
      </c>
      <c r="H93" s="5">
        <f t="shared" si="4"/>
        <v>51.531073515799704</v>
      </c>
      <c r="I93" s="1">
        <v>100</v>
      </c>
      <c r="J93" s="5">
        <f t="shared" si="3"/>
        <v>43.52353228202062</v>
      </c>
      <c r="K93" s="1">
        <v>100</v>
      </c>
      <c r="L93" s="5">
        <f t="shared" si="1"/>
        <v>45.89609388285621</v>
      </c>
      <c r="M93" s="1">
        <v>100</v>
      </c>
      <c r="N93" s="5">
        <f t="shared" si="5"/>
        <v>42.63367585074832</v>
      </c>
      <c r="O93" s="1">
        <v>100</v>
      </c>
      <c r="P93" s="5">
        <f t="shared" si="6"/>
        <v>51.531073515799704</v>
      </c>
      <c r="Q93" s="1">
        <v>100</v>
      </c>
      <c r="R93" s="5">
        <f t="shared" si="7"/>
        <v>43.52353228202062</v>
      </c>
      <c r="S93" s="1">
        <v>100</v>
      </c>
      <c r="T93" s="5">
        <f t="shared" si="8"/>
        <v>45.89609388285621</v>
      </c>
    </row>
    <row r="94" spans="2:20" ht="12.75">
      <c r="B94" s="1" t="s">
        <v>208</v>
      </c>
      <c r="D94" s="1" t="s">
        <v>12</v>
      </c>
      <c r="F94" s="5">
        <f t="shared" si="4"/>
        <v>262.0838285994069</v>
      </c>
      <c r="H94" s="5">
        <f t="shared" si="4"/>
        <v>268.2354189047062</v>
      </c>
      <c r="J94" s="5">
        <f t="shared" si="3"/>
        <v>227.0792988627164</v>
      </c>
      <c r="L94" s="5">
        <f t="shared" si="1"/>
        <v>252.46618212227654</v>
      </c>
      <c r="N94" s="5">
        <f t="shared" si="5"/>
        <v>262.0838285994069</v>
      </c>
      <c r="P94" s="5">
        <f t="shared" si="6"/>
        <v>268.2354189047062</v>
      </c>
      <c r="R94" s="5">
        <f t="shared" si="7"/>
        <v>227.0792988627164</v>
      </c>
      <c r="T94" s="5">
        <f t="shared" si="8"/>
        <v>252.46618212227654</v>
      </c>
    </row>
    <row r="96" spans="2:20" ht="12.75">
      <c r="B96" s="1" t="s">
        <v>5</v>
      </c>
      <c r="D96" s="1" t="s">
        <v>12</v>
      </c>
      <c r="E96" s="1">
        <f>F88/F96*100</f>
        <v>2.684037042850416</v>
      </c>
      <c r="F96" s="5">
        <f>F88+F87</f>
        <v>65.60849005920713</v>
      </c>
      <c r="G96" s="1">
        <f>H88/H96*100</f>
        <v>4.670854957661841</v>
      </c>
      <c r="H96" s="5">
        <f>H88+H87</f>
        <v>45.56890341578327</v>
      </c>
      <c r="I96" s="1">
        <f>J88/J96*100</f>
        <v>7.092492741600996</v>
      </c>
      <c r="J96" s="5">
        <f>J88+J87</f>
        <v>25.34667544250042</v>
      </c>
      <c r="K96" s="1">
        <f>L88/L96*100</f>
        <v>4.165657178168162</v>
      </c>
      <c r="L96" s="5">
        <f>AVERAGE(J96,H96,F96)</f>
        <v>45.50802297249694</v>
      </c>
      <c r="M96" s="1">
        <f>N88/N96*100</f>
        <v>2.684037042850416</v>
      </c>
      <c r="N96" s="5">
        <f aca="true" t="shared" si="9" ref="N96:T97">F96</f>
        <v>65.60849005920713</v>
      </c>
      <c r="O96" s="1">
        <f>P88/P96*100</f>
        <v>4.670854957661841</v>
      </c>
      <c r="P96" s="5">
        <f t="shared" si="9"/>
        <v>45.56890341578327</v>
      </c>
      <c r="Q96" s="1">
        <f>R88/R96*100</f>
        <v>7.092492741600996</v>
      </c>
      <c r="R96" s="5">
        <f t="shared" si="9"/>
        <v>25.34667544250042</v>
      </c>
      <c r="S96" s="1">
        <f>T88/T96*100</f>
        <v>4.165657178168162</v>
      </c>
      <c r="T96" s="5">
        <f t="shared" si="9"/>
        <v>45.50802297249694</v>
      </c>
    </row>
    <row r="97" spans="2:20" ht="12.75">
      <c r="B97" s="1" t="s">
        <v>6</v>
      </c>
      <c r="D97" s="1" t="s">
        <v>12</v>
      </c>
      <c r="F97" s="5">
        <f>F89+F90+F91</f>
        <v>407.49143802273215</v>
      </c>
      <c r="G97" s="1">
        <f>H90/H97*100</f>
        <v>0.408017330220624</v>
      </c>
      <c r="H97" s="5">
        <f>H89+H90/2+H91</f>
        <v>591.8231769216736</v>
      </c>
      <c r="I97" s="1">
        <f>J90/J97*100</f>
        <v>0.616969851163974</v>
      </c>
      <c r="J97" s="5">
        <f>J89+J90+J91</f>
        <v>330.5685867332988</v>
      </c>
      <c r="L97" s="5">
        <f>AVERAGE(J97,H97,F97)</f>
        <v>443.2944005592349</v>
      </c>
      <c r="M97" s="5"/>
      <c r="N97" s="5">
        <f t="shared" si="9"/>
        <v>407.49143802273215</v>
      </c>
      <c r="O97" s="5"/>
      <c r="P97" s="5">
        <f t="shared" si="9"/>
        <v>591.8231769216736</v>
      </c>
      <c r="Q97" s="5"/>
      <c r="R97" s="5">
        <f t="shared" si="9"/>
        <v>330.5685867332988</v>
      </c>
      <c r="S97" s="5"/>
      <c r="T97" s="5">
        <f t="shared" si="9"/>
        <v>443.2944005592349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13" sqref="C13"/>
    </sheetView>
  </sheetViews>
  <sheetFormatPr defaultColWidth="9.140625" defaultRowHeight="12.75"/>
  <cols>
    <col min="1" max="1" width="21.8515625" style="1" customWidth="1"/>
    <col min="2" max="2" width="7.00390625" style="1" customWidth="1"/>
    <col min="3" max="3" width="8.140625" style="1" customWidth="1"/>
    <col min="4" max="4" width="7.421875" style="1" customWidth="1"/>
    <col min="5" max="5" width="7.8515625" style="1" customWidth="1"/>
    <col min="6" max="6" width="9.140625" style="1" customWidth="1"/>
    <col min="7" max="16384" width="11.421875" style="1" customWidth="1"/>
  </cols>
  <sheetData>
    <row r="1" ht="12.75">
      <c r="A1" s="10" t="s">
        <v>66</v>
      </c>
    </row>
    <row r="3" spans="2:6" ht="12.75">
      <c r="B3" s="1" t="s">
        <v>45</v>
      </c>
      <c r="C3" s="2" t="s">
        <v>46</v>
      </c>
      <c r="D3" s="2" t="s">
        <v>46</v>
      </c>
      <c r="E3" s="2" t="s">
        <v>46</v>
      </c>
      <c r="F3" s="2" t="s">
        <v>67</v>
      </c>
    </row>
    <row r="4" spans="3:6" ht="12.75">
      <c r="C4" s="2">
        <v>1</v>
      </c>
      <c r="D4" s="2">
        <v>2</v>
      </c>
      <c r="E4" s="2">
        <v>3</v>
      </c>
      <c r="F4" s="2"/>
    </row>
    <row r="5" spans="1:6" ht="12.75">
      <c r="A5" s="10" t="s">
        <v>68</v>
      </c>
      <c r="C5" s="2"/>
      <c r="D5" s="2"/>
      <c r="E5" s="2"/>
      <c r="F5" s="2"/>
    </row>
    <row r="6" spans="1:6" ht="12.75">
      <c r="A6" s="10"/>
      <c r="C6" s="2"/>
      <c r="D6" s="2"/>
      <c r="E6" s="2"/>
      <c r="F6" s="2"/>
    </row>
    <row r="7" spans="1:6" ht="12.75">
      <c r="A7" s="1" t="s">
        <v>69</v>
      </c>
      <c r="B7" s="1" t="s">
        <v>17</v>
      </c>
      <c r="C7" s="1">
        <f>(1460*1.8)+32</f>
        <v>2660</v>
      </c>
      <c r="D7" s="1">
        <f>(1460*1.8)+32</f>
        <v>2660</v>
      </c>
      <c r="E7" s="1">
        <f>(1460*1.8)+32</f>
        <v>2660</v>
      </c>
      <c r="F7" s="1">
        <f>AVERAGE(E7,D7,C7)</f>
        <v>2660</v>
      </c>
    </row>
    <row r="8" spans="1:6" ht="12.75">
      <c r="A8" s="1" t="s">
        <v>70</v>
      </c>
      <c r="B8" s="1" t="s">
        <v>60</v>
      </c>
      <c r="C8" s="1">
        <v>10000</v>
      </c>
      <c r="D8" s="1">
        <v>10000</v>
      </c>
      <c r="E8" s="1">
        <v>11000</v>
      </c>
      <c r="F8" s="8">
        <f>AVERAGE(E8,D8,C8)</f>
        <v>10333.333333333334</v>
      </c>
    </row>
    <row r="9" ht="12.75">
      <c r="A9" s="1" t="s">
        <v>117</v>
      </c>
    </row>
    <row r="10" spans="1:6" ht="12.75">
      <c r="A10" s="1" t="s">
        <v>118</v>
      </c>
      <c r="C10" s="1">
        <v>8.8</v>
      </c>
      <c r="D10" s="1">
        <v>8.6</v>
      </c>
      <c r="E10" s="1">
        <v>8.6</v>
      </c>
      <c r="F10" s="5">
        <f>AVERAGE(E10,D10,C10)</f>
        <v>8.666666666666666</v>
      </c>
    </row>
    <row r="11" spans="1:6" ht="12.75">
      <c r="A11" s="1" t="s">
        <v>119</v>
      </c>
      <c r="C11" s="1">
        <v>6.5</v>
      </c>
      <c r="D11" s="1">
        <v>6.4</v>
      </c>
      <c r="E11" s="1">
        <v>6.4</v>
      </c>
      <c r="F11" s="5">
        <f>AVERAGE(E11,D11,C11)</f>
        <v>6.433333333333334</v>
      </c>
    </row>
    <row r="12" spans="1:6" ht="12.75">
      <c r="A12" s="1" t="s">
        <v>120</v>
      </c>
      <c r="B12" s="1" t="s">
        <v>121</v>
      </c>
      <c r="C12" s="1">
        <v>25.6</v>
      </c>
      <c r="D12" s="1">
        <v>25.6</v>
      </c>
      <c r="E12" s="1">
        <v>25.6</v>
      </c>
      <c r="F12" s="5">
        <f>AVERAGE(E12,D12,C12)</f>
        <v>25.600000000000005</v>
      </c>
    </row>
    <row r="14" ht="12.75">
      <c r="A14" s="10" t="s">
        <v>71</v>
      </c>
    </row>
    <row r="15" ht="12.75">
      <c r="A15" s="10"/>
    </row>
    <row r="16" spans="1:6" ht="12.75">
      <c r="A16" s="1" t="s">
        <v>69</v>
      </c>
      <c r="B16" s="1" t="s">
        <v>17</v>
      </c>
      <c r="C16" s="1">
        <f>(1165*1.8)+32</f>
        <v>2129</v>
      </c>
      <c r="D16" s="1">
        <f>(1165*1.8)+32</f>
        <v>2129</v>
      </c>
      <c r="E16" s="1">
        <f>(1165*1.8)+32</f>
        <v>2129</v>
      </c>
      <c r="F16" s="1">
        <f>AVERAGE(E16,D16,C16)</f>
        <v>2129</v>
      </c>
    </row>
    <row r="17" spans="1:6" ht="12.75">
      <c r="A17" s="1" t="s">
        <v>70</v>
      </c>
      <c r="B17" s="1" t="s">
        <v>60</v>
      </c>
      <c r="C17" s="1">
        <v>7000</v>
      </c>
      <c r="D17" s="1">
        <v>7000</v>
      </c>
      <c r="E17" s="1">
        <v>7000</v>
      </c>
      <c r="F17" s="1">
        <f>AVERAGE(E17,D17,C17)</f>
        <v>7000</v>
      </c>
    </row>
    <row r="18" ht="12.75">
      <c r="A18" s="1" t="s">
        <v>117</v>
      </c>
    </row>
    <row r="19" spans="1:6" ht="12.75">
      <c r="A19" s="1" t="s">
        <v>118</v>
      </c>
      <c r="C19" s="1">
        <v>8.7</v>
      </c>
      <c r="D19" s="1">
        <v>8.6</v>
      </c>
      <c r="E19" s="1">
        <v>8.7</v>
      </c>
      <c r="F19" s="5">
        <f>AVERAGE(E19,D19,C19)</f>
        <v>8.666666666666666</v>
      </c>
    </row>
    <row r="20" spans="1:6" ht="12.75">
      <c r="A20" s="1" t="s">
        <v>119</v>
      </c>
      <c r="C20" s="1">
        <v>8.2</v>
      </c>
      <c r="D20" s="1">
        <v>8.1</v>
      </c>
      <c r="E20" s="1">
        <v>8.1</v>
      </c>
      <c r="F20" s="5">
        <f>AVERAGE(E20,D20,C20)</f>
        <v>8.133333333333333</v>
      </c>
    </row>
    <row r="21" spans="1:6" ht="12.75">
      <c r="A21" s="1" t="s">
        <v>120</v>
      </c>
      <c r="B21" s="1" t="s">
        <v>121</v>
      </c>
      <c r="C21" s="1">
        <v>25.6</v>
      </c>
      <c r="D21" s="1">
        <v>25.6</v>
      </c>
      <c r="E21" s="1">
        <v>25.6</v>
      </c>
      <c r="F21" s="5">
        <f>AVERAGE(E21,D21,C21)</f>
        <v>25.600000000000005</v>
      </c>
    </row>
    <row r="23" ht="12.75">
      <c r="A23" s="10" t="s">
        <v>72</v>
      </c>
    </row>
    <row r="24" ht="12.75">
      <c r="A24" s="10"/>
    </row>
    <row r="25" spans="1:6" ht="12.75">
      <c r="A25" s="1" t="s">
        <v>69</v>
      </c>
      <c r="B25" s="1" t="s">
        <v>17</v>
      </c>
      <c r="C25" s="1">
        <f>(1260*1.8)+32</f>
        <v>2300</v>
      </c>
      <c r="D25" s="1">
        <f>(1260*1.8)+32</f>
        <v>2300</v>
      </c>
      <c r="E25" s="1">
        <f>(1260*1.8)+32</f>
        <v>2300</v>
      </c>
      <c r="F25" s="1">
        <f>AVERAGE(E25,D25,C25)</f>
        <v>2300</v>
      </c>
    </row>
    <row r="26" spans="1:6" ht="12.75">
      <c r="A26" s="1" t="s">
        <v>70</v>
      </c>
      <c r="B26" s="1" t="s">
        <v>60</v>
      </c>
      <c r="C26" s="1">
        <v>6500</v>
      </c>
      <c r="D26" s="1">
        <v>6500</v>
      </c>
      <c r="E26" s="1">
        <v>6500</v>
      </c>
      <c r="F26" s="1">
        <f>AVERAGE(E26,D26,C26)</f>
        <v>6500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C13" sqref="C13"/>
    </sheetView>
  </sheetViews>
  <sheetFormatPr defaultColWidth="9.140625" defaultRowHeight="12.75"/>
  <cols>
    <col min="1" max="1" width="0.9921875" style="17" customWidth="1"/>
    <col min="2" max="2" width="25.8515625" style="17" customWidth="1"/>
    <col min="3" max="3" width="7.8515625" style="17" customWidth="1"/>
    <col min="4" max="4" width="4.8515625" style="17" customWidth="1"/>
    <col min="5" max="5" width="7.421875" style="18" customWidth="1"/>
    <col min="6" max="6" width="8.140625" style="19" customWidth="1"/>
    <col min="7" max="7" width="7.8515625" style="18" customWidth="1"/>
    <col min="8" max="8" width="8.140625" style="19" customWidth="1"/>
    <col min="9" max="9" width="5.28125" style="18" customWidth="1"/>
    <col min="10" max="10" width="7.00390625" style="18" customWidth="1"/>
    <col min="11" max="11" width="8.7109375" style="18" customWidth="1"/>
    <col min="12" max="12" width="7.8515625" style="18" customWidth="1"/>
    <col min="13" max="13" width="8.7109375" style="18" customWidth="1"/>
    <col min="14" max="14" width="5.00390625" style="18" customWidth="1"/>
    <col min="15" max="15" width="7.8515625" style="18" customWidth="1"/>
    <col min="16" max="16" width="10.00390625" style="18" customWidth="1"/>
    <col min="17" max="17" width="8.7109375" style="18" customWidth="1"/>
    <col min="18" max="18" width="10.00390625" style="18" customWidth="1"/>
    <col min="19" max="19" width="7.7109375" style="17" customWidth="1"/>
    <col min="20" max="20" width="7.8515625" style="17" customWidth="1"/>
    <col min="21" max="21" width="7.7109375" style="17" customWidth="1"/>
    <col min="22" max="22" width="7.00390625" style="17" customWidth="1"/>
    <col min="23" max="23" width="7.421875" style="17" customWidth="1"/>
    <col min="24" max="16384" width="10.8515625" style="17" customWidth="1"/>
  </cols>
  <sheetData>
    <row r="1" ht="12.75">
      <c r="A1" s="16" t="s">
        <v>123</v>
      </c>
    </row>
    <row r="2" ht="12.75">
      <c r="A2" s="17" t="s">
        <v>219</v>
      </c>
    </row>
    <row r="3" spans="1:3" ht="12.75">
      <c r="A3" s="17" t="s">
        <v>216</v>
      </c>
      <c r="C3" s="33" t="s">
        <v>215</v>
      </c>
    </row>
    <row r="4" spans="1:18" ht="12.75">
      <c r="A4" s="17" t="s">
        <v>217</v>
      </c>
      <c r="C4" s="33" t="s">
        <v>72</v>
      </c>
      <c r="D4" s="20"/>
      <c r="E4" s="21"/>
      <c r="F4" s="22"/>
      <c r="G4" s="21"/>
      <c r="H4" s="22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4" ht="12.75">
      <c r="A5" s="17" t="s">
        <v>218</v>
      </c>
      <c r="C5" s="33" t="s">
        <v>43</v>
      </c>
      <c r="D5" s="20"/>
    </row>
    <row r="6" spans="3:17" ht="12.75">
      <c r="C6" s="20"/>
      <c r="D6" s="20"/>
      <c r="E6" s="23"/>
      <c r="G6" s="23"/>
      <c r="J6" s="23"/>
      <c r="L6" s="23"/>
      <c r="O6" s="23"/>
      <c r="Q6" s="23"/>
    </row>
    <row r="7" spans="3:18" ht="12.75">
      <c r="C7" s="20" t="s">
        <v>73</v>
      </c>
      <c r="D7" s="20"/>
      <c r="E7" s="24" t="s">
        <v>74</v>
      </c>
      <c r="F7" s="24"/>
      <c r="G7" s="24"/>
      <c r="H7" s="24"/>
      <c r="I7" s="25"/>
      <c r="J7" s="24" t="s">
        <v>75</v>
      </c>
      <c r="K7" s="24"/>
      <c r="L7" s="24"/>
      <c r="M7" s="24"/>
      <c r="N7" s="25"/>
      <c r="O7" s="24" t="s">
        <v>76</v>
      </c>
      <c r="P7" s="24"/>
      <c r="Q7" s="24"/>
      <c r="R7" s="24"/>
    </row>
    <row r="8" spans="3:18" ht="12.75">
      <c r="C8" s="20" t="s">
        <v>77</v>
      </c>
      <c r="E8" s="23" t="s">
        <v>78</v>
      </c>
      <c r="F8" s="22" t="s">
        <v>80</v>
      </c>
      <c r="G8" s="23" t="s">
        <v>78</v>
      </c>
      <c r="H8" s="22" t="s">
        <v>79</v>
      </c>
      <c r="J8" s="23" t="s">
        <v>78</v>
      </c>
      <c r="K8" s="23" t="s">
        <v>80</v>
      </c>
      <c r="L8" s="23" t="s">
        <v>78</v>
      </c>
      <c r="M8" s="23" t="s">
        <v>80</v>
      </c>
      <c r="O8" s="23" t="s">
        <v>78</v>
      </c>
      <c r="P8" s="23" t="s">
        <v>80</v>
      </c>
      <c r="Q8" s="23" t="s">
        <v>78</v>
      </c>
      <c r="R8" s="23" t="s">
        <v>80</v>
      </c>
    </row>
    <row r="9" spans="3:18" ht="12.75">
      <c r="C9" s="20"/>
      <c r="E9" s="23" t="s">
        <v>210</v>
      </c>
      <c r="F9" s="23" t="s">
        <v>210</v>
      </c>
      <c r="G9" s="23" t="s">
        <v>122</v>
      </c>
      <c r="H9" s="19" t="s">
        <v>122</v>
      </c>
      <c r="J9" s="23" t="s">
        <v>210</v>
      </c>
      <c r="K9" s="23" t="s">
        <v>210</v>
      </c>
      <c r="L9" s="23" t="s">
        <v>122</v>
      </c>
      <c r="M9" s="22" t="s">
        <v>122</v>
      </c>
      <c r="O9" s="23" t="s">
        <v>210</v>
      </c>
      <c r="P9" s="23" t="s">
        <v>210</v>
      </c>
      <c r="Q9" s="23" t="s">
        <v>122</v>
      </c>
      <c r="R9" s="22" t="s">
        <v>122</v>
      </c>
    </row>
    <row r="10" ht="13.5" customHeight="1">
      <c r="A10" s="17" t="s">
        <v>81</v>
      </c>
    </row>
    <row r="11" spans="2:18" ht="12.75">
      <c r="B11" s="17" t="s">
        <v>82</v>
      </c>
      <c r="C11" s="20">
        <v>1</v>
      </c>
      <c r="D11" s="20" t="s">
        <v>52</v>
      </c>
      <c r="E11" s="19">
        <v>0.007</v>
      </c>
      <c r="F11" s="19">
        <f>IF(E11="","",E11*$C11)</f>
        <v>0.007</v>
      </c>
      <c r="G11" s="19">
        <f>IF(E11=0,"",IF(D11="nd",E11/2,E11))</f>
        <v>0.0035</v>
      </c>
      <c r="H11" s="19">
        <f>IF(G11="","",G11*$C11)</f>
        <v>0.0035</v>
      </c>
      <c r="I11" s="19" t="s">
        <v>52</v>
      </c>
      <c r="J11" s="1">
        <v>0.007</v>
      </c>
      <c r="K11" s="19">
        <f>IF(J11="","",J11*$C11)</f>
        <v>0.007</v>
      </c>
      <c r="L11" s="19">
        <f>IF(J11=0,"",IF(I11="nd",J11/2,J11))</f>
        <v>0.0035</v>
      </c>
      <c r="M11" s="19">
        <f>IF(L11="","",L11*$C11)</f>
        <v>0.0035</v>
      </c>
      <c r="N11" s="19" t="s">
        <v>52</v>
      </c>
      <c r="O11" s="1">
        <v>0.01</v>
      </c>
      <c r="P11" s="19">
        <f>IF(O11="","",O11*$C11)</f>
        <v>0.01</v>
      </c>
      <c r="Q11" s="19">
        <f>IF(O11=0,"",IF(N11="nd",O11/2,O11))</f>
        <v>0.005</v>
      </c>
      <c r="R11" s="19">
        <f>IF(Q11="","",Q11*$C11)</f>
        <v>0.005</v>
      </c>
    </row>
    <row r="12" spans="2:18" ht="12.75">
      <c r="B12" s="17" t="s">
        <v>83</v>
      </c>
      <c r="C12" s="20">
        <v>0</v>
      </c>
      <c r="D12" s="20"/>
      <c r="E12" s="19"/>
      <c r="F12" s="19">
        <f>IF(E12="","",E12*$C12)</f>
      </c>
      <c r="G12" s="19">
        <f>IF(E12=0,"",IF(D12="nd",E12/2,E12))</f>
      </c>
      <c r="H12" s="19">
        <f>IF(G12="","",G12*$C12)</f>
      </c>
      <c r="I12" s="19"/>
      <c r="J12" s="1"/>
      <c r="K12" s="19">
        <f>IF(J12="","",J12*$C12)</f>
      </c>
      <c r="L12" s="19">
        <f>IF(J12=0,"",IF(I12="nd",J12/2,J12))</f>
      </c>
      <c r="M12" s="19">
        <f>IF(L12="","",L12*$C12)</f>
      </c>
      <c r="N12" s="19"/>
      <c r="O12" s="1"/>
      <c r="P12" s="19">
        <f>IF(O12="","",O12*$C12)</f>
      </c>
      <c r="Q12" s="19">
        <f>IF(O12=0,"",IF(N12="nd",O12/2,O12))</f>
      </c>
      <c r="R12" s="19">
        <f>IF(Q12="","",Q12*$C12)</f>
      </c>
    </row>
    <row r="13" spans="2:18" ht="12.75">
      <c r="B13" s="17" t="s">
        <v>84</v>
      </c>
      <c r="C13" s="20">
        <v>0.5</v>
      </c>
      <c r="D13" s="20" t="s">
        <v>52</v>
      </c>
      <c r="E13" s="19">
        <v>0.01</v>
      </c>
      <c r="F13" s="19">
        <f aca="true" t="shared" si="0" ref="F13:H35">IF(E13="","",E13*$C13)</f>
        <v>0.005</v>
      </c>
      <c r="G13" s="19">
        <f>IF(E13=0,"",IF(D13="nd",E13/2,E13))</f>
        <v>0.005</v>
      </c>
      <c r="H13" s="19">
        <f t="shared" si="0"/>
        <v>0.0025</v>
      </c>
      <c r="I13" s="19" t="s">
        <v>52</v>
      </c>
      <c r="J13" s="1">
        <v>0.01</v>
      </c>
      <c r="K13" s="19">
        <f aca="true" t="shared" si="1" ref="K13:M28">IF(J13="","",J13*$C13)</f>
        <v>0.005</v>
      </c>
      <c r="L13" s="19">
        <f>IF(J13=0,"",IF(I13="nd",J13/2,J13))</f>
        <v>0.005</v>
      </c>
      <c r="M13" s="19">
        <f t="shared" si="1"/>
        <v>0.0025</v>
      </c>
      <c r="N13" s="19" t="s">
        <v>52</v>
      </c>
      <c r="O13" s="1">
        <v>0.02</v>
      </c>
      <c r="P13" s="19">
        <f aca="true" t="shared" si="2" ref="P13:R28">IF(O13="","",O13*$C13)</f>
        <v>0.01</v>
      </c>
      <c r="Q13" s="19">
        <f>IF(O13=0,"",IF(N13="nd",O13/2,O13))</f>
        <v>0.01</v>
      </c>
      <c r="R13" s="19">
        <f t="shared" si="2"/>
        <v>0.005</v>
      </c>
    </row>
    <row r="14" spans="2:18" ht="12.75">
      <c r="B14" s="17" t="s">
        <v>85</v>
      </c>
      <c r="C14" s="20">
        <v>0</v>
      </c>
      <c r="D14" s="20"/>
      <c r="E14" s="19"/>
      <c r="F14" s="19">
        <f t="shared" si="0"/>
      </c>
      <c r="G14" s="19">
        <f aca="true" t="shared" si="3" ref="G14:G35">IF(E14=0,"",IF(D14="nd",E14/2,E14))</f>
      </c>
      <c r="H14" s="19">
        <f t="shared" si="0"/>
      </c>
      <c r="I14" s="19"/>
      <c r="J14" s="1"/>
      <c r="K14" s="19">
        <f t="shared" si="1"/>
      </c>
      <c r="L14" s="19">
        <f aca="true" t="shared" si="4" ref="L14:L29">IF(J14=0,"",IF(I14="nd",J14/2,J14))</f>
      </c>
      <c r="M14" s="19">
        <f t="shared" si="1"/>
      </c>
      <c r="N14" s="19"/>
      <c r="O14" s="1"/>
      <c r="P14" s="19">
        <f t="shared" si="2"/>
      </c>
      <c r="Q14" s="19">
        <f aca="true" t="shared" si="5" ref="Q14:Q29">IF(O14=0,"",IF(N14="nd",O14/2,O14))</f>
      </c>
      <c r="R14" s="19">
        <f t="shared" si="2"/>
      </c>
    </row>
    <row r="15" spans="2:18" ht="12.75">
      <c r="B15" s="17" t="s">
        <v>86</v>
      </c>
      <c r="C15" s="20">
        <v>0.1</v>
      </c>
      <c r="D15" s="20" t="s">
        <v>52</v>
      </c>
      <c r="E15" s="19">
        <v>0.007</v>
      </c>
      <c r="F15" s="19">
        <f t="shared" si="0"/>
        <v>0.0007000000000000001</v>
      </c>
      <c r="G15" s="19">
        <f t="shared" si="3"/>
        <v>0.0035</v>
      </c>
      <c r="H15" s="19">
        <f t="shared" si="0"/>
        <v>0.00035000000000000005</v>
      </c>
      <c r="I15" s="19" t="s">
        <v>52</v>
      </c>
      <c r="J15" s="1">
        <v>0.006</v>
      </c>
      <c r="K15" s="19">
        <f t="shared" si="1"/>
        <v>0.0006000000000000001</v>
      </c>
      <c r="L15" s="19">
        <f t="shared" si="4"/>
        <v>0.003</v>
      </c>
      <c r="M15" s="19">
        <f t="shared" si="1"/>
        <v>0.00030000000000000003</v>
      </c>
      <c r="N15" s="19" t="s">
        <v>52</v>
      </c>
      <c r="O15" s="1">
        <v>0.01</v>
      </c>
      <c r="P15" s="19">
        <f t="shared" si="2"/>
        <v>0.001</v>
      </c>
      <c r="Q15" s="19">
        <f t="shared" si="5"/>
        <v>0.005</v>
      </c>
      <c r="R15" s="19">
        <f t="shared" si="2"/>
        <v>0.0005</v>
      </c>
    </row>
    <row r="16" spans="2:18" ht="12.75">
      <c r="B16" s="17" t="s">
        <v>87</v>
      </c>
      <c r="C16" s="20">
        <v>0.1</v>
      </c>
      <c r="D16" s="20" t="s">
        <v>52</v>
      </c>
      <c r="E16" s="19">
        <v>0.006</v>
      </c>
      <c r="F16" s="19">
        <f t="shared" si="0"/>
        <v>0.0006000000000000001</v>
      </c>
      <c r="G16" s="19">
        <f t="shared" si="3"/>
        <v>0.003</v>
      </c>
      <c r="H16" s="19">
        <f t="shared" si="0"/>
        <v>0.00030000000000000003</v>
      </c>
      <c r="I16" s="19" t="s">
        <v>52</v>
      </c>
      <c r="J16" s="1">
        <v>0.005</v>
      </c>
      <c r="K16" s="19">
        <f t="shared" si="1"/>
        <v>0.0005</v>
      </c>
      <c r="L16" s="19">
        <f t="shared" si="4"/>
        <v>0.0025</v>
      </c>
      <c r="M16" s="19">
        <f t="shared" si="1"/>
        <v>0.00025</v>
      </c>
      <c r="N16" s="19" t="s">
        <v>52</v>
      </c>
      <c r="O16" s="1">
        <v>0.008</v>
      </c>
      <c r="P16" s="19">
        <f t="shared" si="2"/>
        <v>0.0008</v>
      </c>
      <c r="Q16" s="19">
        <f t="shared" si="5"/>
        <v>0.004</v>
      </c>
      <c r="R16" s="19">
        <f t="shared" si="2"/>
        <v>0.0004</v>
      </c>
    </row>
    <row r="17" spans="2:18" ht="12.75">
      <c r="B17" s="17" t="s">
        <v>88</v>
      </c>
      <c r="C17" s="20">
        <v>0.1</v>
      </c>
      <c r="D17" s="20" t="s">
        <v>52</v>
      </c>
      <c r="E17" s="19">
        <v>0.006</v>
      </c>
      <c r="F17" s="19">
        <f t="shared" si="0"/>
        <v>0.0006000000000000001</v>
      </c>
      <c r="G17" s="19">
        <f t="shared" si="3"/>
        <v>0.003</v>
      </c>
      <c r="H17" s="19">
        <f t="shared" si="0"/>
        <v>0.00030000000000000003</v>
      </c>
      <c r="I17" s="19" t="s">
        <v>52</v>
      </c>
      <c r="J17" s="1">
        <v>0.005</v>
      </c>
      <c r="K17" s="19">
        <f t="shared" si="1"/>
        <v>0.0005</v>
      </c>
      <c r="L17" s="19">
        <f t="shared" si="4"/>
        <v>0.0025</v>
      </c>
      <c r="M17" s="19">
        <f t="shared" si="1"/>
        <v>0.00025</v>
      </c>
      <c r="N17" s="19" t="s">
        <v>52</v>
      </c>
      <c r="O17" s="1">
        <v>0.008</v>
      </c>
      <c r="P17" s="19">
        <f t="shared" si="2"/>
        <v>0.0008</v>
      </c>
      <c r="Q17" s="19">
        <f t="shared" si="5"/>
        <v>0.004</v>
      </c>
      <c r="R17" s="19">
        <f t="shared" si="2"/>
        <v>0.0004</v>
      </c>
    </row>
    <row r="18" spans="2:18" ht="12.75">
      <c r="B18" s="17" t="s">
        <v>89</v>
      </c>
      <c r="C18" s="20">
        <v>0</v>
      </c>
      <c r="D18" s="20"/>
      <c r="E18" s="19"/>
      <c r="F18" s="19">
        <f t="shared" si="0"/>
      </c>
      <c r="G18" s="19">
        <f t="shared" si="3"/>
      </c>
      <c r="H18" s="19">
        <f t="shared" si="0"/>
      </c>
      <c r="I18" s="19"/>
      <c r="J18" s="1"/>
      <c r="K18" s="19">
        <f t="shared" si="1"/>
      </c>
      <c r="L18" s="19">
        <f t="shared" si="4"/>
      </c>
      <c r="M18" s="19">
        <f t="shared" si="1"/>
      </c>
      <c r="N18" s="19"/>
      <c r="O18" s="1"/>
      <c r="P18" s="19">
        <f t="shared" si="2"/>
      </c>
      <c r="Q18" s="19">
        <f t="shared" si="5"/>
      </c>
      <c r="R18" s="19">
        <f t="shared" si="2"/>
      </c>
    </row>
    <row r="19" spans="2:18" ht="12.75">
      <c r="B19" s="17" t="s">
        <v>90</v>
      </c>
      <c r="C19" s="20">
        <v>0.01</v>
      </c>
      <c r="D19" s="20"/>
      <c r="E19" s="19">
        <v>0.11</v>
      </c>
      <c r="F19" s="19">
        <f t="shared" si="0"/>
        <v>0.0011</v>
      </c>
      <c r="G19" s="19">
        <f t="shared" si="3"/>
        <v>0.11</v>
      </c>
      <c r="H19" s="19">
        <f t="shared" si="0"/>
        <v>0.0011</v>
      </c>
      <c r="I19" s="19"/>
      <c r="J19" s="1">
        <v>0.03</v>
      </c>
      <c r="K19" s="19">
        <f t="shared" si="1"/>
        <v>0.0003</v>
      </c>
      <c r="L19" s="19">
        <f t="shared" si="4"/>
        <v>0.03</v>
      </c>
      <c r="M19" s="19">
        <f t="shared" si="1"/>
        <v>0.0003</v>
      </c>
      <c r="N19" s="19"/>
      <c r="O19" s="1">
        <v>0.03</v>
      </c>
      <c r="P19" s="19">
        <f t="shared" si="2"/>
        <v>0.0003</v>
      </c>
      <c r="Q19" s="19">
        <f t="shared" si="5"/>
        <v>0.03</v>
      </c>
      <c r="R19" s="19">
        <f t="shared" si="2"/>
        <v>0.0003</v>
      </c>
    </row>
    <row r="20" spans="2:18" ht="12.75">
      <c r="B20" s="17" t="s">
        <v>91</v>
      </c>
      <c r="C20" s="20">
        <v>0</v>
      </c>
      <c r="D20" s="20"/>
      <c r="E20" s="19"/>
      <c r="F20" s="19">
        <f t="shared" si="0"/>
      </c>
      <c r="G20" s="19">
        <f t="shared" si="3"/>
      </c>
      <c r="H20" s="19">
        <f t="shared" si="0"/>
      </c>
      <c r="I20" s="19"/>
      <c r="J20" s="1"/>
      <c r="K20" s="19">
        <f t="shared" si="1"/>
      </c>
      <c r="L20" s="19">
        <f t="shared" si="4"/>
      </c>
      <c r="M20" s="19">
        <f t="shared" si="1"/>
      </c>
      <c r="N20" s="19"/>
      <c r="O20" s="1"/>
      <c r="P20" s="19">
        <f t="shared" si="2"/>
      </c>
      <c r="Q20" s="19">
        <f t="shared" si="5"/>
      </c>
      <c r="R20" s="19">
        <f t="shared" si="2"/>
      </c>
    </row>
    <row r="21" spans="2:18" ht="12.75">
      <c r="B21" s="17" t="s">
        <v>92</v>
      </c>
      <c r="C21" s="20">
        <v>0.001</v>
      </c>
      <c r="D21" s="20"/>
      <c r="E21" s="19">
        <v>1</v>
      </c>
      <c r="F21" s="19">
        <f t="shared" si="0"/>
        <v>0.001</v>
      </c>
      <c r="G21" s="19">
        <f t="shared" si="3"/>
        <v>1</v>
      </c>
      <c r="H21" s="19">
        <f t="shared" si="0"/>
        <v>0.001</v>
      </c>
      <c r="I21" s="19"/>
      <c r="J21" s="1">
        <v>0.21</v>
      </c>
      <c r="K21" s="19">
        <f t="shared" si="1"/>
        <v>0.00021</v>
      </c>
      <c r="L21" s="19">
        <f t="shared" si="4"/>
        <v>0.21</v>
      </c>
      <c r="M21" s="19">
        <f t="shared" si="1"/>
        <v>0.00021</v>
      </c>
      <c r="N21" s="19"/>
      <c r="O21" s="1">
        <v>0.18</v>
      </c>
      <c r="P21" s="19">
        <f t="shared" si="2"/>
        <v>0.00017999999999999998</v>
      </c>
      <c r="Q21" s="19">
        <f t="shared" si="5"/>
        <v>0.18</v>
      </c>
      <c r="R21" s="19">
        <f t="shared" si="2"/>
        <v>0.00017999999999999998</v>
      </c>
    </row>
    <row r="22" spans="2:18" ht="12.75">
      <c r="B22" s="17" t="s">
        <v>93</v>
      </c>
      <c r="C22" s="20">
        <v>0.1</v>
      </c>
      <c r="D22" s="20"/>
      <c r="E22" s="19">
        <v>0.13</v>
      </c>
      <c r="F22" s="19">
        <f t="shared" si="0"/>
        <v>0.013000000000000001</v>
      </c>
      <c r="G22" s="19">
        <f t="shared" si="3"/>
        <v>0.13</v>
      </c>
      <c r="H22" s="19">
        <f t="shared" si="0"/>
        <v>0.013000000000000001</v>
      </c>
      <c r="I22" s="19"/>
      <c r="J22" s="1">
        <v>0.13</v>
      </c>
      <c r="K22" s="19">
        <f t="shared" si="1"/>
        <v>0.013000000000000001</v>
      </c>
      <c r="L22" s="19">
        <f t="shared" si="4"/>
        <v>0.13</v>
      </c>
      <c r="M22" s="19">
        <f t="shared" si="1"/>
        <v>0.013000000000000001</v>
      </c>
      <c r="N22" s="19"/>
      <c r="O22" s="1">
        <v>0.17</v>
      </c>
      <c r="P22" s="19">
        <f t="shared" si="2"/>
        <v>0.017</v>
      </c>
      <c r="Q22" s="19">
        <f t="shared" si="5"/>
        <v>0.17</v>
      </c>
      <c r="R22" s="19">
        <f t="shared" si="2"/>
        <v>0.017</v>
      </c>
    </row>
    <row r="23" spans="2:18" ht="12.75">
      <c r="B23" s="17" t="s">
        <v>94</v>
      </c>
      <c r="C23" s="20">
        <v>0</v>
      </c>
      <c r="D23" s="20"/>
      <c r="E23" s="19"/>
      <c r="F23" s="19">
        <f t="shared" si="0"/>
      </c>
      <c r="G23" s="19">
        <f t="shared" si="3"/>
      </c>
      <c r="H23" s="19">
        <f t="shared" si="0"/>
      </c>
      <c r="I23" s="19"/>
      <c r="J23" s="1"/>
      <c r="K23" s="19">
        <f t="shared" si="1"/>
      </c>
      <c r="L23" s="19">
        <f t="shared" si="4"/>
      </c>
      <c r="M23" s="19">
        <f t="shared" si="1"/>
      </c>
      <c r="N23" s="19"/>
      <c r="O23" s="1"/>
      <c r="P23" s="19">
        <f t="shared" si="2"/>
      </c>
      <c r="Q23" s="19">
        <f t="shared" si="5"/>
      </c>
      <c r="R23" s="19">
        <f t="shared" si="2"/>
      </c>
    </row>
    <row r="24" spans="2:18" ht="12.75">
      <c r="B24" s="17" t="s">
        <v>95</v>
      </c>
      <c r="C24" s="20">
        <v>0.05</v>
      </c>
      <c r="D24" s="20"/>
      <c r="E24" s="19">
        <v>0.06</v>
      </c>
      <c r="F24" s="19">
        <f t="shared" si="0"/>
        <v>0.003</v>
      </c>
      <c r="G24" s="19">
        <f t="shared" si="3"/>
        <v>0.06</v>
      </c>
      <c r="H24" s="19">
        <f t="shared" si="0"/>
        <v>0.003</v>
      </c>
      <c r="I24" s="19"/>
      <c r="J24" s="1">
        <v>0.06</v>
      </c>
      <c r="K24" s="19">
        <f t="shared" si="1"/>
        <v>0.003</v>
      </c>
      <c r="L24" s="19">
        <f t="shared" si="4"/>
        <v>0.06</v>
      </c>
      <c r="M24" s="19">
        <f t="shared" si="1"/>
        <v>0.003</v>
      </c>
      <c r="N24" s="19"/>
      <c r="O24" s="1">
        <v>0.06</v>
      </c>
      <c r="P24" s="19">
        <f t="shared" si="2"/>
        <v>0.003</v>
      </c>
      <c r="Q24" s="19">
        <f t="shared" si="5"/>
        <v>0.06</v>
      </c>
      <c r="R24" s="19">
        <f t="shared" si="2"/>
        <v>0.003</v>
      </c>
    </row>
    <row r="25" spans="2:18" ht="12.75">
      <c r="B25" s="17" t="s">
        <v>96</v>
      </c>
      <c r="C25" s="20">
        <v>0.5</v>
      </c>
      <c r="D25" s="20"/>
      <c r="E25" s="19">
        <v>0.02</v>
      </c>
      <c r="F25" s="19">
        <f t="shared" si="0"/>
        <v>0.01</v>
      </c>
      <c r="G25" s="19">
        <f t="shared" si="3"/>
        <v>0.02</v>
      </c>
      <c r="H25" s="19">
        <f t="shared" si="0"/>
        <v>0.01</v>
      </c>
      <c r="I25" s="19"/>
      <c r="J25" s="1">
        <v>0.03</v>
      </c>
      <c r="K25" s="19">
        <f t="shared" si="1"/>
        <v>0.015</v>
      </c>
      <c r="L25" s="19">
        <f t="shared" si="4"/>
        <v>0.03</v>
      </c>
      <c r="M25" s="19">
        <f t="shared" si="1"/>
        <v>0.015</v>
      </c>
      <c r="N25" s="19" t="s">
        <v>52</v>
      </c>
      <c r="O25" s="1">
        <v>0.01</v>
      </c>
      <c r="P25" s="19">
        <f t="shared" si="2"/>
        <v>0.005</v>
      </c>
      <c r="Q25" s="19">
        <f t="shared" si="5"/>
        <v>0.005</v>
      </c>
      <c r="R25" s="19">
        <f t="shared" si="2"/>
        <v>0.0025</v>
      </c>
    </row>
    <row r="26" spans="2:18" ht="12.75">
      <c r="B26" s="17" t="s">
        <v>97</v>
      </c>
      <c r="C26" s="20">
        <v>0</v>
      </c>
      <c r="D26" s="20"/>
      <c r="E26" s="19"/>
      <c r="F26" s="19">
        <f t="shared" si="0"/>
      </c>
      <c r="G26" s="19">
        <f t="shared" si="3"/>
      </c>
      <c r="H26" s="19">
        <f t="shared" si="0"/>
      </c>
      <c r="I26" s="19"/>
      <c r="J26" s="1"/>
      <c r="K26" s="19">
        <f t="shared" si="1"/>
      </c>
      <c r="L26" s="19">
        <f t="shared" si="4"/>
      </c>
      <c r="M26" s="19">
        <f t="shared" si="1"/>
      </c>
      <c r="N26" s="19"/>
      <c r="O26" s="1"/>
      <c r="P26" s="19">
        <f t="shared" si="2"/>
      </c>
      <c r="Q26" s="19">
        <f t="shared" si="5"/>
      </c>
      <c r="R26" s="19">
        <f t="shared" si="2"/>
      </c>
    </row>
    <row r="27" spans="2:18" ht="12.75">
      <c r="B27" s="17" t="s">
        <v>98</v>
      </c>
      <c r="C27" s="20">
        <v>0.1</v>
      </c>
      <c r="D27" s="20"/>
      <c r="E27" s="19">
        <v>0.1</v>
      </c>
      <c r="F27" s="19">
        <f t="shared" si="0"/>
        <v>0.010000000000000002</v>
      </c>
      <c r="G27" s="19">
        <f t="shared" si="3"/>
        <v>0.1</v>
      </c>
      <c r="H27" s="19">
        <f t="shared" si="0"/>
        <v>0.010000000000000002</v>
      </c>
      <c r="I27" s="19"/>
      <c r="J27" s="1">
        <v>0.1</v>
      </c>
      <c r="K27" s="19">
        <f t="shared" si="1"/>
        <v>0.010000000000000002</v>
      </c>
      <c r="L27" s="19">
        <f t="shared" si="4"/>
        <v>0.1</v>
      </c>
      <c r="M27" s="19">
        <f t="shared" si="1"/>
        <v>0.010000000000000002</v>
      </c>
      <c r="N27" s="19"/>
      <c r="O27" s="1">
        <v>0.08</v>
      </c>
      <c r="P27" s="19">
        <f t="shared" si="2"/>
        <v>0.008</v>
      </c>
      <c r="Q27" s="19">
        <f t="shared" si="5"/>
        <v>0.08</v>
      </c>
      <c r="R27" s="19">
        <f t="shared" si="2"/>
        <v>0.008</v>
      </c>
    </row>
    <row r="28" spans="2:18" ht="12.75">
      <c r="B28" s="17" t="s">
        <v>99</v>
      </c>
      <c r="C28" s="20">
        <v>0.1</v>
      </c>
      <c r="D28" s="20"/>
      <c r="E28" s="19">
        <v>0.03</v>
      </c>
      <c r="F28" s="19">
        <f t="shared" si="0"/>
        <v>0.003</v>
      </c>
      <c r="G28" s="19">
        <f t="shared" si="3"/>
        <v>0.03</v>
      </c>
      <c r="H28" s="19">
        <f t="shared" si="0"/>
        <v>0.003</v>
      </c>
      <c r="I28" s="19"/>
      <c r="J28" s="1">
        <v>0.03</v>
      </c>
      <c r="K28" s="19">
        <f t="shared" si="1"/>
        <v>0.003</v>
      </c>
      <c r="L28" s="19">
        <f t="shared" si="4"/>
        <v>0.03</v>
      </c>
      <c r="M28" s="19">
        <f t="shared" si="1"/>
        <v>0.003</v>
      </c>
      <c r="N28" s="19"/>
      <c r="O28" s="1">
        <v>0.03</v>
      </c>
      <c r="P28" s="19">
        <f t="shared" si="2"/>
        <v>0.003</v>
      </c>
      <c r="Q28" s="19">
        <f t="shared" si="5"/>
        <v>0.03</v>
      </c>
      <c r="R28" s="19">
        <f t="shared" si="2"/>
        <v>0.003</v>
      </c>
    </row>
    <row r="29" spans="2:18" ht="12.75">
      <c r="B29" s="17" t="s">
        <v>100</v>
      </c>
      <c r="C29" s="20">
        <v>0.1</v>
      </c>
      <c r="D29" s="20"/>
      <c r="E29" s="19">
        <v>0.03</v>
      </c>
      <c r="F29" s="19">
        <f t="shared" si="0"/>
        <v>0.003</v>
      </c>
      <c r="G29" s="19">
        <f t="shared" si="3"/>
        <v>0.03</v>
      </c>
      <c r="H29" s="19">
        <f t="shared" si="0"/>
        <v>0.003</v>
      </c>
      <c r="I29" s="19"/>
      <c r="J29" s="1">
        <v>0.02</v>
      </c>
      <c r="K29" s="19">
        <f aca="true" t="shared" si="6" ref="K29:M35">IF(J29="","",J29*$C29)</f>
        <v>0.002</v>
      </c>
      <c r="L29" s="19">
        <f t="shared" si="4"/>
        <v>0.02</v>
      </c>
      <c r="M29" s="19">
        <f t="shared" si="6"/>
        <v>0.002</v>
      </c>
      <c r="N29" s="19"/>
      <c r="O29" s="1">
        <v>0.02</v>
      </c>
      <c r="P29" s="19">
        <f aca="true" t="shared" si="7" ref="P29:R35">IF(O29="","",O29*$C29)</f>
        <v>0.002</v>
      </c>
      <c r="Q29" s="19">
        <f t="shared" si="5"/>
        <v>0.02</v>
      </c>
      <c r="R29" s="19">
        <f t="shared" si="7"/>
        <v>0.002</v>
      </c>
    </row>
    <row r="30" spans="2:18" ht="12.75">
      <c r="B30" s="17" t="s">
        <v>101</v>
      </c>
      <c r="C30" s="20">
        <v>0.1</v>
      </c>
      <c r="D30" s="20" t="s">
        <v>52</v>
      </c>
      <c r="E30" s="19">
        <v>0.004</v>
      </c>
      <c r="F30" s="19">
        <f t="shared" si="0"/>
        <v>0.0004</v>
      </c>
      <c r="G30" s="19">
        <f t="shared" si="3"/>
        <v>0.002</v>
      </c>
      <c r="H30" s="19">
        <f t="shared" si="0"/>
        <v>0.0002</v>
      </c>
      <c r="I30" s="19" t="s">
        <v>52</v>
      </c>
      <c r="J30" s="1">
        <v>0.004</v>
      </c>
      <c r="K30" s="19">
        <f t="shared" si="6"/>
        <v>0.0004</v>
      </c>
      <c r="L30" s="19">
        <f aca="true" t="shared" si="8" ref="L30:L35">IF(J30=0,"",IF(I30="nd",J30/2,J30))</f>
        <v>0.002</v>
      </c>
      <c r="M30" s="19">
        <f t="shared" si="6"/>
        <v>0.0002</v>
      </c>
      <c r="N30" s="19" t="s">
        <v>52</v>
      </c>
      <c r="O30" s="1">
        <v>0.006</v>
      </c>
      <c r="P30" s="19">
        <f t="shared" si="7"/>
        <v>0.0006000000000000001</v>
      </c>
      <c r="Q30" s="19">
        <f aca="true" t="shared" si="9" ref="Q30:Q35">IF(O30=0,"",IF(N30="nd",O30/2,O30))</f>
        <v>0.003</v>
      </c>
      <c r="R30" s="19">
        <f t="shared" si="7"/>
        <v>0.00030000000000000003</v>
      </c>
    </row>
    <row r="31" spans="2:18" ht="12.75">
      <c r="B31" s="17" t="s">
        <v>102</v>
      </c>
      <c r="C31" s="20">
        <v>0</v>
      </c>
      <c r="D31" s="20"/>
      <c r="E31" s="19"/>
      <c r="F31" s="19">
        <f t="shared" si="0"/>
      </c>
      <c r="G31" s="19">
        <f t="shared" si="3"/>
      </c>
      <c r="H31" s="19">
        <f t="shared" si="0"/>
      </c>
      <c r="I31" s="19"/>
      <c r="J31" s="1"/>
      <c r="K31" s="19">
        <f t="shared" si="6"/>
      </c>
      <c r="L31" s="19">
        <f t="shared" si="8"/>
      </c>
      <c r="M31" s="19">
        <f t="shared" si="6"/>
      </c>
      <c r="N31" s="19"/>
      <c r="O31" s="1"/>
      <c r="P31" s="19">
        <f t="shared" si="7"/>
      </c>
      <c r="Q31" s="19">
        <f t="shared" si="9"/>
      </c>
      <c r="R31" s="19">
        <f t="shared" si="7"/>
      </c>
    </row>
    <row r="32" spans="2:18" ht="12.75">
      <c r="B32" s="17" t="s">
        <v>103</v>
      </c>
      <c r="C32" s="20">
        <v>0.01</v>
      </c>
      <c r="D32" s="20"/>
      <c r="E32" s="19">
        <v>0.16</v>
      </c>
      <c r="F32" s="19">
        <f t="shared" si="0"/>
        <v>0.0016</v>
      </c>
      <c r="G32" s="19">
        <f t="shared" si="3"/>
        <v>0.16</v>
      </c>
      <c r="H32" s="19">
        <f t="shared" si="0"/>
        <v>0.0016</v>
      </c>
      <c r="I32" s="19"/>
      <c r="J32" s="1">
        <v>0.14</v>
      </c>
      <c r="K32" s="19">
        <f t="shared" si="6"/>
        <v>0.0014000000000000002</v>
      </c>
      <c r="L32" s="19">
        <f t="shared" si="8"/>
        <v>0.14</v>
      </c>
      <c r="M32" s="19">
        <f t="shared" si="6"/>
        <v>0.0014000000000000002</v>
      </c>
      <c r="N32" s="19"/>
      <c r="O32" s="1">
        <v>0.13</v>
      </c>
      <c r="P32" s="19">
        <f t="shared" si="7"/>
        <v>0.0013000000000000002</v>
      </c>
      <c r="Q32" s="19">
        <f t="shared" si="9"/>
        <v>0.13</v>
      </c>
      <c r="R32" s="19">
        <f t="shared" si="7"/>
        <v>0.0013000000000000002</v>
      </c>
    </row>
    <row r="33" spans="2:18" ht="12.75">
      <c r="B33" s="17" t="s">
        <v>104</v>
      </c>
      <c r="C33" s="20">
        <v>0.01</v>
      </c>
      <c r="D33" s="20"/>
      <c r="E33" s="19">
        <v>0.2</v>
      </c>
      <c r="F33" s="19">
        <f t="shared" si="0"/>
        <v>0.002</v>
      </c>
      <c r="G33" s="19">
        <f t="shared" si="3"/>
        <v>0.2</v>
      </c>
      <c r="H33" s="19">
        <f t="shared" si="0"/>
        <v>0.002</v>
      </c>
      <c r="I33" s="19"/>
      <c r="J33" s="1">
        <v>0.03</v>
      </c>
      <c r="K33" s="19">
        <f t="shared" si="6"/>
        <v>0.0003</v>
      </c>
      <c r="L33" s="19">
        <f t="shared" si="8"/>
        <v>0.03</v>
      </c>
      <c r="M33" s="19">
        <f t="shared" si="6"/>
        <v>0.0003</v>
      </c>
      <c r="N33" s="19"/>
      <c r="O33" s="1">
        <v>0.03</v>
      </c>
      <c r="P33" s="19">
        <f t="shared" si="7"/>
        <v>0.0003</v>
      </c>
      <c r="Q33" s="19">
        <f t="shared" si="9"/>
        <v>0.03</v>
      </c>
      <c r="R33" s="19">
        <f t="shared" si="7"/>
        <v>0.0003</v>
      </c>
    </row>
    <row r="34" spans="2:18" ht="12.75">
      <c r="B34" s="17" t="s">
        <v>105</v>
      </c>
      <c r="C34" s="20">
        <v>0</v>
      </c>
      <c r="D34" s="20"/>
      <c r="E34" s="19"/>
      <c r="F34" s="19">
        <f t="shared" si="0"/>
      </c>
      <c r="G34" s="19">
        <f t="shared" si="3"/>
      </c>
      <c r="H34" s="19">
        <f t="shared" si="0"/>
      </c>
      <c r="I34" s="19"/>
      <c r="J34" s="1"/>
      <c r="K34" s="19">
        <f t="shared" si="6"/>
      </c>
      <c r="L34" s="19">
        <f t="shared" si="8"/>
      </c>
      <c r="M34" s="19">
        <f t="shared" si="6"/>
      </c>
      <c r="N34" s="19"/>
      <c r="O34" s="1"/>
      <c r="P34" s="19">
        <f t="shared" si="7"/>
      </c>
      <c r="Q34" s="19">
        <f t="shared" si="9"/>
      </c>
      <c r="R34" s="19">
        <f t="shared" si="7"/>
      </c>
    </row>
    <row r="35" spans="2:18" ht="12.75">
      <c r="B35" s="17" t="s">
        <v>106</v>
      </c>
      <c r="C35" s="20">
        <v>0.001</v>
      </c>
      <c r="D35" s="20"/>
      <c r="E35" s="19">
        <v>0.48</v>
      </c>
      <c r="F35" s="19">
        <f t="shared" si="0"/>
        <v>0.00048</v>
      </c>
      <c r="G35" s="19">
        <f t="shared" si="3"/>
        <v>0.48</v>
      </c>
      <c r="H35" s="19">
        <f t="shared" si="0"/>
        <v>0.00048</v>
      </c>
      <c r="I35" s="19"/>
      <c r="J35" s="1">
        <v>0.24</v>
      </c>
      <c r="K35" s="19">
        <f t="shared" si="6"/>
        <v>0.00024</v>
      </c>
      <c r="L35" s="19">
        <f t="shared" si="8"/>
        <v>0.24</v>
      </c>
      <c r="M35" s="19">
        <f t="shared" si="6"/>
        <v>0.00024</v>
      </c>
      <c r="N35" s="19"/>
      <c r="O35" s="1">
        <v>0.19</v>
      </c>
      <c r="P35" s="19">
        <f t="shared" si="7"/>
        <v>0.00019</v>
      </c>
      <c r="Q35" s="19">
        <f t="shared" si="9"/>
        <v>0.19</v>
      </c>
      <c r="R35" s="19">
        <f t="shared" si="7"/>
        <v>0.00019</v>
      </c>
    </row>
    <row r="36" spans="5:17" ht="12.75">
      <c r="E36" s="26"/>
      <c r="G36" s="26"/>
      <c r="I36" s="26"/>
      <c r="J36" s="26"/>
      <c r="K36" s="26"/>
      <c r="L36" s="26"/>
      <c r="M36" s="26"/>
      <c r="N36" s="26"/>
      <c r="O36" s="26"/>
      <c r="Q36" s="26"/>
    </row>
    <row r="37" spans="2:18" ht="12.75">
      <c r="B37" s="17" t="s">
        <v>107</v>
      </c>
      <c r="E37" s="26"/>
      <c r="F37" s="26">
        <v>115.65</v>
      </c>
      <c r="G37" s="26"/>
      <c r="H37" s="26">
        <v>115.65</v>
      </c>
      <c r="I37" s="26"/>
      <c r="J37" s="26"/>
      <c r="K37" s="26">
        <v>124.5</v>
      </c>
      <c r="L37" s="26"/>
      <c r="M37" s="26">
        <v>124.5</v>
      </c>
      <c r="N37" s="26"/>
      <c r="O37" s="26"/>
      <c r="P37" s="26">
        <v>121.7</v>
      </c>
      <c r="Q37" s="26"/>
      <c r="R37" s="26">
        <v>121.7</v>
      </c>
    </row>
    <row r="38" spans="2:18" ht="12.75">
      <c r="B38" s="17" t="s">
        <v>108</v>
      </c>
      <c r="E38" s="26"/>
      <c r="F38" s="26">
        <v>8.6</v>
      </c>
      <c r="G38" s="26"/>
      <c r="H38" s="26">
        <v>8.6</v>
      </c>
      <c r="I38" s="26"/>
      <c r="J38" s="26"/>
      <c r="K38" s="26">
        <v>9</v>
      </c>
      <c r="L38" s="26"/>
      <c r="M38" s="26">
        <v>9</v>
      </c>
      <c r="N38" s="26"/>
      <c r="O38" s="26"/>
      <c r="P38" s="26">
        <v>9</v>
      </c>
      <c r="Q38" s="26"/>
      <c r="R38" s="26">
        <v>9</v>
      </c>
    </row>
    <row r="39" spans="5:18" ht="12.75">
      <c r="E39" s="26"/>
      <c r="F39" s="1"/>
      <c r="G39" s="26"/>
      <c r="H39" s="1"/>
      <c r="I39" s="1"/>
      <c r="J39" s="26"/>
      <c r="K39" s="1"/>
      <c r="L39" s="26"/>
      <c r="M39" s="1"/>
      <c r="N39" s="26"/>
      <c r="O39" s="26"/>
      <c r="P39" s="26"/>
      <c r="Q39" s="26"/>
      <c r="R39" s="26"/>
    </row>
    <row r="40" spans="2:18" ht="12.75">
      <c r="B40" s="17" t="s">
        <v>109</v>
      </c>
      <c r="C40" s="19"/>
      <c r="D40" s="19"/>
      <c r="E40" s="19"/>
      <c r="F40" s="19">
        <f>SUM(F11:F35)</f>
        <v>0.06248000000000001</v>
      </c>
      <c r="G40" s="19"/>
      <c r="H40" s="19">
        <f>SUM(H11:H35)</f>
        <v>0.055330000000000004</v>
      </c>
      <c r="I40" s="19"/>
      <c r="J40" s="19"/>
      <c r="K40" s="19">
        <f>SUM(K11:K35)</f>
        <v>0.06245</v>
      </c>
      <c r="L40" s="19"/>
      <c r="M40" s="19">
        <f>SUM(M11:M35)</f>
        <v>0.05545</v>
      </c>
      <c r="N40" s="19"/>
      <c r="O40" s="19"/>
      <c r="P40" s="19">
        <f>SUM(P11:P35)</f>
        <v>0.06347</v>
      </c>
      <c r="Q40" s="19"/>
      <c r="R40" s="19">
        <f>SUM(R11:R35)</f>
        <v>0.04937000000000002</v>
      </c>
    </row>
    <row r="41" spans="2:18" ht="12.75">
      <c r="B41" s="17" t="s">
        <v>110</v>
      </c>
      <c r="C41" s="19"/>
      <c r="D41" s="35">
        <f>(F41-H41)*2/F41*100</f>
        <v>22.88732394366198</v>
      </c>
      <c r="E41" s="19"/>
      <c r="F41" s="19">
        <f>F40/F37/0.0283*(21-7)/(21-F38)</f>
        <v>0.021553375676234946</v>
      </c>
      <c r="G41" s="19"/>
      <c r="H41" s="19">
        <f>H40/H37/0.0283*(21-7)/(21-H38)</f>
        <v>0.019086880220327777</v>
      </c>
      <c r="I41" s="35">
        <f>(K41-M41)*2/K41*100</f>
        <v>22.417934347477974</v>
      </c>
      <c r="J41" s="19"/>
      <c r="K41" s="19">
        <f>K40/K37/0.0283*(21-7)/(21-K38)</f>
        <v>0.02067871012909116</v>
      </c>
      <c r="L41" s="19"/>
      <c r="M41" s="19">
        <f>M40/M37/0.0283*(21-7)/(21-M38)</f>
        <v>0.018360840298768694</v>
      </c>
      <c r="N41" s="35">
        <f>(P41-R41)*2/P41*100</f>
        <v>44.43043957775325</v>
      </c>
      <c r="O41" s="19"/>
      <c r="P41" s="19">
        <f>P40/P37/0.0283*(21-7)/(21-P38)</f>
        <v>0.021499990805558863</v>
      </c>
      <c r="Q41" s="19"/>
      <c r="R41" s="19">
        <f>R40/R37/0.0283*(21-7)/(21-R38)</f>
        <v>0.016723720593515696</v>
      </c>
    </row>
    <row r="42" spans="5:17" ht="12.75">
      <c r="E42" s="27"/>
      <c r="G42" s="27"/>
      <c r="I42" s="27"/>
      <c r="J42" s="27"/>
      <c r="K42" s="27"/>
      <c r="L42" s="27"/>
      <c r="M42" s="27"/>
      <c r="N42" s="27"/>
      <c r="O42" s="27"/>
      <c r="Q42" s="27"/>
    </row>
    <row r="43" spans="2:23" s="26" customFormat="1" ht="12.75">
      <c r="B43" s="26" t="s">
        <v>124</v>
      </c>
      <c r="C43" s="27">
        <f>AVERAGE(H41,M41,R41)</f>
        <v>0.01805714703753739</v>
      </c>
      <c r="F43" s="19"/>
      <c r="H43" s="19"/>
      <c r="P43" s="18"/>
      <c r="R43" s="18"/>
      <c r="S43" s="17"/>
      <c r="T43" s="17"/>
      <c r="U43" s="17"/>
      <c r="V43" s="17"/>
      <c r="W43" s="17"/>
    </row>
    <row r="45" spans="5:18" ht="12.75">
      <c r="E45" s="17"/>
      <c r="G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5:18" ht="12.75">
      <c r="E46" s="17"/>
      <c r="G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5:18" ht="12.75">
      <c r="E47" s="17"/>
      <c r="G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5:18" ht="12.75">
      <c r="E48" s="17"/>
      <c r="G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5:18" ht="12.75">
      <c r="E49" s="17"/>
      <c r="G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5:18" ht="12.75">
      <c r="E50" s="17"/>
      <c r="G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5:18" ht="12.75">
      <c r="E51" s="17"/>
      <c r="G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5:18" ht="12.75">
      <c r="E52" s="17"/>
      <c r="G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5:18" ht="12.75">
      <c r="E53" s="17"/>
      <c r="G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5:18" ht="12.75">
      <c r="E54" s="17"/>
      <c r="G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5:18" ht="12.75">
      <c r="E55" s="17"/>
      <c r="G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5:18" ht="12.75">
      <c r="E56" s="17"/>
      <c r="G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5:18" ht="12.75">
      <c r="E57" s="17"/>
      <c r="G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5:18" ht="12.75">
      <c r="E58" s="17"/>
      <c r="G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5:18" ht="12.75">
      <c r="E59" s="17"/>
      <c r="G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5:18" ht="12.75">
      <c r="E60" s="17"/>
      <c r="G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5:18" ht="12.75">
      <c r="E61" s="17"/>
      <c r="G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5:18" ht="12.75">
      <c r="E62" s="17"/>
      <c r="G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5:18" ht="12.75">
      <c r="E63" s="17"/>
      <c r="G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5:18" ht="12.75">
      <c r="E64" s="17"/>
      <c r="G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2004-02-24T23:23:50Z</cp:lastPrinted>
  <dcterms:modified xsi:type="dcterms:W3CDTF">2004-02-24T23:24:02Z</dcterms:modified>
  <cp:category/>
  <cp:version/>
  <cp:contentType/>
  <cp:contentStatus/>
</cp:coreProperties>
</file>