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1520" windowWidth="19780" windowHeight="12500" tabRatio="292" activeTab="1"/>
  </bookViews>
  <sheets>
    <sheet name="Design Comparisons" sheetId="1" r:id="rId1"/>
    <sheet name="50 kTon Mass" sheetId="2" r:id="rId2"/>
    <sheet name="LaborRates" sheetId="3" r:id="rId3"/>
    <sheet name="MiscellaneousRates" sheetId="4" r:id="rId4"/>
    <sheet name="Costs" sheetId="5" r:id="rId5"/>
  </sheets>
  <definedNames>
    <definedName name="_xlnm.Print_Titles" localSheetId="1">'50 kTon Mass'!$1:$1</definedName>
    <definedName name="_xlnm.Print_Titles" localSheetId="0">'Design Comparisons'!$1:$1</definedName>
  </definedNames>
  <calcPr fullCalcOnLoad="1"/>
</workbook>
</file>

<file path=xl/sharedStrings.xml><?xml version="1.0" encoding="utf-8"?>
<sst xmlns="http://schemas.openxmlformats.org/spreadsheetml/2006/main" count="703" uniqueCount="298">
  <si>
    <t># of supervisors</t>
  </si>
  <si>
    <t>Toaster Assembly Fixturing</t>
  </si>
  <si>
    <t># hours/RRA</t>
  </si>
  <si>
    <t># of assembly plants</t>
  </si>
  <si>
    <t>Fixturing</t>
  </si>
  <si>
    <t>Rental Space</t>
  </si>
  <si>
    <t># years</t>
  </si>
  <si>
    <t>Assembly Labor Cost</t>
  </si>
  <si>
    <t>RRA Assembly technician</t>
  </si>
  <si>
    <t>Lab</t>
  </si>
  <si>
    <t>LT</t>
  </si>
  <si>
    <t>RPC bottom corner pieces</t>
  </si>
  <si>
    <t>#10 screws</t>
  </si>
  <si>
    <t>M&amp;S for RRA assembly not costed elsewhere (per RRA)</t>
  </si>
  <si>
    <t>board spacers</t>
  </si>
  <si>
    <t>RPC support shelf</t>
  </si>
  <si>
    <t>RPC edge supports</t>
  </si>
  <si>
    <t>skins,manifolds , connectors,end snouts,consumables (per module)</t>
  </si>
  <si>
    <t>length (m)</t>
  </si>
  <si>
    <t>thickness (m)</t>
  </si>
  <si>
    <t>Area (sq m)</t>
  </si>
  <si>
    <t># modules per wall</t>
  </si>
  <si>
    <t>16 modules per wall; stacked 8 high by 2 wide; each module contains 12 "detector units"</t>
  </si>
  <si>
    <t>RPC X and Y</t>
  </si>
  <si>
    <t>particle</t>
  </si>
  <si>
    <t>Rollup</t>
  </si>
  <si>
    <t>M&amp;S + SWF only</t>
  </si>
  <si>
    <t>EDIA</t>
  </si>
  <si>
    <t>Overhead</t>
  </si>
  <si>
    <t>Contingency</t>
  </si>
  <si>
    <t>Project Management</t>
  </si>
  <si>
    <t>Total of Multipliers</t>
  </si>
  <si>
    <t># shifts needed</t>
  </si>
  <si>
    <t># crew per shift</t>
  </si>
  <si>
    <t># shifts per day</t>
  </si>
  <si>
    <t>Far Site Laboror</t>
  </si>
  <si>
    <t>Assembly cost per shift</t>
  </si>
  <si>
    <t>Total Assembly cost</t>
  </si>
  <si>
    <t>"Bottom Line"</t>
  </si>
  <si>
    <t># years to install</t>
  </si>
  <si>
    <t># stacks/shift</t>
  </si>
  <si>
    <t>NOT Included explicitly</t>
  </si>
  <si>
    <t xml:space="preserve">EDIA </t>
  </si>
  <si>
    <t>manifolds attached to modules; fiber inserted into cells</t>
  </si>
  <si>
    <t>Basic Detector Unit Production /Assembly</t>
  </si>
  <si>
    <t xml:space="preserve">Detector Units Labor </t>
  </si>
  <si>
    <t xml:space="preserve"> Unit Cost </t>
  </si>
  <si>
    <t>Read Out Raw Materials</t>
  </si>
  <si>
    <t>Materials</t>
  </si>
  <si>
    <t>RPC's are mounted between Readout Boards; HV bases and Front End Electronics are attached</t>
  </si>
  <si>
    <t>Factory set-up/tooling per factory</t>
  </si>
  <si>
    <t>RPC Factory floor space rental</t>
  </si>
  <si>
    <t>Scintillator factory</t>
  </si>
  <si>
    <t>$/year</t>
  </si>
  <si>
    <t>30 strips per module</t>
  </si>
  <si>
    <t>total number of basic units needed</t>
  </si>
  <si>
    <t>total area covered by active detector (sq m)</t>
  </si>
  <si>
    <t>Cost per Channel</t>
  </si>
  <si>
    <t>meters</t>
  </si>
  <si>
    <t>0.8 mm Wave length shifting fiber (WLS) glued into solid scintillator grove</t>
  </si>
  <si>
    <t xml:space="preserve">Assembly </t>
  </si>
  <si>
    <t>Factory Cost</t>
  </si>
  <si>
    <t>M&amp;S</t>
  </si>
  <si>
    <t>SWF</t>
  </si>
  <si>
    <t>Roll-up of cost estimate from R.Schmidt</t>
  </si>
  <si>
    <t>Labor Estimate forInstallation and Leak Testing (man-hours)</t>
  </si>
  <si>
    <t>Cost of Labor for Installation and checkout</t>
  </si>
  <si>
    <t>Total Read-out Boxes</t>
  </si>
  <si>
    <t># of "planes" in detector as per design document</t>
  </si>
  <si>
    <t>Overall detector dimensions (as per current design documents)</t>
  </si>
  <si>
    <t>Detector Mass(kT) as per design</t>
  </si>
  <si>
    <t>liquid scintillator contained in a modular plastic extrusion</t>
  </si>
  <si>
    <t>extruded modules with 30 cell segmentation</t>
  </si>
  <si>
    <t>Volume of plastic (cubic m)</t>
  </si>
  <si>
    <t>Volume  to fill (cubic m)</t>
  </si>
  <si>
    <t>Outer wall thickness (m)</t>
  </si>
  <si>
    <t>Inner wall thickness(m)</t>
  </si>
  <si>
    <t># of cells</t>
  </si>
  <si>
    <t>density of PVC (g/cc)</t>
  </si>
  <si>
    <t>liquid scintillator (per cubic meter)</t>
  </si>
  <si>
    <t>VME front end boards</t>
  </si>
  <si>
    <t>Front End Power Supplies</t>
  </si>
  <si>
    <t>Data Concentrator</t>
  </si>
  <si>
    <t>Super Concentator</t>
  </si>
  <si>
    <t>Data Collectors</t>
  </si>
  <si>
    <t>VME Crates</t>
  </si>
  <si>
    <t>VME Power Supplies</t>
  </si>
  <si>
    <t>VME Timing modules</t>
  </si>
  <si>
    <t>TriggerProcessor</t>
  </si>
  <si>
    <t>FE-Data Concentrator</t>
  </si>
  <si>
    <t>DC-SC</t>
  </si>
  <si>
    <t>SC-Dcollector</t>
  </si>
  <si>
    <t>HV Labor (hrs/board)</t>
  </si>
  <si>
    <t>Total HV Factory Labor Hours</t>
  </si>
  <si>
    <t>width (feet)</t>
  </si>
  <si>
    <t>length (feet)</t>
  </si>
  <si>
    <t>Volume (cubic feet)</t>
  </si>
  <si>
    <t>Construction</t>
  </si>
  <si>
    <t>modular</t>
  </si>
  <si>
    <t>monolithic</t>
  </si>
  <si>
    <t>total number of modules</t>
  </si>
  <si>
    <t>arrangement</t>
  </si>
  <si>
    <t># of detector units per module</t>
  </si>
  <si>
    <t>75 "walls"; 16 modules per wall; stacked 8 high by 2 wide; each module contains 12 "detector units"</t>
  </si>
  <si>
    <t># of walls</t>
  </si>
  <si>
    <t>Absorber</t>
  </si>
  <si>
    <t>material</t>
  </si>
  <si>
    <t>particle board</t>
  </si>
  <si>
    <t>oriented strand board (OSB)</t>
  </si>
  <si>
    <t>density (g/cc)</t>
  </si>
  <si>
    <t>basic unit dimensions</t>
  </si>
  <si>
    <t>24' x 8' X 1"</t>
  </si>
  <si>
    <t>Power</t>
  </si>
  <si>
    <t>Timing System</t>
  </si>
  <si>
    <t># readout channels</t>
  </si>
  <si>
    <t># chips/plane</t>
  </si>
  <si>
    <t>Labor for Assembly &amp; Testing</t>
  </si>
  <si>
    <t>FEE Labor</t>
  </si>
  <si>
    <t>M&amp;S /SWF</t>
  </si>
  <si>
    <t>Cost per pound</t>
  </si>
  <si>
    <t>Cost per kg</t>
  </si>
  <si>
    <t>per modular unit to far site</t>
  </si>
  <si>
    <t xml:space="preserve">RPC's to RRA assembly site ($10 placeholder) </t>
  </si>
  <si>
    <t>RPC Shipping Cost</t>
  </si>
  <si>
    <t>M&amp;S Sum</t>
  </si>
  <si>
    <t>SWF Sum</t>
  </si>
  <si>
    <t>Total</t>
  </si>
  <si>
    <t>weight of box (tons)</t>
  </si>
  <si>
    <t># stacks per plane</t>
  </si>
  <si>
    <t>total # 8' x 24' per plane</t>
  </si>
  <si>
    <t># of detector units per stack</t>
  </si>
  <si>
    <t xml:space="preserve">PVC extrusion (per module) </t>
  </si>
  <si>
    <t>extruded plastic scintillator (per meter)</t>
  </si>
  <si>
    <t>RPC parts list(per sq m) (from Adam)</t>
  </si>
  <si>
    <t>manifolds,  connectors, end snouts, consumables (per module)</t>
  </si>
  <si>
    <t>Gas System</t>
  </si>
  <si>
    <t>Active Detector Readout</t>
  </si>
  <si>
    <t># channels per APD</t>
  </si>
  <si>
    <t># APDs/module</t>
  </si>
  <si>
    <t>APD Cost per channel</t>
  </si>
  <si>
    <t>Mass (kT) from Toasters</t>
  </si>
  <si>
    <t>weight of box + RRAs(Ktons)</t>
  </si>
  <si>
    <t>Assembly fixturing (per factory)</t>
  </si>
  <si>
    <t xml:space="preserve">M&amp;S </t>
  </si>
  <si>
    <t>Toaster Assembly (hrs)</t>
  </si>
  <si>
    <t># of tecnicians</t>
  </si>
  <si>
    <t>flat conductor</t>
  </si>
  <si>
    <t>dielectric</t>
  </si>
  <si>
    <t>z-phase glue</t>
  </si>
  <si>
    <t>glue</t>
  </si>
  <si>
    <t>Type of Labor</t>
  </si>
  <si>
    <t>Unit</t>
  </si>
  <si>
    <t>Read-out Board Assembly Technician</t>
  </si>
  <si>
    <t>Inst Type</t>
  </si>
  <si>
    <t>Univ</t>
  </si>
  <si>
    <t>CODE</t>
  </si>
  <si>
    <t>UT</t>
  </si>
  <si>
    <t>hr</t>
  </si>
  <si>
    <t>Flex Circuit (hours/plane)</t>
  </si>
  <si>
    <t>Install Cable (hours/plane)</t>
  </si>
  <si>
    <t>Install Spacer (hrs/plane)</t>
  </si>
  <si>
    <t>Read Out Board Assembly Cost</t>
  </si>
  <si>
    <t>Active Detector Systems</t>
  </si>
  <si>
    <t>2 glass plates are spaced and sealed to create a gas volume</t>
  </si>
  <si>
    <t>Factories</t>
  </si>
  <si>
    <t>Cost per basic unit</t>
  </si>
  <si>
    <t>density of liquid scintillator (g/cc)</t>
  </si>
  <si>
    <t xml:space="preserve">arrangement </t>
  </si>
  <si>
    <t>Volume (cubic meters)</t>
  </si>
  <si>
    <t xml:space="preserve">Basic Detector Raw Materials </t>
  </si>
  <si>
    <t xml:space="preserve">Active Detector Raw Materials </t>
  </si>
  <si>
    <t>Absorber Raw Material cost</t>
  </si>
  <si>
    <t>Detector planes interleaved in absorber sheets laminated into "stacks"; horizontal planes are stacked 6 high by 2 wide; vertical planes are stacke 1 high by 12 wide</t>
  </si>
  <si>
    <t>Active Detectors</t>
  </si>
  <si>
    <t>Basic Unit</t>
  </si>
  <si>
    <t>RPC chamber</t>
  </si>
  <si>
    <t>plastic scintillator strip</t>
  </si>
  <si>
    <t>dimensions</t>
  </si>
  <si>
    <t>laid in a double layer of 3's</t>
  </si>
  <si>
    <t># of basic units per detector unit</t>
  </si>
  <si>
    <t xml:space="preserve">C-W HV </t>
  </si>
  <si>
    <t xml:space="preserve">HV Labor </t>
  </si>
  <si>
    <t>Toaster Assembly</t>
  </si>
  <si>
    <t>Toaster Materials</t>
  </si>
  <si>
    <t># ASICs required</t>
  </si>
  <si>
    <t>FEE M&amp;S Cost</t>
  </si>
  <si>
    <t>Shipping</t>
  </si>
  <si>
    <t>Assembly at Far Site</t>
  </si>
  <si>
    <t>Installation</t>
  </si>
  <si>
    <t>Stack Construction</t>
  </si>
  <si>
    <t>Cross Section (square feet)</t>
  </si>
  <si>
    <t>Detector Unit</t>
  </si>
  <si>
    <t>RRA : 6RPC chambers btw 2 Read Out Boards</t>
  </si>
  <si>
    <t>module : 30 strips</t>
  </si>
  <si>
    <t>module : 30 unit extrusion</t>
  </si>
  <si>
    <t>Area (sq meter)</t>
  </si>
  <si>
    <t>height (m)</t>
  </si>
  <si>
    <t>width (m)</t>
  </si>
  <si>
    <t>Readout</t>
  </si>
  <si>
    <t>mass (kg)</t>
  </si>
  <si>
    <t>Total MASS of absorber  (kT)</t>
  </si>
  <si>
    <t>Volume (cubic m)</t>
  </si>
  <si>
    <t>Total MASS of Active detectors (kT)</t>
  </si>
  <si>
    <t>square feet</t>
  </si>
  <si>
    <t>Module Filling</t>
  </si>
  <si>
    <t>Shipping Cost</t>
  </si>
  <si>
    <t>floor space required (square feet)</t>
  </si>
  <si>
    <t>sq ft/year</t>
  </si>
  <si>
    <t>number of factories</t>
  </si>
  <si>
    <t># years production</t>
  </si>
  <si>
    <t>Cost of factory rental</t>
  </si>
  <si>
    <t>Assembly rates</t>
  </si>
  <si>
    <t># of work days per year</t>
  </si>
  <si>
    <t># chambers/hour</t>
  </si>
  <si>
    <t># shifts/day</t>
  </si>
  <si>
    <t># hours/shift</t>
  </si>
  <si>
    <t># chambers/year/factory</t>
  </si>
  <si>
    <t>Factory Labor</t>
  </si>
  <si>
    <t>technician/shift</t>
  </si>
  <si>
    <t>supervisors/shift</t>
  </si>
  <si>
    <t>RPC Assembly Technician</t>
  </si>
  <si>
    <t>module depth (feet)</t>
  </si>
  <si>
    <t>module depth (m)</t>
  </si>
  <si>
    <t>Spacing between modules (feet)</t>
  </si>
  <si>
    <t>stack thickness (inches)</t>
  </si>
  <si>
    <t># of "planes" which would achieve 50kT</t>
  </si>
  <si>
    <t>RPC Assembly Supervisor</t>
  </si>
  <si>
    <t>Module Assembly</t>
  </si>
  <si>
    <t>0.8 mm WLS "floating" in liquid scintillator</t>
  </si>
  <si>
    <t>solid ground planes</t>
  </si>
  <si>
    <t># protective boards/detector unit</t>
  </si>
  <si>
    <t># horizontal strips</t>
  </si>
  <si>
    <t># vertical strips</t>
  </si>
  <si>
    <t>Copper Foil Strips laminated standard absorber board; one verticl, one horizontal per detector unit; back sides of each covered with foil</t>
  </si>
  <si>
    <t>horizontal strip width (cm)</t>
  </si>
  <si>
    <t>verticle strip width (cm)</t>
  </si>
  <si>
    <t>Cu material for strips</t>
  </si>
  <si>
    <t>Total amoun of Cu required</t>
  </si>
  <si>
    <t>fiber in strips or extrusion</t>
  </si>
  <si>
    <t>fiber length for connection to apd</t>
  </si>
  <si>
    <t>Total length of fiber</t>
  </si>
  <si>
    <t>Cost of basic Read Out raw material</t>
  </si>
  <si>
    <t>Cu foil unit lamination cost</t>
  </si>
  <si>
    <t>Total lamination cost</t>
  </si>
  <si>
    <t>RPC</t>
  </si>
  <si>
    <t>Solid Scintillator</t>
  </si>
  <si>
    <t>Liquid Scintillator</t>
  </si>
  <si>
    <t>height (feet)</t>
  </si>
  <si>
    <t>circular grove cut in extrusion for fiber loop; strips are assembled into modules covered with skins; manifolds to connect fibers to photdetectors are attached</t>
  </si>
  <si>
    <t># of modular units</t>
  </si>
  <si>
    <t># modules/shift</t>
  </si>
  <si>
    <t># modules/year/factory</t>
  </si>
  <si>
    <t>C-W HV system</t>
  </si>
  <si>
    <t>M&amp;S Components/RRA</t>
  </si>
  <si>
    <t>M&amp;S Components/module</t>
  </si>
  <si>
    <t>M&amp;S Components per detector</t>
  </si>
  <si>
    <t>M&amp;S Components/chamber</t>
  </si>
  <si>
    <t>Mass of absorber per stack (kg)</t>
  </si>
  <si>
    <t>Solid (osb) 1" thick</t>
  </si>
  <si>
    <t>Liquid (osb) 1.125" thick</t>
  </si>
  <si>
    <t>Solid  (pb) 1" thick</t>
  </si>
  <si>
    <t>Liquid (pb) 1.125 " thick</t>
  </si>
  <si>
    <t>Mass per module (kg)</t>
  </si>
  <si>
    <t>Mass per stack (kg)</t>
  </si>
  <si>
    <t>Total Mass of a stack (kg)</t>
  </si>
  <si>
    <t>28' x 8' x 1"</t>
  </si>
  <si>
    <t>Cost</t>
  </si>
  <si>
    <t>thickness (inches)</t>
  </si>
  <si>
    <t>Arrangement</t>
  </si>
  <si>
    <t>unit</t>
  </si>
  <si>
    <t>module</t>
  </si>
  <si>
    <t>stack</t>
  </si>
  <si>
    <t># of end units</t>
  </si>
  <si>
    <t># boards/end unit</t>
  </si>
  <si>
    <t># readout boards/detector unit</t>
  </si>
  <si>
    <t># passive boards/detector unit</t>
  </si>
  <si>
    <t># of boards/module</t>
  </si>
  <si>
    <t># boards in detector</t>
  </si>
  <si>
    <t># 8'x24'</t>
  </si>
  <si>
    <t># 8'x12'</t>
  </si>
  <si>
    <t># 4'x24'</t>
  </si>
  <si>
    <t>total # 8' x 24' per stack</t>
  </si>
  <si>
    <t>Liquid Scintillator Plant</t>
  </si>
  <si>
    <t xml:space="preserve">Overall detector dimensions (50KT total mass of absorber plus active detector) </t>
  </si>
  <si>
    <t>Mass (kTon)</t>
  </si>
  <si>
    <t>Active Detector</t>
  </si>
  <si>
    <t>Readout and FEE</t>
  </si>
  <si>
    <t>Cost Summary (M&amp;S + SWF)</t>
  </si>
  <si>
    <t>Total Cost of APDs</t>
  </si>
  <si>
    <t># of APDs</t>
  </si>
  <si>
    <t># modules/RO Box</t>
  </si>
  <si>
    <t># RO Boxes</t>
  </si>
  <si>
    <t>C-R HV</t>
  </si>
  <si>
    <t>Boards and Components</t>
  </si>
  <si>
    <t>Custom ASIC</t>
  </si>
  <si>
    <t>Assembly and testing</t>
  </si>
  <si>
    <t>Boxes</t>
  </si>
  <si>
    <t>flex circuit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</si>
</sst>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#,##0.0"/>
    <numFmt numFmtId="168" formatCode="0.000"/>
    <numFmt numFmtId="169" formatCode="#,##0.000"/>
    <numFmt numFmtId="170" formatCode="#,##0.00;[Red]#,##0.00"/>
    <numFmt numFmtId="171" formatCode="0.00000"/>
    <numFmt numFmtId="172" formatCode="&quot;$&quot;#,##0.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12"/>
      <name val="Times"/>
      <family val="0"/>
    </font>
    <font>
      <b/>
      <sz val="14"/>
      <name val="Times"/>
      <family val="0"/>
    </font>
    <font>
      <b/>
      <sz val="18"/>
      <name val="Times"/>
      <family val="0"/>
    </font>
    <font>
      <sz val="18"/>
      <name val="Times"/>
      <family val="0"/>
    </font>
    <font>
      <sz val="14"/>
      <name val="Times"/>
      <family val="0"/>
    </font>
    <font>
      <sz val="10"/>
      <name val="Times"/>
      <family val="0"/>
    </font>
    <font>
      <sz val="8"/>
      <name val="Verdana"/>
      <family val="0"/>
    </font>
    <font>
      <b/>
      <i/>
      <sz val="12"/>
      <name val="Times"/>
      <family val="0"/>
    </font>
    <font>
      <sz val="12"/>
      <color indexed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1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3" fontId="4" fillId="1" borderId="0" xfId="0" applyNumberFormat="1" applyFont="1" applyFill="1" applyAlignment="1">
      <alignment wrapText="1"/>
    </xf>
    <xf numFmtId="164" fontId="4" fillId="1" borderId="0" xfId="0" applyNumberFormat="1" applyFont="1" applyFill="1" applyAlignment="1">
      <alignment wrapText="1"/>
    </xf>
    <xf numFmtId="164" fontId="4" fillId="0" borderId="0" xfId="0" applyNumberFormat="1" applyFont="1" applyAlignment="1">
      <alignment/>
    </xf>
    <xf numFmtId="0" fontId="0" fillId="1" borderId="0" xfId="0" applyFill="1" applyAlignment="1">
      <alignment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12" fillId="1" borderId="0" xfId="0" applyNumberFormat="1" applyFont="1" applyFill="1" applyAlignment="1">
      <alignment/>
    </xf>
    <xf numFmtId="0" fontId="15" fillId="0" borderId="0" xfId="0" applyFont="1" applyAlignment="1">
      <alignment horizontal="center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0" borderId="0" xfId="0" applyFont="1" applyFill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169" fontId="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 wrapText="1"/>
    </xf>
    <xf numFmtId="168" fontId="4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wrapText="1"/>
    </xf>
    <xf numFmtId="168" fontId="4" fillId="0" borderId="0" xfId="0" applyNumberFormat="1" applyFont="1" applyFill="1" applyAlignment="1">
      <alignment wrapText="1"/>
    </xf>
    <xf numFmtId="171" fontId="4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 wrapText="1"/>
    </xf>
    <xf numFmtId="171" fontId="4" fillId="0" borderId="0" xfId="0" applyNumberFormat="1" applyFont="1" applyFill="1" applyAlignment="1">
      <alignment wrapText="1"/>
    </xf>
    <xf numFmtId="171" fontId="12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9" fontId="4" fillId="0" borderId="0" xfId="0" applyNumberFormat="1" applyFont="1" applyAlignment="1">
      <alignment wrapText="1"/>
    </xf>
    <xf numFmtId="9" fontId="4" fillId="0" borderId="0" xfId="21" applyFont="1" applyAlignment="1">
      <alignment wrapText="1"/>
    </xf>
    <xf numFmtId="3" fontId="4" fillId="1" borderId="0" xfId="0" applyNumberFormat="1" applyFont="1" applyFill="1" applyAlignment="1">
      <alignment/>
    </xf>
    <xf numFmtId="0" fontId="4" fillId="1" borderId="0" xfId="0" applyFont="1" applyFill="1" applyAlignment="1">
      <alignment horizontal="right" wrapText="1"/>
    </xf>
    <xf numFmtId="165" fontId="4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workbookViewId="0" topLeftCell="A9">
      <selection activeCell="C23" sqref="C23"/>
    </sheetView>
  </sheetViews>
  <sheetFormatPr defaultColWidth="11.00390625" defaultRowHeight="27.75" customHeight="1"/>
  <cols>
    <col min="1" max="1" width="7.625" style="4" customWidth="1"/>
    <col min="2" max="2" width="17.75390625" style="4" customWidth="1"/>
    <col min="3" max="5" width="21.75390625" style="4" customWidth="1"/>
    <col min="6" max="6" width="10.75390625" style="4" customWidth="1"/>
    <col min="7" max="7" width="10.75390625" style="62" customWidth="1"/>
    <col min="8" max="8" width="10.75390625" style="59" customWidth="1"/>
    <col min="9" max="16384" width="10.75390625" style="4" customWidth="1"/>
  </cols>
  <sheetData>
    <row r="1" spans="1:8" s="3" customFormat="1" ht="36" customHeight="1">
      <c r="A1" s="26" t="s">
        <v>118</v>
      </c>
      <c r="C1" s="16" t="s">
        <v>244</v>
      </c>
      <c r="D1" s="16" t="s">
        <v>245</v>
      </c>
      <c r="E1" s="16" t="s">
        <v>246</v>
      </c>
      <c r="G1" s="61"/>
      <c r="H1" s="58"/>
    </row>
    <row r="2" ht="52.5" customHeight="1">
      <c r="B2" s="4" t="s">
        <v>69</v>
      </c>
    </row>
    <row r="3" spans="2:5" ht="21" customHeight="1">
      <c r="B3" s="5" t="s">
        <v>247</v>
      </c>
      <c r="C3" s="20">
        <v>64</v>
      </c>
      <c r="D3" s="20">
        <v>48</v>
      </c>
      <c r="E3" s="20">
        <v>48</v>
      </c>
    </row>
    <row r="4" spans="2:5" ht="21" customHeight="1">
      <c r="B4" s="5" t="s">
        <v>94</v>
      </c>
      <c r="C4" s="20">
        <v>56</v>
      </c>
      <c r="D4" s="20">
        <v>96</v>
      </c>
      <c r="E4" s="20">
        <v>96</v>
      </c>
    </row>
    <row r="5" spans="2:5" ht="21" customHeight="1">
      <c r="B5" s="5" t="s">
        <v>95</v>
      </c>
      <c r="C5" s="20">
        <f>(C16*C12)+(C12-1)*C17</f>
        <v>651.6037795275591</v>
      </c>
      <c r="D5" s="20">
        <f>(D20*D21)/12</f>
        <v>590</v>
      </c>
      <c r="E5" s="20">
        <f>(E20*E21)/12</f>
        <v>590</v>
      </c>
    </row>
    <row r="6" spans="2:5" ht="30" customHeight="1">
      <c r="B6" s="5" t="s">
        <v>190</v>
      </c>
      <c r="C6" s="20">
        <f>C3*C4</f>
        <v>3584</v>
      </c>
      <c r="D6" s="20">
        <f>D3*D4</f>
        <v>4608</v>
      </c>
      <c r="E6" s="20">
        <f>E3*E4</f>
        <v>4608</v>
      </c>
    </row>
    <row r="7" spans="2:5" ht="27.75" customHeight="1">
      <c r="B7" s="5" t="s">
        <v>96</v>
      </c>
      <c r="C7" s="20">
        <f>C3*C4*C5</f>
        <v>2335347.945826772</v>
      </c>
      <c r="D7" s="20">
        <f>D3*D4*D5</f>
        <v>2718720</v>
      </c>
      <c r="E7" s="20">
        <f>E3*E4*E5</f>
        <v>2718720</v>
      </c>
    </row>
    <row r="9" spans="2:5" ht="27.75" customHeight="1">
      <c r="B9" s="2" t="s">
        <v>97</v>
      </c>
      <c r="C9" s="4" t="s">
        <v>98</v>
      </c>
      <c r="D9" s="4" t="s">
        <v>99</v>
      </c>
      <c r="E9" s="4" t="s">
        <v>99</v>
      </c>
    </row>
    <row r="10" spans="2:3" ht="27.75" customHeight="1">
      <c r="B10" s="5" t="s">
        <v>100</v>
      </c>
      <c r="C10" s="4">
        <f>C13*C12</f>
        <v>1200</v>
      </c>
    </row>
    <row r="11" spans="2:5" ht="78.75" customHeight="1">
      <c r="B11" s="5" t="s">
        <v>101</v>
      </c>
      <c r="C11" s="4" t="s">
        <v>103</v>
      </c>
      <c r="D11" s="4" t="s">
        <v>172</v>
      </c>
      <c r="E11" s="4" t="s">
        <v>172</v>
      </c>
    </row>
    <row r="12" spans="2:5" ht="24.75" customHeight="1">
      <c r="B12" s="5" t="s">
        <v>104</v>
      </c>
      <c r="C12" s="4">
        <v>75</v>
      </c>
      <c r="D12" s="14"/>
      <c r="E12" s="14"/>
    </row>
    <row r="13" spans="2:5" ht="24.75" customHeight="1">
      <c r="B13" s="5" t="s">
        <v>21</v>
      </c>
      <c r="C13" s="4">
        <v>16</v>
      </c>
      <c r="D13" s="14"/>
      <c r="E13" s="14"/>
    </row>
    <row r="14" spans="2:5" ht="24.75" customHeight="1">
      <c r="B14" s="5" t="s">
        <v>102</v>
      </c>
      <c r="C14" s="4">
        <v>12</v>
      </c>
      <c r="D14" s="14"/>
      <c r="E14" s="14"/>
    </row>
    <row r="15" spans="2:5" ht="24.75" customHeight="1">
      <c r="B15" s="5" t="s">
        <v>222</v>
      </c>
      <c r="C15" s="4">
        <v>2.6</v>
      </c>
      <c r="D15" s="14"/>
      <c r="E15" s="14"/>
    </row>
    <row r="16" spans="2:5" ht="24.75" customHeight="1">
      <c r="B16" s="5" t="s">
        <v>221</v>
      </c>
      <c r="C16" s="22">
        <f>(C15*100/2.54)/12</f>
        <v>8.530183727034121</v>
      </c>
      <c r="D16" s="14"/>
      <c r="E16" s="14"/>
    </row>
    <row r="17" spans="2:5" ht="24.75" customHeight="1">
      <c r="B17" s="5" t="s">
        <v>223</v>
      </c>
      <c r="C17" s="22">
        <v>0.16</v>
      </c>
      <c r="D17" s="14"/>
      <c r="E17" s="14"/>
    </row>
    <row r="18" spans="2:5" ht="24.75" customHeight="1">
      <c r="B18" s="5" t="s">
        <v>130</v>
      </c>
      <c r="C18" s="40"/>
      <c r="D18" s="4">
        <v>2</v>
      </c>
      <c r="E18" s="4">
        <v>2</v>
      </c>
    </row>
    <row r="19" spans="2:5" ht="24.75" customHeight="1">
      <c r="B19" s="5" t="s">
        <v>128</v>
      </c>
      <c r="C19" s="40"/>
      <c r="D19" s="4">
        <v>12</v>
      </c>
      <c r="E19" s="4">
        <f>D19</f>
        <v>12</v>
      </c>
    </row>
    <row r="20" spans="2:5" ht="24.75" customHeight="1">
      <c r="B20" s="5" t="s">
        <v>224</v>
      </c>
      <c r="C20" s="40"/>
      <c r="D20" s="4">
        <v>8</v>
      </c>
      <c r="E20" s="4">
        <v>8</v>
      </c>
    </row>
    <row r="21" spans="2:5" ht="24.75" customHeight="1">
      <c r="B21" s="5" t="s">
        <v>68</v>
      </c>
      <c r="C21" s="4">
        <f>C12*C14</f>
        <v>900</v>
      </c>
      <c r="D21" s="4">
        <v>885</v>
      </c>
      <c r="E21" s="4">
        <v>885</v>
      </c>
    </row>
    <row r="22" spans="2:5" ht="24.75" customHeight="1">
      <c r="B22" s="5" t="s">
        <v>70</v>
      </c>
      <c r="C22" s="41">
        <f>C51+C82</f>
        <v>47.98186074713089</v>
      </c>
      <c r="D22" s="41">
        <f>D51+D82</f>
        <v>44.438388101111805</v>
      </c>
      <c r="E22" s="41">
        <f>E51+E82</f>
        <v>48.46508939071181</v>
      </c>
    </row>
    <row r="23" spans="2:5" ht="24.75" customHeight="1">
      <c r="B23" s="5" t="s">
        <v>225</v>
      </c>
      <c r="C23"/>
      <c r="D23" s="19">
        <f>(50/D22)*D21</f>
        <v>995.7606900438611</v>
      </c>
      <c r="E23" s="19">
        <f>(50/E22)*E21</f>
        <v>913.0283376405033</v>
      </c>
    </row>
    <row r="24" spans="1:2" ht="27.75" customHeight="1">
      <c r="A24" s="27"/>
      <c r="B24" s="12" t="s">
        <v>105</v>
      </c>
    </row>
    <row r="25" spans="2:5" ht="27.75" customHeight="1">
      <c r="B25" s="5" t="s">
        <v>106</v>
      </c>
      <c r="C25" s="4" t="s">
        <v>107</v>
      </c>
      <c r="D25" s="4" t="s">
        <v>108</v>
      </c>
      <c r="E25" s="4" t="s">
        <v>108</v>
      </c>
    </row>
    <row r="26" spans="2:5" ht="27.75" customHeight="1">
      <c r="B26" s="5" t="s">
        <v>109</v>
      </c>
      <c r="C26" s="4">
        <v>0.7</v>
      </c>
      <c r="D26" s="4">
        <v>0.65</v>
      </c>
      <c r="E26" s="4">
        <v>0.65</v>
      </c>
    </row>
    <row r="27" spans="2:5" ht="21" customHeight="1">
      <c r="B27" s="7" t="s">
        <v>110</v>
      </c>
      <c r="C27" s="5" t="s">
        <v>265</v>
      </c>
      <c r="D27" s="5" t="s">
        <v>111</v>
      </c>
      <c r="E27" s="5" t="s">
        <v>111</v>
      </c>
    </row>
    <row r="28" spans="2:5" ht="21" customHeight="1">
      <c r="B28" s="5" t="s">
        <v>94</v>
      </c>
      <c r="C28" s="5">
        <v>28</v>
      </c>
      <c r="D28" s="5">
        <v>24</v>
      </c>
      <c r="E28" s="5">
        <v>24</v>
      </c>
    </row>
    <row r="29" spans="2:5" ht="21" customHeight="1">
      <c r="B29" s="5" t="s">
        <v>247</v>
      </c>
      <c r="C29" s="5">
        <v>8</v>
      </c>
      <c r="D29" s="5">
        <v>8</v>
      </c>
      <c r="E29" s="5">
        <v>8</v>
      </c>
    </row>
    <row r="30" spans="2:5" ht="21" customHeight="1">
      <c r="B30" s="5" t="s">
        <v>267</v>
      </c>
      <c r="C30" s="5">
        <v>1</v>
      </c>
      <c r="D30" s="5">
        <v>1</v>
      </c>
      <c r="E30" s="5">
        <v>1</v>
      </c>
    </row>
    <row r="31" spans="2:5" ht="21" customHeight="1">
      <c r="B31" s="5" t="s">
        <v>199</v>
      </c>
      <c r="C31" s="21">
        <f>(C28*12*2.54*C29*12*2.54*C30*2.54)*C26/1000</f>
        <v>370.0067954688</v>
      </c>
      <c r="D31" s="21">
        <f>(D28*12*2.54*D29*12*2.54*D30*2.54)*D26/1000</f>
        <v>294.4952045568</v>
      </c>
      <c r="E31" s="21">
        <f>(E28*12*2.54*E29*12*2.54*E30*2.54)*E26/1000</f>
        <v>294.4952045568</v>
      </c>
    </row>
    <row r="32" spans="2:5" ht="21" customHeight="1">
      <c r="B32" s="5" t="s">
        <v>197</v>
      </c>
      <c r="C32" s="25">
        <f aca="true" t="shared" si="0" ref="C32:E33">C28*12*2.54/100</f>
        <v>8.5344</v>
      </c>
      <c r="D32" s="25">
        <f t="shared" si="0"/>
        <v>7.3152</v>
      </c>
      <c r="E32" s="25">
        <f t="shared" si="0"/>
        <v>7.3152</v>
      </c>
    </row>
    <row r="33" spans="2:5" ht="21" customHeight="1">
      <c r="B33" s="5" t="s">
        <v>196</v>
      </c>
      <c r="C33" s="25">
        <f t="shared" si="0"/>
        <v>2.4384</v>
      </c>
      <c r="D33" s="25">
        <f t="shared" si="0"/>
        <v>2.4384</v>
      </c>
      <c r="E33" s="25">
        <f t="shared" si="0"/>
        <v>2.4384</v>
      </c>
    </row>
    <row r="34" spans="2:5" ht="27.75" customHeight="1">
      <c r="B34" s="5" t="s">
        <v>119</v>
      </c>
      <c r="C34" s="4">
        <v>0.13</v>
      </c>
      <c r="D34" s="4">
        <v>0.14</v>
      </c>
      <c r="E34" s="4">
        <f>D34</f>
        <v>0.14</v>
      </c>
    </row>
    <row r="35" spans="2:5" ht="27.75" customHeight="1">
      <c r="B35" s="5" t="s">
        <v>120</v>
      </c>
      <c r="C35" s="6">
        <f>C34*2.22</f>
        <v>0.2886</v>
      </c>
      <c r="D35" s="6">
        <f>D34*2.22</f>
        <v>0.3108000000000001</v>
      </c>
      <c r="E35" s="6">
        <f>E34*2.22</f>
        <v>0.3108000000000001</v>
      </c>
    </row>
    <row r="36" spans="2:5" ht="27.75" customHeight="1">
      <c r="B36" s="9" t="s">
        <v>165</v>
      </c>
      <c r="C36" s="10">
        <f>((C28*12*2.54*C29*12*2.54*C30*2.54)*C26/1000)*C35</f>
        <v>106.78396117229569</v>
      </c>
      <c r="D36" s="10">
        <f>((D28*12*2.54*D29*12*2.54*D30*2.54)*D26/1000)*D35</f>
        <v>91.52910957625346</v>
      </c>
      <c r="E36" s="10">
        <f>((E28*12*2.54*E29*12*2.54*E30*2.54)*E26/1000)*E35</f>
        <v>91.52910957625346</v>
      </c>
    </row>
    <row r="37" ht="15.75" customHeight="1">
      <c r="B37" s="46" t="s">
        <v>268</v>
      </c>
    </row>
    <row r="38" spans="2:5" ht="27.75" customHeight="1">
      <c r="B38" s="5" t="s">
        <v>269</v>
      </c>
      <c r="C38" s="5" t="s">
        <v>270</v>
      </c>
      <c r="D38" s="5" t="s">
        <v>271</v>
      </c>
      <c r="E38" s="5" t="s">
        <v>271</v>
      </c>
    </row>
    <row r="39" spans="2:5" ht="27.75" customHeight="1">
      <c r="B39" s="5" t="s">
        <v>272</v>
      </c>
      <c r="C39" s="4">
        <v>2</v>
      </c>
      <c r="D39" s="14"/>
      <c r="E39" s="14"/>
    </row>
    <row r="40" spans="2:5" ht="27.75" customHeight="1">
      <c r="B40" s="5" t="s">
        <v>273</v>
      </c>
      <c r="C40" s="4">
        <v>3</v>
      </c>
      <c r="D40" s="14"/>
      <c r="E40" s="14"/>
    </row>
    <row r="41" spans="2:5" ht="27.75" customHeight="1">
      <c r="B41" s="5" t="s">
        <v>274</v>
      </c>
      <c r="C41" s="4">
        <v>2</v>
      </c>
      <c r="D41" s="14"/>
      <c r="E41" s="14"/>
    </row>
    <row r="42" spans="2:5" ht="27.75" customHeight="1">
      <c r="B42" s="5" t="s">
        <v>230</v>
      </c>
      <c r="C42" s="4">
        <v>2</v>
      </c>
      <c r="D42" s="14"/>
      <c r="E42" s="14"/>
    </row>
    <row r="43" spans="2:5" ht="27.75" customHeight="1">
      <c r="B43" s="5" t="s">
        <v>275</v>
      </c>
      <c r="C43" s="4">
        <v>4</v>
      </c>
      <c r="D43" s="14"/>
      <c r="E43" s="14"/>
    </row>
    <row r="44" spans="2:5" ht="27.75" customHeight="1">
      <c r="B44" s="5" t="s">
        <v>276</v>
      </c>
      <c r="C44" s="4">
        <f>(C39*C40)+(C41*C14)+(C42*C14)+(C43*(C14-1))</f>
        <v>98</v>
      </c>
      <c r="D44" s="14"/>
      <c r="E44" s="14"/>
    </row>
    <row r="45" spans="2:5" ht="27.75" customHeight="1">
      <c r="B45" s="5" t="s">
        <v>278</v>
      </c>
      <c r="C45" s="14"/>
      <c r="D45" s="15">
        <v>8</v>
      </c>
      <c r="E45" s="15">
        <v>8</v>
      </c>
    </row>
    <row r="46" spans="2:5" ht="27.75" customHeight="1">
      <c r="B46" s="5" t="s">
        <v>279</v>
      </c>
      <c r="C46" s="14"/>
      <c r="D46" s="15">
        <v>8</v>
      </c>
      <c r="E46" s="15">
        <v>8</v>
      </c>
    </row>
    <row r="47" spans="2:5" ht="27.75" customHeight="1">
      <c r="B47" s="5" t="s">
        <v>280</v>
      </c>
      <c r="C47" s="14"/>
      <c r="D47" s="15">
        <v>2</v>
      </c>
      <c r="E47" s="15">
        <v>2</v>
      </c>
    </row>
    <row r="48" spans="2:5" ht="27.75" customHeight="1">
      <c r="B48" s="5" t="s">
        <v>281</v>
      </c>
      <c r="C48" s="14"/>
      <c r="D48" s="15">
        <f>D45+0.5*D46+0.5*D47</f>
        <v>13</v>
      </c>
      <c r="E48" s="15">
        <f>E45+0.5*E46+0.5*E47</f>
        <v>13</v>
      </c>
    </row>
    <row r="49" spans="2:5" ht="27.75" customHeight="1">
      <c r="B49" s="5" t="s">
        <v>129</v>
      </c>
      <c r="C49" s="14"/>
      <c r="D49" s="15">
        <f>D48*D19</f>
        <v>156</v>
      </c>
      <c r="E49" s="15">
        <f>E48*E19</f>
        <v>156</v>
      </c>
    </row>
    <row r="50" spans="2:5" ht="27.75" customHeight="1">
      <c r="B50" s="5" t="s">
        <v>277</v>
      </c>
      <c r="C50" s="20">
        <f>C44*C10</f>
        <v>117600</v>
      </c>
      <c r="D50" s="20">
        <f>D49*D21</f>
        <v>138060</v>
      </c>
      <c r="E50" s="20">
        <f>E49*E21</f>
        <v>138060</v>
      </c>
    </row>
    <row r="51" spans="2:5" ht="27.75" customHeight="1">
      <c r="B51" s="5" t="s">
        <v>200</v>
      </c>
      <c r="C51" s="22">
        <f>C31*C50/1000000</f>
        <v>43.512799147130885</v>
      </c>
      <c r="D51" s="22">
        <f>D31*D50/1000000</f>
        <v>40.658007941111805</v>
      </c>
      <c r="E51" s="22">
        <f>E31*E50/1000000</f>
        <v>40.658007941111805</v>
      </c>
    </row>
    <row r="52" spans="1:5" ht="27.75" customHeight="1">
      <c r="A52" s="4" t="s">
        <v>62</v>
      </c>
      <c r="B52" s="3" t="s">
        <v>171</v>
      </c>
      <c r="C52" s="8">
        <f>C50*C36</f>
        <v>12557793.833861973</v>
      </c>
      <c r="D52" s="8">
        <f>D50*D36</f>
        <v>12636508.868097553</v>
      </c>
      <c r="E52" s="8">
        <f>E50*E36</f>
        <v>12636508.868097553</v>
      </c>
    </row>
    <row r="53" spans="1:2" ht="40.5" customHeight="1">
      <c r="A53" s="27"/>
      <c r="B53" s="12" t="s">
        <v>173</v>
      </c>
    </row>
    <row r="54" spans="2:5" ht="27.75" customHeight="1">
      <c r="B54" s="9" t="s">
        <v>174</v>
      </c>
      <c r="C54" s="4" t="s">
        <v>175</v>
      </c>
      <c r="D54" s="4" t="s">
        <v>176</v>
      </c>
      <c r="E54" s="4" t="s">
        <v>71</v>
      </c>
    </row>
    <row r="55" ht="19.5" customHeight="1">
      <c r="B55" s="7" t="s">
        <v>177</v>
      </c>
    </row>
    <row r="56" spans="2:5" ht="24" customHeight="1">
      <c r="B56" s="5" t="s">
        <v>18</v>
      </c>
      <c r="C56" s="4">
        <v>2.425</v>
      </c>
      <c r="D56" s="4">
        <v>14.4</v>
      </c>
      <c r="E56" s="4">
        <f>D56</f>
        <v>14.4</v>
      </c>
    </row>
    <row r="57" spans="2:5" ht="24" customHeight="1">
      <c r="B57" s="5" t="s">
        <v>197</v>
      </c>
      <c r="C57" s="4">
        <v>2.844</v>
      </c>
      <c r="D57" s="4">
        <v>0.04</v>
      </c>
      <c r="E57" s="4">
        <v>1.2</v>
      </c>
    </row>
    <row r="58" spans="2:5" ht="24" customHeight="1">
      <c r="B58" s="5" t="s">
        <v>19</v>
      </c>
      <c r="C58" s="4">
        <v>0.003</v>
      </c>
      <c r="D58" s="4">
        <v>0.01</v>
      </c>
      <c r="E58" s="4">
        <v>0.025</v>
      </c>
    </row>
    <row r="59" spans="2:5" ht="24" customHeight="1">
      <c r="B59" s="5" t="s">
        <v>20</v>
      </c>
      <c r="C59" s="4">
        <f>C56*C57</f>
        <v>6.896699999999999</v>
      </c>
      <c r="D59" s="4">
        <f>D56*D57</f>
        <v>0.5760000000000001</v>
      </c>
      <c r="E59" s="4">
        <f>E56*E57</f>
        <v>17.28</v>
      </c>
    </row>
    <row r="60" spans="2:5" ht="24" customHeight="1">
      <c r="B60" s="5" t="s">
        <v>201</v>
      </c>
      <c r="C60" s="4">
        <f>C56*C57*C58</f>
        <v>0.0206901</v>
      </c>
      <c r="D60" s="4">
        <f>D56*D57*D58</f>
        <v>0.00576</v>
      </c>
      <c r="E60" s="4">
        <f>E56*E57*E58</f>
        <v>0.43200000000000005</v>
      </c>
    </row>
    <row r="61" spans="2:5" ht="24" customHeight="1">
      <c r="B61" s="5" t="s">
        <v>77</v>
      </c>
      <c r="C61" s="14"/>
      <c r="D61" s="14"/>
      <c r="E61" s="4">
        <v>30</v>
      </c>
    </row>
    <row r="62" spans="2:5" ht="24" customHeight="1">
      <c r="B62" s="5" t="s">
        <v>75</v>
      </c>
      <c r="C62" s="14"/>
      <c r="D62" s="14"/>
      <c r="E62" s="4">
        <v>0.002</v>
      </c>
    </row>
    <row r="63" spans="2:5" ht="24" customHeight="1">
      <c r="B63" s="5" t="s">
        <v>76</v>
      </c>
      <c r="C63" s="14"/>
      <c r="D63" s="14"/>
      <c r="E63" s="4">
        <v>0.001</v>
      </c>
    </row>
    <row r="64" spans="2:5" ht="24" customHeight="1">
      <c r="B64" s="5" t="s">
        <v>73</v>
      </c>
      <c r="C64" s="14"/>
      <c r="D64" s="14"/>
      <c r="E64" s="4">
        <f>(E57*E62*2+(E58-(2*E62))*E62*2+(E61-1)*(E58-2*E62)*E63)*E56</f>
        <v>0.0790992</v>
      </c>
    </row>
    <row r="65" spans="2:5" ht="24" customHeight="1">
      <c r="B65" s="5" t="s">
        <v>74</v>
      </c>
      <c r="C65" s="14"/>
      <c r="D65" s="14"/>
      <c r="E65" s="4">
        <f>E60-E64</f>
        <v>0.35290080000000007</v>
      </c>
    </row>
    <row r="66" spans="2:5" ht="24" customHeight="1">
      <c r="B66" s="5" t="s">
        <v>109</v>
      </c>
      <c r="C66" s="4">
        <v>2.5</v>
      </c>
      <c r="D66" s="4">
        <v>1.03</v>
      </c>
      <c r="E66" s="14"/>
    </row>
    <row r="67" spans="2:5" ht="24" customHeight="1">
      <c r="B67" s="5" t="s">
        <v>166</v>
      </c>
      <c r="C67" s="14"/>
      <c r="D67" s="14"/>
      <c r="E67" s="4">
        <v>0.86</v>
      </c>
    </row>
    <row r="68" spans="2:5" ht="24" customHeight="1">
      <c r="B68" s="5" t="s">
        <v>78</v>
      </c>
      <c r="C68" s="14"/>
      <c r="D68" s="14"/>
      <c r="E68" s="22">
        <v>0.81</v>
      </c>
    </row>
    <row r="69" spans="2:5" ht="27.75" customHeight="1">
      <c r="B69" s="5" t="s">
        <v>199</v>
      </c>
      <c r="C69" s="22">
        <f>C60*C66*1000000/1000</f>
        <v>51.72525</v>
      </c>
      <c r="D69" s="22">
        <f>D60*D66*1000000/1000</f>
        <v>5.9328</v>
      </c>
      <c r="E69" s="22">
        <f>((E68*E64*1000000)+(E67*E65*1000000))/1000</f>
        <v>367.56504000000007</v>
      </c>
    </row>
    <row r="70" spans="2:5" ht="27.75" customHeight="1">
      <c r="B70" s="28" t="s">
        <v>167</v>
      </c>
      <c r="C70" s="4" t="s">
        <v>178</v>
      </c>
      <c r="D70" s="4" t="s">
        <v>54</v>
      </c>
      <c r="E70" s="4" t="s">
        <v>72</v>
      </c>
    </row>
    <row r="71" spans="2:5" ht="27.75" customHeight="1">
      <c r="B71" s="4" t="s">
        <v>179</v>
      </c>
      <c r="C71" s="20">
        <v>6</v>
      </c>
      <c r="D71" s="20">
        <v>30</v>
      </c>
      <c r="E71" s="20">
        <v>1</v>
      </c>
    </row>
    <row r="72" spans="2:5" ht="27.75" customHeight="1">
      <c r="B72" s="4" t="s">
        <v>55</v>
      </c>
      <c r="C72" s="20">
        <f>C71*C14*C10</f>
        <v>86400</v>
      </c>
      <c r="D72" s="20">
        <f>D71*D18*D19*D21</f>
        <v>637200</v>
      </c>
      <c r="E72" s="20">
        <f>E71*E18*E19*E21</f>
        <v>21240</v>
      </c>
    </row>
    <row r="73" spans="2:5" ht="27.75" customHeight="1">
      <c r="B73" s="4" t="s">
        <v>249</v>
      </c>
      <c r="C73" s="20">
        <f>C72/C71</f>
        <v>14400</v>
      </c>
      <c r="D73" s="20">
        <f>D72/D71</f>
        <v>21240</v>
      </c>
      <c r="E73" s="20">
        <f>E72/E71</f>
        <v>21240</v>
      </c>
    </row>
    <row r="74" spans="2:5" ht="27.75" customHeight="1">
      <c r="B74" s="4" t="s">
        <v>56</v>
      </c>
      <c r="C74" s="20">
        <f>C72*C59/2</f>
        <v>297937.43999999994</v>
      </c>
      <c r="D74" s="20">
        <f>D72*D59</f>
        <v>367027.20000000007</v>
      </c>
      <c r="E74" s="20">
        <f>E72*E59</f>
        <v>367027.2</v>
      </c>
    </row>
    <row r="75" spans="2:5" ht="27.75" customHeight="1">
      <c r="B75" s="24" t="s">
        <v>191</v>
      </c>
      <c r="C75" s="4" t="s">
        <v>192</v>
      </c>
      <c r="D75" s="4" t="s">
        <v>193</v>
      </c>
      <c r="E75" s="4" t="s">
        <v>194</v>
      </c>
    </row>
    <row r="76" ht="18" customHeight="1">
      <c r="B76" s="7" t="s">
        <v>177</v>
      </c>
    </row>
    <row r="77" spans="2:5" ht="27.75" customHeight="1">
      <c r="B77" s="5" t="s">
        <v>196</v>
      </c>
      <c r="C77" s="42">
        <f>C29*12*2.54/100</f>
        <v>2.4384</v>
      </c>
      <c r="D77" s="42">
        <f>D71*D57</f>
        <v>1.2</v>
      </c>
      <c r="E77" s="42">
        <v>1.2</v>
      </c>
    </row>
    <row r="78" spans="2:5" ht="27.75" customHeight="1">
      <c r="B78" s="5" t="s">
        <v>197</v>
      </c>
      <c r="C78" s="42">
        <f>C28*12*2.54/100</f>
        <v>8.5344</v>
      </c>
      <c r="D78" s="42">
        <f>D56</f>
        <v>14.4</v>
      </c>
      <c r="E78" s="42">
        <f>E56</f>
        <v>14.4</v>
      </c>
    </row>
    <row r="79" spans="2:5" ht="27.75" customHeight="1">
      <c r="B79" s="5" t="s">
        <v>195</v>
      </c>
      <c r="C79" s="42">
        <f>C77*C78</f>
        <v>20.81028096</v>
      </c>
      <c r="D79" s="42">
        <f>D78*D77</f>
        <v>17.28</v>
      </c>
      <c r="E79" s="42">
        <f>E78*E77</f>
        <v>17.28</v>
      </c>
    </row>
    <row r="80" spans="2:5" ht="27.75" customHeight="1">
      <c r="B80" s="5" t="s">
        <v>168</v>
      </c>
      <c r="C80" s="37"/>
      <c r="D80" s="37"/>
      <c r="E80" s="20">
        <f>E65*E72</f>
        <v>7495.612992000001</v>
      </c>
    </row>
    <row r="81" spans="2:5" ht="27.75" customHeight="1">
      <c r="B81" s="5" t="s">
        <v>114</v>
      </c>
      <c r="C81" s="43">
        <f>C73*(C111+C113)</f>
        <v>3686400</v>
      </c>
      <c r="D81" s="43">
        <f>D71*D73*2</f>
        <v>1274400</v>
      </c>
      <c r="E81" s="43">
        <f>E72*E61*2</f>
        <v>1274400</v>
      </c>
    </row>
    <row r="82" spans="2:5" ht="27.75" customHeight="1">
      <c r="B82" s="5" t="s">
        <v>202</v>
      </c>
      <c r="C82" s="23">
        <f>C69*C72/1000000</f>
        <v>4.469061600000001</v>
      </c>
      <c r="D82" s="23">
        <f>D69*D72/1000000</f>
        <v>3.78038016</v>
      </c>
      <c r="E82" s="23">
        <f>E69*E72/1000000</f>
        <v>7.807081449600002</v>
      </c>
    </row>
    <row r="83" spans="2:5" ht="27.75" customHeight="1">
      <c r="B83" s="7" t="s">
        <v>169</v>
      </c>
      <c r="E83" s="13"/>
    </row>
    <row r="84" spans="2:5" ht="27.75" customHeight="1">
      <c r="B84" s="5" t="s">
        <v>133</v>
      </c>
      <c r="C84" s="8">
        <v>25.5</v>
      </c>
      <c r="D84" s="38"/>
      <c r="E84" s="38"/>
    </row>
    <row r="85" spans="2:5" ht="27.75" customHeight="1">
      <c r="B85" s="5" t="s">
        <v>132</v>
      </c>
      <c r="C85" s="38"/>
      <c r="D85" s="13">
        <v>3.31</v>
      </c>
      <c r="E85" s="38"/>
    </row>
    <row r="86" spans="2:5" ht="54.75" customHeight="1">
      <c r="B86" s="5" t="s">
        <v>17</v>
      </c>
      <c r="C86" s="38"/>
      <c r="D86" s="8">
        <v>430</v>
      </c>
      <c r="E86" s="38"/>
    </row>
    <row r="87" spans="2:5" ht="33" customHeight="1">
      <c r="B87" s="5" t="s">
        <v>79</v>
      </c>
      <c r="C87" s="38"/>
      <c r="D87" s="38"/>
      <c r="E87" s="39">
        <f>1.15*1000</f>
        <v>1150</v>
      </c>
    </row>
    <row r="88" spans="2:5" ht="42" customHeight="1">
      <c r="B88" s="5" t="s">
        <v>131</v>
      </c>
      <c r="C88" s="38"/>
      <c r="D88" s="38"/>
      <c r="E88" s="35">
        <v>211</v>
      </c>
    </row>
    <row r="89" spans="2:5" ht="40.5" customHeight="1">
      <c r="B89" s="5" t="s">
        <v>134</v>
      </c>
      <c r="C89" s="38"/>
      <c r="D89" s="38"/>
      <c r="E89" s="8">
        <v>275</v>
      </c>
    </row>
    <row r="90" spans="1:5" ht="27.75" customHeight="1">
      <c r="A90" s="4" t="s">
        <v>62</v>
      </c>
      <c r="B90" s="4" t="s">
        <v>170</v>
      </c>
      <c r="C90" s="13">
        <f>C59*C72*C84</f>
        <v>15194809.439999998</v>
      </c>
      <c r="D90" s="13">
        <f>(D56*D72*D85)+D86*D73</f>
        <v>39504700.8</v>
      </c>
      <c r="E90" s="13">
        <f>E87*E80+E88*E73+E89*E73</f>
        <v>18942594.940800004</v>
      </c>
    </row>
    <row r="91" spans="2:8" s="15" customFormat="1" ht="64.5" customHeight="1">
      <c r="B91" s="47" t="s">
        <v>44</v>
      </c>
      <c r="C91" s="48" t="s">
        <v>163</v>
      </c>
      <c r="D91" s="48" t="s">
        <v>248</v>
      </c>
      <c r="E91" s="48" t="s">
        <v>43</v>
      </c>
      <c r="G91" s="63"/>
      <c r="H91" s="60"/>
    </row>
    <row r="92" spans="2:8" s="15" customFormat="1" ht="18" customHeight="1">
      <c r="B92" s="32" t="s">
        <v>164</v>
      </c>
      <c r="G92" s="63"/>
      <c r="H92" s="60"/>
    </row>
    <row r="93" spans="2:8" s="15" customFormat="1" ht="24" customHeight="1">
      <c r="B93" s="31" t="s">
        <v>206</v>
      </c>
      <c r="C93" s="15">
        <v>5000</v>
      </c>
      <c r="G93" s="63"/>
      <c r="H93" s="60"/>
    </row>
    <row r="94" spans="2:8" s="15" customFormat="1" ht="24" customHeight="1">
      <c r="B94" s="31" t="s">
        <v>208</v>
      </c>
      <c r="C94" s="15">
        <v>4</v>
      </c>
      <c r="D94" s="15">
        <v>3</v>
      </c>
      <c r="E94" s="15">
        <v>3</v>
      </c>
      <c r="G94" s="63"/>
      <c r="H94" s="60"/>
    </row>
    <row r="95" spans="2:8" s="15" customFormat="1" ht="24" customHeight="1">
      <c r="B95" s="31" t="s">
        <v>209</v>
      </c>
      <c r="C95" s="34">
        <f>(C72/C102)/C94</f>
        <v>4.090909090909091</v>
      </c>
      <c r="D95" s="34">
        <f>(D73/D103)/D94</f>
        <v>4.0227272727272725</v>
      </c>
      <c r="E95" s="34">
        <f>(E73/E103)/E94</f>
        <v>4.0227272727272725</v>
      </c>
      <c r="G95" s="63"/>
      <c r="H95" s="60"/>
    </row>
    <row r="96" spans="1:8" s="15" customFormat="1" ht="24" customHeight="1">
      <c r="A96" s="15" t="s">
        <v>62</v>
      </c>
      <c r="B96" s="31" t="s">
        <v>210</v>
      </c>
      <c r="C96" s="35">
        <f>C94*C95*C93*MiscellaneousRates!B2</f>
        <v>1329545.4545454546</v>
      </c>
      <c r="D96" s="35">
        <f>D94*D95*MiscellaneousRates!B4</f>
        <v>482727.27272727265</v>
      </c>
      <c r="E96" s="57">
        <f>E94*E95*MiscellaneousRates!B4</f>
        <v>482727.27272727265</v>
      </c>
      <c r="G96" s="63"/>
      <c r="H96" s="60"/>
    </row>
    <row r="97" spans="1:8" s="15" customFormat="1" ht="24" customHeight="1">
      <c r="A97" s="15" t="s">
        <v>62</v>
      </c>
      <c r="B97" s="31" t="s">
        <v>50</v>
      </c>
      <c r="C97" s="35">
        <v>400000</v>
      </c>
      <c r="D97" s="35">
        <v>648000</v>
      </c>
      <c r="E97" s="57">
        <v>100000</v>
      </c>
      <c r="G97" s="63"/>
      <c r="H97" s="60"/>
    </row>
    <row r="98" spans="2:8" s="15" customFormat="1" ht="15.75" customHeight="1">
      <c r="B98" s="33" t="s">
        <v>211</v>
      </c>
      <c r="G98" s="63"/>
      <c r="H98" s="60"/>
    </row>
    <row r="99" spans="2:8" s="15" customFormat="1" ht="24" customHeight="1">
      <c r="B99" s="31" t="s">
        <v>213</v>
      </c>
      <c r="C99" s="15">
        <v>2</v>
      </c>
      <c r="D99" s="14"/>
      <c r="E99" s="14"/>
      <c r="G99" s="63"/>
      <c r="H99" s="60"/>
    </row>
    <row r="100" spans="2:8" s="15" customFormat="1" ht="24" customHeight="1">
      <c r="B100" s="31" t="s">
        <v>250</v>
      </c>
      <c r="C100" s="14"/>
      <c r="D100" s="15">
        <v>4</v>
      </c>
      <c r="E100" s="52">
        <v>8</v>
      </c>
      <c r="G100" s="63"/>
      <c r="H100" s="60"/>
    </row>
    <row r="101" spans="2:8" s="15" customFormat="1" ht="24" customHeight="1">
      <c r="B101" s="31" t="s">
        <v>214</v>
      </c>
      <c r="C101" s="15">
        <v>2</v>
      </c>
      <c r="D101" s="15">
        <v>2</v>
      </c>
      <c r="E101" s="52">
        <v>1</v>
      </c>
      <c r="G101" s="63"/>
      <c r="H101" s="60"/>
    </row>
    <row r="102" spans="2:8" s="15" customFormat="1" ht="24" customHeight="1">
      <c r="B102" s="31" t="s">
        <v>216</v>
      </c>
      <c r="C102" s="15">
        <f>C99*C101*MiscellaneousRates!B8*MiscellaneousRates!B6</f>
        <v>5280</v>
      </c>
      <c r="D102" s="14"/>
      <c r="E102" s="14"/>
      <c r="G102" s="63"/>
      <c r="H102" s="60"/>
    </row>
    <row r="103" spans="2:8" s="15" customFormat="1" ht="24" customHeight="1">
      <c r="B103" s="31" t="s">
        <v>251</v>
      </c>
      <c r="C103" s="14"/>
      <c r="D103" s="15">
        <f>D100*D101*MiscellaneousRates!B6</f>
        <v>1760</v>
      </c>
      <c r="E103" s="15">
        <f>E100*E101*MiscellaneousRates!$B$6</f>
        <v>1760</v>
      </c>
      <c r="G103" s="63"/>
      <c r="H103" s="60"/>
    </row>
    <row r="104" spans="2:8" s="15" customFormat="1" ht="18" customHeight="1">
      <c r="B104" s="33" t="s">
        <v>217</v>
      </c>
      <c r="G104" s="63"/>
      <c r="H104" s="60"/>
    </row>
    <row r="105" spans="2:8" s="15" customFormat="1" ht="24" customHeight="1">
      <c r="B105" s="31" t="s">
        <v>218</v>
      </c>
      <c r="C105" s="15">
        <v>8</v>
      </c>
      <c r="D105" s="15">
        <v>7</v>
      </c>
      <c r="E105" s="15">
        <v>5</v>
      </c>
      <c r="G105" s="63"/>
      <c r="H105" s="60"/>
    </row>
    <row r="106" spans="2:8" s="15" customFormat="1" ht="24" customHeight="1">
      <c r="B106" s="31" t="s">
        <v>219</v>
      </c>
      <c r="C106" s="15">
        <v>1</v>
      </c>
      <c r="D106" s="15">
        <v>1</v>
      </c>
      <c r="E106" s="15">
        <v>1</v>
      </c>
      <c r="G106" s="63"/>
      <c r="H106" s="60"/>
    </row>
    <row r="107" spans="1:8" s="15" customFormat="1" ht="24" customHeight="1">
      <c r="A107" s="15" t="s">
        <v>63</v>
      </c>
      <c r="B107" s="31" t="s">
        <v>45</v>
      </c>
      <c r="C107" s="35">
        <f>(C105*LaborRates!E3+C106*LaborRates!E4)*C101*MiscellaneousRates!B6*MiscellaneousRates!B8*C94*C95</f>
        <v>10152000</v>
      </c>
      <c r="D107" s="35">
        <f>(D105*LaborRates!E3+D106*LaborRates!E4)*D101*MiscellaneousRates!B6*MiscellaneousRates!B8*D94*D95</f>
        <v>6690600</v>
      </c>
      <c r="E107" s="35">
        <f>(E105*LaborRates!F3+E106*LaborRates!E4)*E101*MiscellaneousRates!B6*MiscellaneousRates!B8*E94*E95</f>
        <v>557550</v>
      </c>
      <c r="G107" s="63"/>
      <c r="H107" s="60"/>
    </row>
    <row r="108" spans="1:5" ht="63.75" customHeight="1">
      <c r="A108" s="2"/>
      <c r="B108" s="26" t="s">
        <v>198</v>
      </c>
      <c r="C108" s="4" t="s">
        <v>233</v>
      </c>
      <c r="D108" s="4" t="s">
        <v>59</v>
      </c>
      <c r="E108" s="4" t="s">
        <v>228</v>
      </c>
    </row>
    <row r="109" spans="2:5" ht="27.75" customHeight="1">
      <c r="B109" s="5" t="s">
        <v>269</v>
      </c>
      <c r="C109" s="5" t="s">
        <v>203</v>
      </c>
      <c r="D109" s="5" t="s">
        <v>58</v>
      </c>
      <c r="E109" s="5" t="s">
        <v>58</v>
      </c>
    </row>
    <row r="110" spans="2:5" ht="27.75" customHeight="1">
      <c r="B110" s="5" t="s">
        <v>229</v>
      </c>
      <c r="C110" s="20">
        <f>C28*C29*C41*C14*C10</f>
        <v>6451200</v>
      </c>
      <c r="D110" s="14"/>
      <c r="E110" s="14"/>
    </row>
    <row r="111" spans="2:5" ht="27.75" customHeight="1">
      <c r="B111" s="5" t="s">
        <v>231</v>
      </c>
      <c r="C111" s="4">
        <v>64</v>
      </c>
      <c r="D111" s="14"/>
      <c r="E111" s="14"/>
    </row>
    <row r="112" spans="2:5" ht="27.75" customHeight="1">
      <c r="B112" s="5" t="s">
        <v>234</v>
      </c>
      <c r="C112" s="4">
        <v>3.7</v>
      </c>
      <c r="D112" s="14"/>
      <c r="E112" s="14"/>
    </row>
    <row r="113" spans="2:5" ht="27.75" customHeight="1">
      <c r="B113" s="5" t="s">
        <v>232</v>
      </c>
      <c r="C113" s="4">
        <v>192</v>
      </c>
      <c r="D113" s="14"/>
      <c r="E113" s="14"/>
    </row>
    <row r="114" spans="2:5" ht="27.75" customHeight="1">
      <c r="B114" s="5" t="s">
        <v>235</v>
      </c>
      <c r="C114" s="4">
        <v>4.34</v>
      </c>
      <c r="D114" s="14"/>
      <c r="E114" s="14"/>
    </row>
    <row r="115" spans="2:5" ht="27.75" customHeight="1">
      <c r="B115" s="5" t="s">
        <v>236</v>
      </c>
      <c r="C115" s="20">
        <f>C110</f>
        <v>6451200</v>
      </c>
      <c r="D115" s="14"/>
      <c r="E115" s="14"/>
    </row>
    <row r="116" spans="2:5" ht="27.75" customHeight="1">
      <c r="B116" s="4" t="s">
        <v>237</v>
      </c>
      <c r="C116" s="20">
        <f>C115+C110</f>
        <v>12902400</v>
      </c>
      <c r="D116" s="14"/>
      <c r="E116" s="14"/>
    </row>
    <row r="117" spans="2:5" ht="27.75" customHeight="1">
      <c r="B117" s="4" t="s">
        <v>238</v>
      </c>
      <c r="C117" s="14"/>
      <c r="D117" s="20">
        <f>D72*D56*2</f>
        <v>18351360</v>
      </c>
      <c r="E117" s="20">
        <f>E72*E56*E61*2</f>
        <v>18351360</v>
      </c>
    </row>
    <row r="118" spans="2:5" ht="27.75" customHeight="1">
      <c r="B118" s="4" t="s">
        <v>239</v>
      </c>
      <c r="C118" s="14"/>
      <c r="D118" s="20">
        <v>1</v>
      </c>
      <c r="E118" s="20">
        <v>1</v>
      </c>
    </row>
    <row r="119" spans="2:5" ht="27.75" customHeight="1">
      <c r="B119" s="4" t="s">
        <v>240</v>
      </c>
      <c r="C119" s="14"/>
      <c r="D119" s="20">
        <f>D117+2*D118*D72</f>
        <v>19625760</v>
      </c>
      <c r="E119" s="20">
        <f>E117+2*E118*E72</f>
        <v>18393840</v>
      </c>
    </row>
    <row r="120" spans="2:5" ht="27.75" customHeight="1">
      <c r="B120" s="4" t="s">
        <v>46</v>
      </c>
      <c r="C120" s="13">
        <v>0.15</v>
      </c>
      <c r="D120" s="13">
        <v>0.56</v>
      </c>
      <c r="E120" s="13">
        <v>0.56</v>
      </c>
    </row>
    <row r="121" spans="2:5" ht="27.75" customHeight="1">
      <c r="B121" s="4" t="s">
        <v>242</v>
      </c>
      <c r="C121" s="13">
        <v>0.3</v>
      </c>
      <c r="D121" s="38"/>
      <c r="E121" s="38"/>
    </row>
    <row r="122" spans="2:5" ht="19.5" customHeight="1">
      <c r="B122" s="18" t="s">
        <v>48</v>
      </c>
      <c r="C122" s="13"/>
      <c r="D122" s="38"/>
      <c r="E122" s="38"/>
    </row>
    <row r="123" spans="2:5" ht="27.75" customHeight="1">
      <c r="B123" s="4" t="s">
        <v>241</v>
      </c>
      <c r="C123" s="8">
        <f>C120*C116</f>
        <v>1935360</v>
      </c>
      <c r="D123" s="8">
        <f>D120*D119</f>
        <v>10990425.600000001</v>
      </c>
      <c r="E123" s="8">
        <f>E120*E119</f>
        <v>10300550.4</v>
      </c>
    </row>
    <row r="124" spans="2:5" ht="27.75" customHeight="1">
      <c r="B124" s="4" t="s">
        <v>243</v>
      </c>
      <c r="C124" s="8">
        <f>C121*C116</f>
        <v>3870720</v>
      </c>
      <c r="D124" s="14"/>
      <c r="E124" s="14"/>
    </row>
    <row r="125" spans="2:5" ht="27.75" customHeight="1">
      <c r="B125" s="29" t="s">
        <v>297</v>
      </c>
      <c r="C125" s="8">
        <v>1150000</v>
      </c>
      <c r="D125" s="14"/>
      <c r="E125" s="14"/>
    </row>
    <row r="126" spans="2:5" ht="27.75" customHeight="1">
      <c r="B126" s="29" t="s">
        <v>146</v>
      </c>
      <c r="C126" s="8">
        <v>1440000</v>
      </c>
      <c r="D126" s="14"/>
      <c r="E126" s="14"/>
    </row>
    <row r="127" spans="2:5" ht="27.75" customHeight="1">
      <c r="B127" s="29" t="s">
        <v>147</v>
      </c>
      <c r="C127" s="8">
        <v>40000</v>
      </c>
      <c r="D127" s="14"/>
      <c r="E127" s="14"/>
    </row>
    <row r="128" spans="2:5" ht="27.75" customHeight="1">
      <c r="B128" s="29" t="s">
        <v>148</v>
      </c>
      <c r="C128" s="8">
        <v>260000</v>
      </c>
      <c r="D128" s="14"/>
      <c r="E128" s="14"/>
    </row>
    <row r="129" spans="2:5" ht="27.75" customHeight="1">
      <c r="B129" s="29" t="s">
        <v>149</v>
      </c>
      <c r="C129" s="14"/>
      <c r="D129"/>
      <c r="E129" s="14"/>
    </row>
    <row r="130" spans="1:5" ht="27.75" customHeight="1">
      <c r="A130" s="4" t="s">
        <v>62</v>
      </c>
      <c r="B130" s="4" t="s">
        <v>47</v>
      </c>
      <c r="C130" s="8">
        <f>SUM(C123:C129)</f>
        <v>8696080</v>
      </c>
      <c r="D130" s="8">
        <f>SUM(D123:D129)</f>
        <v>10990425.600000001</v>
      </c>
      <c r="E130" s="8">
        <f>SUM(E123:E129)</f>
        <v>10300550.4</v>
      </c>
    </row>
    <row r="131" spans="2:5" ht="16.5" customHeight="1">
      <c r="B131" s="18" t="s">
        <v>60</v>
      </c>
      <c r="C131" s="8"/>
      <c r="D131" s="38"/>
      <c r="E131" s="38"/>
    </row>
    <row r="132" spans="2:5" ht="27.75" customHeight="1">
      <c r="B132" s="5" t="s">
        <v>158</v>
      </c>
      <c r="C132" s="20">
        <v>2</v>
      </c>
      <c r="D132" s="38"/>
      <c r="E132" s="38"/>
    </row>
    <row r="133" spans="2:5" ht="27.75" customHeight="1">
      <c r="B133" s="5" t="s">
        <v>159</v>
      </c>
      <c r="C133" s="20">
        <v>2</v>
      </c>
      <c r="D133" s="38"/>
      <c r="E133" s="38"/>
    </row>
    <row r="134" spans="2:5" ht="27.75" customHeight="1">
      <c r="B134" s="5" t="s">
        <v>160</v>
      </c>
      <c r="C134" s="20">
        <v>2</v>
      </c>
      <c r="D134" s="38"/>
      <c r="E134" s="38"/>
    </row>
    <row r="135" spans="1:5" ht="27.75" customHeight="1">
      <c r="A135" s="4" t="s">
        <v>63</v>
      </c>
      <c r="B135" s="4" t="s">
        <v>161</v>
      </c>
      <c r="C135" s="8">
        <f>(C132+C133+C134)*C14*C10*LaborRates!E2</f>
        <v>2160000</v>
      </c>
      <c r="D135" s="38"/>
      <c r="E135" s="38"/>
    </row>
    <row r="136" spans="2:8" s="15" customFormat="1" ht="52.5" customHeight="1">
      <c r="B136" s="36" t="s">
        <v>227</v>
      </c>
      <c r="C136" s="15" t="s">
        <v>49</v>
      </c>
      <c r="D136" s="14"/>
      <c r="E136" s="14"/>
      <c r="G136" s="63"/>
      <c r="H136" s="60"/>
    </row>
    <row r="137" spans="2:8" s="15" customFormat="1" ht="21" customHeight="1">
      <c r="B137" s="33" t="s">
        <v>164</v>
      </c>
      <c r="D137" s="14"/>
      <c r="E137" s="14"/>
      <c r="G137" s="63"/>
      <c r="H137" s="60"/>
    </row>
    <row r="138" spans="2:8" s="15" customFormat="1" ht="27" customHeight="1">
      <c r="B138" s="31" t="s">
        <v>3</v>
      </c>
      <c r="C138" s="15">
        <v>2</v>
      </c>
      <c r="D138" s="14"/>
      <c r="E138" s="14"/>
      <c r="G138" s="63"/>
      <c r="H138" s="60"/>
    </row>
    <row r="139" spans="2:8" s="15" customFormat="1" ht="27" customHeight="1">
      <c r="B139" s="31" t="s">
        <v>4</v>
      </c>
      <c r="C139" s="35">
        <v>375000</v>
      </c>
      <c r="D139" s="14"/>
      <c r="E139" s="14"/>
      <c r="G139" s="63"/>
      <c r="H139" s="60"/>
    </row>
    <row r="140" spans="2:8" s="15" customFormat="1" ht="27" customHeight="1">
      <c r="B140" s="31" t="s">
        <v>5</v>
      </c>
      <c r="C140" s="35">
        <v>40000</v>
      </c>
      <c r="D140" s="14"/>
      <c r="E140" s="14"/>
      <c r="G140" s="63"/>
      <c r="H140" s="60"/>
    </row>
    <row r="141" spans="2:8" s="15" customFormat="1" ht="21.75" customHeight="1">
      <c r="B141" s="31" t="s">
        <v>6</v>
      </c>
      <c r="C141" s="34">
        <f>C95</f>
        <v>4.090909090909091</v>
      </c>
      <c r="D141" s="14"/>
      <c r="E141" s="14"/>
      <c r="G141" s="63"/>
      <c r="H141" s="60"/>
    </row>
    <row r="142" spans="1:8" s="15" customFormat="1" ht="21.75" customHeight="1">
      <c r="A142" s="15" t="s">
        <v>62</v>
      </c>
      <c r="B142" s="31" t="s">
        <v>61</v>
      </c>
      <c r="C142" s="35">
        <f>C138*C139+C141*C140</f>
        <v>913636.3636363636</v>
      </c>
      <c r="D142" s="14"/>
      <c r="E142" s="14"/>
      <c r="G142" s="63"/>
      <c r="H142" s="60"/>
    </row>
    <row r="143" spans="2:8" s="15" customFormat="1" ht="39.75" customHeight="1">
      <c r="B143" s="33" t="s">
        <v>13</v>
      </c>
      <c r="D143" s="14"/>
      <c r="E143" s="14"/>
      <c r="G143" s="63"/>
      <c r="H143" s="60"/>
    </row>
    <row r="144" spans="2:8" s="15" customFormat="1" ht="25.5" customHeight="1">
      <c r="B144" s="31" t="s">
        <v>11</v>
      </c>
      <c r="C144" s="15">
        <v>12</v>
      </c>
      <c r="D144" s="14"/>
      <c r="E144" s="14"/>
      <c r="G144" s="63"/>
      <c r="H144" s="60"/>
    </row>
    <row r="145" spans="2:8" s="15" customFormat="1" ht="25.5" customHeight="1">
      <c r="B145" s="31" t="s">
        <v>12</v>
      </c>
      <c r="C145" s="15">
        <v>240</v>
      </c>
      <c r="D145" s="14"/>
      <c r="E145" s="14"/>
      <c r="G145" s="63"/>
      <c r="H145" s="60"/>
    </row>
    <row r="146" spans="2:8" s="15" customFormat="1" ht="25.5" customHeight="1">
      <c r="B146" s="31" t="s">
        <v>14</v>
      </c>
      <c r="C146" s="15">
        <v>8</v>
      </c>
      <c r="D146" s="14"/>
      <c r="E146" s="14"/>
      <c r="G146" s="63"/>
      <c r="H146" s="60"/>
    </row>
    <row r="147" spans="2:8" s="15" customFormat="1" ht="25.5" customHeight="1">
      <c r="B147" s="31" t="s">
        <v>15</v>
      </c>
      <c r="C147" s="15">
        <v>9</v>
      </c>
      <c r="D147" s="14"/>
      <c r="E147" s="14"/>
      <c r="G147" s="63"/>
      <c r="H147" s="60"/>
    </row>
    <row r="148" spans="2:8" s="15" customFormat="1" ht="25.5" customHeight="1">
      <c r="B148" s="31" t="s">
        <v>16</v>
      </c>
      <c r="C148" s="15">
        <v>2</v>
      </c>
      <c r="D148" s="14"/>
      <c r="E148" s="14"/>
      <c r="G148" s="63"/>
      <c r="H148" s="60"/>
    </row>
    <row r="149" spans="2:8" s="15" customFormat="1" ht="25.5" customHeight="1">
      <c r="B149" s="31" t="s">
        <v>2</v>
      </c>
      <c r="C149" s="15">
        <v>5.55</v>
      </c>
      <c r="D149" s="14"/>
      <c r="E149" s="14"/>
      <c r="G149" s="63"/>
      <c r="H149" s="60"/>
    </row>
    <row r="150" spans="1:8" s="15" customFormat="1" ht="27.75" customHeight="1">
      <c r="A150" s="15" t="s">
        <v>63</v>
      </c>
      <c r="B150" s="15" t="s">
        <v>7</v>
      </c>
      <c r="C150" s="35">
        <f>C149*C14*C10*LaborRates!E5</f>
        <v>2397600</v>
      </c>
      <c r="D150" s="14"/>
      <c r="E150" s="14"/>
      <c r="G150" s="63"/>
      <c r="H150" s="60"/>
    </row>
    <row r="151" spans="2:8" s="15" customFormat="1" ht="27.75" customHeight="1">
      <c r="B151" s="36" t="s">
        <v>182</v>
      </c>
      <c r="C151" s="35"/>
      <c r="D151" s="14"/>
      <c r="E151" s="14"/>
      <c r="G151" s="63"/>
      <c r="H151" s="60"/>
    </row>
    <row r="152" spans="2:8" s="15" customFormat="1" ht="27.75" customHeight="1">
      <c r="B152" s="15" t="s">
        <v>127</v>
      </c>
      <c r="C152" s="54">
        <v>23</v>
      </c>
      <c r="D152" s="14"/>
      <c r="E152" s="14"/>
      <c r="G152" s="63"/>
      <c r="H152" s="60"/>
    </row>
    <row r="153" spans="2:8" s="15" customFormat="1" ht="27.75" customHeight="1">
      <c r="B153" s="15" t="s">
        <v>141</v>
      </c>
      <c r="C153" s="55">
        <f>C152/1000</f>
        <v>0.023</v>
      </c>
      <c r="D153" s="14"/>
      <c r="E153" s="14"/>
      <c r="G153" s="63"/>
      <c r="H153" s="60"/>
    </row>
    <row r="154" spans="2:8" s="15" customFormat="1" ht="27.75" customHeight="1">
      <c r="B154" s="15" t="s">
        <v>140</v>
      </c>
      <c r="C154" s="55">
        <f>C153*C10</f>
        <v>27.599999999999998</v>
      </c>
      <c r="D154" s="14"/>
      <c r="E154" s="14"/>
      <c r="G154" s="63"/>
      <c r="H154" s="60"/>
    </row>
    <row r="155" spans="2:8" s="15" customFormat="1" ht="27.75" customHeight="1">
      <c r="B155" s="15" t="s">
        <v>142</v>
      </c>
      <c r="C155" s="55">
        <v>22000</v>
      </c>
      <c r="D155" s="14"/>
      <c r="E155" s="14"/>
      <c r="G155" s="63"/>
      <c r="H155" s="60"/>
    </row>
    <row r="156" spans="1:8" s="15" customFormat="1" ht="27.75" customHeight="1">
      <c r="A156" s="15" t="s">
        <v>143</v>
      </c>
      <c r="B156" s="15" t="s">
        <v>1</v>
      </c>
      <c r="C156" s="55">
        <f>C155*C138</f>
        <v>44000</v>
      </c>
      <c r="D156" s="14"/>
      <c r="E156" s="14"/>
      <c r="G156" s="63"/>
      <c r="H156" s="60"/>
    </row>
    <row r="157" spans="2:8" s="15" customFormat="1" ht="27.75" customHeight="1">
      <c r="B157" s="15" t="s">
        <v>183</v>
      </c>
      <c r="C157" s="35">
        <v>3530</v>
      </c>
      <c r="D157" s="14"/>
      <c r="E157" s="14"/>
      <c r="G157" s="63"/>
      <c r="H157" s="60"/>
    </row>
    <row r="158" spans="1:8" s="15" customFormat="1" ht="27.75" customHeight="1">
      <c r="A158" s="15" t="s">
        <v>62</v>
      </c>
      <c r="B158" s="15" t="s">
        <v>183</v>
      </c>
      <c r="C158" s="35">
        <f>C157*C10</f>
        <v>4236000</v>
      </c>
      <c r="D158" s="14"/>
      <c r="E158" s="14"/>
      <c r="G158" s="63"/>
      <c r="H158" s="60"/>
    </row>
    <row r="159" spans="2:8" s="15" customFormat="1" ht="27.75" customHeight="1">
      <c r="B159" s="15" t="s">
        <v>144</v>
      </c>
      <c r="C159" s="56">
        <v>8.5</v>
      </c>
      <c r="D159" s="14"/>
      <c r="E159" s="14"/>
      <c r="G159" s="63"/>
      <c r="H159" s="60"/>
    </row>
    <row r="160" spans="2:8" s="15" customFormat="1" ht="27.75" customHeight="1">
      <c r="B160" s="15" t="s">
        <v>145</v>
      </c>
      <c r="C160" s="54">
        <v>2</v>
      </c>
      <c r="D160" s="14"/>
      <c r="E160" s="14"/>
      <c r="G160" s="63"/>
      <c r="H160" s="60"/>
    </row>
    <row r="161" spans="2:8" s="15" customFormat="1" ht="27.75" customHeight="1">
      <c r="B161" s="15" t="s">
        <v>0</v>
      </c>
      <c r="C161" s="54">
        <v>1</v>
      </c>
      <c r="D161" s="14"/>
      <c r="E161" s="14"/>
      <c r="G161" s="63"/>
      <c r="H161" s="60"/>
    </row>
    <row r="162" spans="1:8" s="15" customFormat="1" ht="27.75" customHeight="1">
      <c r="A162" s="15" t="s">
        <v>63</v>
      </c>
      <c r="B162" s="15" t="s">
        <v>182</v>
      </c>
      <c r="C162" s="35">
        <f>C159*(C160*LaborRates!E3+C161*LaborRates!E4)*C10</f>
        <v>867000</v>
      </c>
      <c r="D162" s="14"/>
      <c r="E162" s="14"/>
      <c r="G162" s="63"/>
      <c r="H162" s="60"/>
    </row>
    <row r="163" spans="1:8" s="15" customFormat="1" ht="27.75" customHeight="1">
      <c r="A163" s="52"/>
      <c r="B163" s="52"/>
      <c r="C163" s="54"/>
      <c r="D163"/>
      <c r="E163"/>
      <c r="G163" s="63"/>
      <c r="H163" s="60"/>
    </row>
    <row r="164" spans="1:8" s="15" customFormat="1" ht="27.75" customHeight="1">
      <c r="A164" s="52"/>
      <c r="B164" s="52"/>
      <c r="C164" s="54"/>
      <c r="D164"/>
      <c r="E164"/>
      <c r="G164" s="63"/>
      <c r="H164" s="60"/>
    </row>
    <row r="165" ht="34.5" customHeight="1">
      <c r="B165" s="17" t="s">
        <v>162</v>
      </c>
    </row>
    <row r="166" spans="2:5" ht="27.75" customHeight="1">
      <c r="B166" s="2" t="s">
        <v>252</v>
      </c>
      <c r="D166" s="14"/>
      <c r="E166" s="14"/>
    </row>
    <row r="167" spans="2:5" ht="27.75" customHeight="1">
      <c r="B167" s="4" t="s">
        <v>256</v>
      </c>
      <c r="C167" s="8">
        <v>31</v>
      </c>
      <c r="D167" s="14"/>
      <c r="E167" s="14"/>
    </row>
    <row r="168" spans="2:5" ht="27.75" customHeight="1">
      <c r="B168" s="4" t="s">
        <v>253</v>
      </c>
      <c r="C168" s="8">
        <v>40</v>
      </c>
      <c r="D168" s="14"/>
      <c r="E168" s="14"/>
    </row>
    <row r="169" spans="2:5" ht="27.75" customHeight="1">
      <c r="B169" s="4" t="s">
        <v>254</v>
      </c>
      <c r="C169" s="8">
        <v>365</v>
      </c>
      <c r="D169" s="14"/>
      <c r="E169" s="14"/>
    </row>
    <row r="170" spans="2:5" ht="27.75" customHeight="1">
      <c r="B170" s="4" t="s">
        <v>255</v>
      </c>
      <c r="C170" s="8">
        <v>4000</v>
      </c>
      <c r="D170" s="14"/>
      <c r="E170" s="14"/>
    </row>
    <row r="171" spans="1:5" ht="27.75" customHeight="1">
      <c r="A171" s="4" t="s">
        <v>62</v>
      </c>
      <c r="B171" s="4" t="s">
        <v>180</v>
      </c>
      <c r="C171" s="8">
        <f>(C167*C71*C14*C10)+(C168*C14*C10)+(C169*C10)+C170</f>
        <v>3696400</v>
      </c>
      <c r="D171" s="14"/>
      <c r="E171" s="14"/>
    </row>
    <row r="172" spans="2:5" ht="27.75" customHeight="1">
      <c r="B172" s="4" t="s">
        <v>92</v>
      </c>
      <c r="C172" s="4">
        <v>1.25</v>
      </c>
      <c r="D172" s="14"/>
      <c r="E172" s="14"/>
    </row>
    <row r="173" spans="2:5" ht="27.75" customHeight="1">
      <c r="B173" s="4" t="s">
        <v>93</v>
      </c>
      <c r="C173" s="4">
        <f>C172*C14*C10</f>
        <v>18000</v>
      </c>
      <c r="D173" s="14"/>
      <c r="E173" s="14"/>
    </row>
    <row r="174" spans="1:5" ht="27.75" customHeight="1">
      <c r="A174" s="4" t="s">
        <v>63</v>
      </c>
      <c r="B174" s="4" t="s">
        <v>181</v>
      </c>
      <c r="C174" s="8">
        <f>C173*LaborRates!E3</f>
        <v>450000</v>
      </c>
      <c r="D174" s="14"/>
      <c r="E174" s="14"/>
    </row>
    <row r="175" spans="2:5" ht="27.75" customHeight="1">
      <c r="B175" s="2" t="s">
        <v>135</v>
      </c>
      <c r="D175" s="14"/>
      <c r="E175" s="14"/>
    </row>
    <row r="176" spans="1:5" ht="43.5" customHeight="1">
      <c r="A176" s="4" t="s">
        <v>62</v>
      </c>
      <c r="B176" s="4" t="s">
        <v>64</v>
      </c>
      <c r="C176" s="8">
        <v>4221006</v>
      </c>
      <c r="D176" s="14"/>
      <c r="E176" s="14"/>
    </row>
    <row r="177" spans="2:5" ht="45.75" customHeight="1">
      <c r="B177" s="4" t="s">
        <v>65</v>
      </c>
      <c r="C177" s="20">
        <v>110439</v>
      </c>
      <c r="D177" s="14"/>
      <c r="E177" s="14"/>
    </row>
    <row r="178" spans="1:5" ht="45" customHeight="1">
      <c r="A178" s="4" t="s">
        <v>63</v>
      </c>
      <c r="B178" s="4" t="s">
        <v>66</v>
      </c>
      <c r="C178" s="8">
        <f>C177*LaborRates!E5</f>
        <v>3313170</v>
      </c>
      <c r="D178" s="14"/>
      <c r="E178" s="14"/>
    </row>
    <row r="179" ht="33" customHeight="1">
      <c r="B179" s="11" t="s">
        <v>136</v>
      </c>
    </row>
    <row r="180" spans="2:5" ht="27.75" customHeight="1">
      <c r="B180" s="29" t="s">
        <v>137</v>
      </c>
      <c r="C180" s="14"/>
      <c r="D180" s="4">
        <v>16</v>
      </c>
      <c r="E180" s="4">
        <v>16</v>
      </c>
    </row>
    <row r="181" spans="2:5" ht="27.75" customHeight="1">
      <c r="B181" s="29" t="s">
        <v>138</v>
      </c>
      <c r="C181" s="14"/>
      <c r="D181" s="4">
        <v>2</v>
      </c>
      <c r="E181" s="4">
        <v>2</v>
      </c>
    </row>
    <row r="182" spans="2:5" ht="27.75" customHeight="1">
      <c r="B182" s="29" t="s">
        <v>289</v>
      </c>
      <c r="C182" s="14"/>
      <c r="D182" s="4">
        <f>D181*D73</f>
        <v>42480</v>
      </c>
      <c r="E182" s="4">
        <f>E181*E73</f>
        <v>42480</v>
      </c>
    </row>
    <row r="183" spans="2:5" ht="27.75" customHeight="1">
      <c r="B183" s="29" t="s">
        <v>139</v>
      </c>
      <c r="C183" s="14"/>
      <c r="D183" s="13">
        <v>2.7</v>
      </c>
      <c r="E183" s="13">
        <v>2.7</v>
      </c>
    </row>
    <row r="184" spans="1:5" ht="27.75" customHeight="1">
      <c r="A184" s="4" t="s">
        <v>62</v>
      </c>
      <c r="B184" s="29" t="s">
        <v>288</v>
      </c>
      <c r="C184" s="14"/>
      <c r="D184" s="8">
        <f>D183*D181*D180*D73</f>
        <v>1835136.0000000002</v>
      </c>
      <c r="E184" s="8">
        <f>E183*E181*E180*E73</f>
        <v>1835136.0000000002</v>
      </c>
    </row>
    <row r="185" spans="2:5" ht="27.75" customHeight="1">
      <c r="B185" s="29" t="s">
        <v>290</v>
      </c>
      <c r="C185" s="14"/>
      <c r="D185" s="4">
        <v>2</v>
      </c>
      <c r="E185" s="4">
        <v>2</v>
      </c>
    </row>
    <row r="186" spans="2:5" ht="27.75" customHeight="1">
      <c r="B186" s="29" t="s">
        <v>291</v>
      </c>
      <c r="C186" s="14"/>
      <c r="D186" s="4">
        <f>D73/2</f>
        <v>10620</v>
      </c>
      <c r="E186" s="4">
        <f>E73/2</f>
        <v>10620</v>
      </c>
    </row>
    <row r="187" spans="2:5" ht="27.75" customHeight="1">
      <c r="B187" s="29" t="s">
        <v>292</v>
      </c>
      <c r="C187" s="14"/>
      <c r="D187" s="13">
        <v>15.7</v>
      </c>
      <c r="E187" s="13">
        <v>15.7</v>
      </c>
    </row>
    <row r="188" spans="2:5" ht="27.75" customHeight="1">
      <c r="B188" s="29" t="s">
        <v>293</v>
      </c>
      <c r="C188" s="14"/>
      <c r="D188" s="13">
        <v>17</v>
      </c>
      <c r="E188" s="13">
        <v>17</v>
      </c>
    </row>
    <row r="189" spans="2:5" ht="27.75" customHeight="1">
      <c r="B189" s="29" t="s">
        <v>294</v>
      </c>
      <c r="C189" s="14"/>
      <c r="D189" s="13">
        <v>33.79</v>
      </c>
      <c r="E189" s="13">
        <v>33.79</v>
      </c>
    </row>
    <row r="190" spans="2:5" ht="27.75" customHeight="1">
      <c r="B190" s="29" t="s">
        <v>296</v>
      </c>
      <c r="C190" s="14"/>
      <c r="D190" s="13">
        <v>113.5</v>
      </c>
      <c r="E190" s="13">
        <v>113.5</v>
      </c>
    </row>
    <row r="191" spans="1:5" ht="27.75" customHeight="1">
      <c r="A191" s="4" t="s">
        <v>62</v>
      </c>
      <c r="B191" s="29" t="s">
        <v>67</v>
      </c>
      <c r="C191" s="14"/>
      <c r="D191" s="13">
        <f>(D187+D188+D189+D190)*D186</f>
        <v>1911493.8</v>
      </c>
      <c r="E191" s="13">
        <f>(E187+E188+E189+E190)*E186</f>
        <v>1911493.8</v>
      </c>
    </row>
    <row r="192" spans="2:5" ht="27.75" customHeight="1">
      <c r="B192" s="29" t="s">
        <v>295</v>
      </c>
      <c r="C192" s="14"/>
      <c r="D192" s="13">
        <v>12</v>
      </c>
      <c r="E192" s="13">
        <v>12</v>
      </c>
    </row>
    <row r="193" spans="1:5" ht="27.75" customHeight="1">
      <c r="A193" s="4" t="s">
        <v>63</v>
      </c>
      <c r="B193" s="29" t="s">
        <v>116</v>
      </c>
      <c r="C193" s="14"/>
      <c r="D193" s="13">
        <f>D192*D186</f>
        <v>127440</v>
      </c>
      <c r="E193" s="13">
        <f>E192*E186</f>
        <v>127440</v>
      </c>
    </row>
    <row r="194" spans="2:5" ht="27.75" customHeight="1">
      <c r="B194" s="4" t="s">
        <v>115</v>
      </c>
      <c r="C194" s="4">
        <v>4</v>
      </c>
      <c r="D194" s="14"/>
      <c r="E194" s="14"/>
    </row>
    <row r="195" spans="2:5" ht="24.75" customHeight="1">
      <c r="B195" s="49" t="s">
        <v>184</v>
      </c>
      <c r="C195" s="44">
        <f>C194*C14*C10</f>
        <v>57600</v>
      </c>
      <c r="D195" s="45"/>
      <c r="E195" s="14"/>
    </row>
    <row r="196" spans="2:5" ht="24.75" customHeight="1">
      <c r="B196" s="49" t="s">
        <v>80</v>
      </c>
      <c r="C196" s="44">
        <f>C195</f>
        <v>57600</v>
      </c>
      <c r="D196" s="45"/>
      <c r="E196" s="14"/>
    </row>
    <row r="197" spans="2:5" ht="24.75" customHeight="1">
      <c r="B197" s="49" t="s">
        <v>89</v>
      </c>
      <c r="C197" s="44">
        <f>C195</f>
        <v>57600</v>
      </c>
      <c r="D197" s="45"/>
      <c r="E197" s="14"/>
    </row>
    <row r="198" spans="2:5" ht="24.75" customHeight="1">
      <c r="B198" s="50" t="s">
        <v>266</v>
      </c>
      <c r="C198" s="1">
        <f>20+40+1</f>
        <v>61</v>
      </c>
      <c r="D198" s="45"/>
      <c r="E198" s="14"/>
    </row>
    <row r="199" spans="2:5" ht="24.75" customHeight="1">
      <c r="B199" s="49" t="s">
        <v>82</v>
      </c>
      <c r="C199" s="44">
        <f>C14*C10</f>
        <v>14400</v>
      </c>
      <c r="D199" s="45"/>
      <c r="E199" s="14"/>
    </row>
    <row r="200" spans="2:5" ht="24.75" customHeight="1">
      <c r="B200" s="49" t="s">
        <v>90</v>
      </c>
      <c r="C200" s="44">
        <f>C199</f>
        <v>14400</v>
      </c>
      <c r="D200" s="45"/>
      <c r="E200" s="14"/>
    </row>
    <row r="201" spans="2:5" ht="24.75" customHeight="1">
      <c r="B201" s="50" t="s">
        <v>266</v>
      </c>
      <c r="C201" s="1">
        <f>156+2</f>
        <v>158</v>
      </c>
      <c r="D201" s="45"/>
      <c r="E201" s="14"/>
    </row>
    <row r="202" spans="2:5" ht="24.75" customHeight="1">
      <c r="B202" s="49" t="s">
        <v>81</v>
      </c>
      <c r="C202" s="1">
        <f>C10</f>
        <v>1200</v>
      </c>
      <c r="D202" s="45"/>
      <c r="E202" s="14"/>
    </row>
    <row r="203" spans="2:5" ht="24.75" customHeight="1">
      <c r="B203" s="49" t="s">
        <v>83</v>
      </c>
      <c r="C203" s="1">
        <f>C202</f>
        <v>1200</v>
      </c>
      <c r="D203" s="45"/>
      <c r="E203" s="14"/>
    </row>
    <row r="204" spans="2:5" ht="24.75" customHeight="1">
      <c r="B204" s="49" t="s">
        <v>91</v>
      </c>
      <c r="C204" s="1">
        <f>C202</f>
        <v>1200</v>
      </c>
      <c r="D204" s="45"/>
      <c r="E204" s="14"/>
    </row>
    <row r="205" spans="2:5" ht="24.75" customHeight="1">
      <c r="B205" s="49" t="s">
        <v>112</v>
      </c>
      <c r="C205" s="1">
        <f>C202</f>
        <v>1200</v>
      </c>
      <c r="D205" s="45"/>
      <c r="E205" s="14"/>
    </row>
    <row r="206" spans="2:5" ht="24.75" customHeight="1">
      <c r="B206" s="50" t="s">
        <v>266</v>
      </c>
      <c r="C206" s="1">
        <f>200+225+10+10</f>
        <v>445</v>
      </c>
      <c r="D206" s="45"/>
      <c r="E206" s="14"/>
    </row>
    <row r="207" spans="2:5" ht="24.75" customHeight="1">
      <c r="B207" s="49" t="s">
        <v>84</v>
      </c>
      <c r="C207" s="1">
        <f>C10/C14</f>
        <v>100</v>
      </c>
      <c r="D207" s="45"/>
      <c r="E207" s="14"/>
    </row>
    <row r="208" spans="2:5" ht="24.75" customHeight="1">
      <c r="B208" s="49" t="s">
        <v>85</v>
      </c>
      <c r="C208" s="44">
        <f>C71</f>
        <v>6</v>
      </c>
      <c r="D208" s="45"/>
      <c r="E208" s="14"/>
    </row>
    <row r="209" spans="2:5" ht="24.75" customHeight="1">
      <c r="B209" s="49" t="s">
        <v>86</v>
      </c>
      <c r="C209" s="44">
        <f>C208</f>
        <v>6</v>
      </c>
      <c r="D209" s="45"/>
      <c r="E209" s="14"/>
    </row>
    <row r="210" spans="2:5" ht="24.75" customHeight="1">
      <c r="B210" s="49" t="s">
        <v>87</v>
      </c>
      <c r="C210" s="44">
        <f>C208</f>
        <v>6</v>
      </c>
      <c r="D210" s="45"/>
      <c r="E210" s="14"/>
    </row>
    <row r="211" spans="2:5" ht="24.75" customHeight="1">
      <c r="B211" s="49" t="s">
        <v>113</v>
      </c>
      <c r="C211" s="44">
        <f>C208</f>
        <v>6</v>
      </c>
      <c r="D211" s="45"/>
      <c r="E211" s="14"/>
    </row>
    <row r="212" spans="2:5" ht="24.75" customHeight="1">
      <c r="B212" s="50" t="s">
        <v>266</v>
      </c>
      <c r="C212" s="44">
        <f>3250+3450+4000+1020+40</f>
        <v>11760</v>
      </c>
      <c r="D212" s="45"/>
      <c r="E212" s="14"/>
    </row>
    <row r="213" spans="2:5" ht="24.75" customHeight="1">
      <c r="B213" s="49" t="s">
        <v>88</v>
      </c>
      <c r="C213" s="1">
        <v>1</v>
      </c>
      <c r="D213" s="45"/>
      <c r="E213" s="14"/>
    </row>
    <row r="214" spans="2:5" ht="24.75" customHeight="1">
      <c r="B214" s="51" t="s">
        <v>266</v>
      </c>
      <c r="C214" s="1">
        <v>1000</v>
      </c>
      <c r="D214" s="45"/>
      <c r="E214" s="14"/>
    </row>
    <row r="215" spans="1:5" ht="27.75" customHeight="1">
      <c r="A215" s="4" t="s">
        <v>62</v>
      </c>
      <c r="B215" s="4" t="s">
        <v>185</v>
      </c>
      <c r="C215" s="8">
        <f>C195*C198+C199*C201+C202*C206+C207*3250+C208*C212+C214</f>
        <v>6719360</v>
      </c>
      <c r="D215" s="14"/>
      <c r="E215" s="14"/>
    </row>
    <row r="216" spans="1:5" ht="27.75" customHeight="1">
      <c r="A216" s="4" t="s">
        <v>63</v>
      </c>
      <c r="B216" s="4" t="s">
        <v>117</v>
      </c>
      <c r="C216" s="8">
        <v>1035506</v>
      </c>
      <c r="D216" s="14"/>
      <c r="E216" s="14"/>
    </row>
    <row r="217" ht="27.75" customHeight="1">
      <c r="B217" s="11" t="s">
        <v>186</v>
      </c>
    </row>
    <row r="218" spans="2:5" ht="27.75" customHeight="1">
      <c r="B218" s="4" t="s">
        <v>122</v>
      </c>
      <c r="C218" s="8">
        <v>10</v>
      </c>
      <c r="D218" s="14"/>
      <c r="E218" s="14"/>
    </row>
    <row r="219" spans="1:5" ht="27.75" customHeight="1">
      <c r="A219" s="4" t="s">
        <v>62</v>
      </c>
      <c r="B219" s="4" t="s">
        <v>123</v>
      </c>
      <c r="C219" s="8">
        <f>C218*C72</f>
        <v>864000</v>
      </c>
      <c r="D219" s="14"/>
      <c r="E219" s="14"/>
    </row>
    <row r="220" spans="2:5" ht="27.75" customHeight="1">
      <c r="B220" s="4" t="s">
        <v>121</v>
      </c>
      <c r="C220" s="8">
        <v>1500</v>
      </c>
      <c r="D220" s="8">
        <v>77</v>
      </c>
      <c r="E220" s="8">
        <v>123</v>
      </c>
    </row>
    <row r="221" spans="1:5" ht="27.75" customHeight="1">
      <c r="A221" s="4" t="s">
        <v>62</v>
      </c>
      <c r="B221" s="4" t="s">
        <v>205</v>
      </c>
      <c r="C221" s="8">
        <f>C220*C10</f>
        <v>1800000</v>
      </c>
      <c r="D221" s="8">
        <f>D220*D73</f>
        <v>1635480</v>
      </c>
      <c r="E221" s="8">
        <f>E220*E73</f>
        <v>2612520</v>
      </c>
    </row>
    <row r="222" ht="27.75" customHeight="1">
      <c r="C222" s="8"/>
    </row>
    <row r="224" ht="27.75" customHeight="1">
      <c r="B224" s="4" t="s">
        <v>187</v>
      </c>
    </row>
    <row r="225" ht="27.75" customHeight="1">
      <c r="B225" s="4" t="s">
        <v>189</v>
      </c>
    </row>
    <row r="226" ht="27.75" customHeight="1">
      <c r="B226" s="4" t="s">
        <v>204</v>
      </c>
    </row>
    <row r="227" ht="27.75" customHeight="1">
      <c r="B227" s="4" t="s">
        <v>188</v>
      </c>
    </row>
  </sheetData>
  <printOptions gridLines="1"/>
  <pageMargins left="0.75" right="0.75" top="1" bottom="1" header="0.5" footer="0.5"/>
  <pageSetup orientation="landscape" paperSize="9"/>
  <headerFooter alignWithMargins="0">
    <oddHeader>&amp;L&amp;COff-Axis Detector 
Technology Cost Comparison&amp;R</oddHeader>
    <oddFooter>&amp;CPrepared by Regina Rameika &amp;D&amp;RPage &amp;P</oddFooter>
  </headerFooter>
  <rowBreaks count="10" manualBreakCount="10">
    <brk id="8" max="255" man="1"/>
    <brk id="52" max="255" man="1"/>
    <brk id="82" max="255" man="1"/>
    <brk id="90" max="255" man="1"/>
    <brk id="135" max="255" man="1"/>
    <brk id="164" max="255" man="1"/>
    <brk id="174" max="255" man="1"/>
    <brk id="178" max="255" man="1"/>
    <brk id="193" max="4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 topLeftCell="A1">
      <selection activeCell="C244" sqref="C244:G244"/>
    </sheetView>
  </sheetViews>
  <sheetFormatPr defaultColWidth="11.00390625" defaultRowHeight="27.75" customHeight="1"/>
  <cols>
    <col min="1" max="1" width="7.625" style="4" customWidth="1"/>
    <col min="2" max="2" width="17.75390625" style="4" customWidth="1"/>
    <col min="3" max="7" width="12.00390625" style="4" customWidth="1"/>
    <col min="8" max="8" width="10.75390625" style="4" customWidth="1"/>
    <col min="9" max="9" width="10.75390625" style="62" customWidth="1"/>
    <col min="10" max="10" width="10.75390625" style="59" customWidth="1"/>
    <col min="11" max="16384" width="10.75390625" style="4" customWidth="1"/>
  </cols>
  <sheetData>
    <row r="1" spans="1:10" s="3" customFormat="1" ht="36" customHeight="1">
      <c r="A1" s="26" t="s">
        <v>118</v>
      </c>
      <c r="C1" s="3" t="s">
        <v>23</v>
      </c>
      <c r="D1" s="3" t="s">
        <v>258</v>
      </c>
      <c r="E1" s="3" t="s">
        <v>259</v>
      </c>
      <c r="F1" s="3" t="s">
        <v>260</v>
      </c>
      <c r="G1" s="3" t="s">
        <v>261</v>
      </c>
      <c r="I1" s="61"/>
      <c r="J1" s="58"/>
    </row>
    <row r="2" ht="52.5" customHeight="1">
      <c r="B2" s="4" t="s">
        <v>283</v>
      </c>
    </row>
    <row r="3" spans="2:7" ht="21" customHeight="1">
      <c r="B3" s="5" t="s">
        <v>247</v>
      </c>
      <c r="C3" s="20">
        <v>64</v>
      </c>
      <c r="D3" s="20">
        <v>48</v>
      </c>
      <c r="E3" s="20">
        <v>48</v>
      </c>
      <c r="F3" s="20">
        <v>48</v>
      </c>
      <c r="G3" s="20">
        <v>48</v>
      </c>
    </row>
    <row r="4" spans="2:7" ht="21" customHeight="1">
      <c r="B4" s="5" t="s">
        <v>94</v>
      </c>
      <c r="C4" s="20">
        <v>56</v>
      </c>
      <c r="D4" s="20">
        <v>96</v>
      </c>
      <c r="E4" s="20">
        <v>96</v>
      </c>
      <c r="F4" s="20">
        <v>96</v>
      </c>
      <c r="G4" s="20">
        <v>96</v>
      </c>
    </row>
    <row r="5" spans="2:7" ht="21" customHeight="1">
      <c r="B5" s="5" t="s">
        <v>95</v>
      </c>
      <c r="C5" s="20">
        <f>(C23*C19)+(C19-1)*C24</f>
        <v>651.6037795275591</v>
      </c>
      <c r="D5" s="20">
        <f>(D27*D28)/12</f>
        <v>664</v>
      </c>
      <c r="E5" s="20">
        <f>(E27*E28)/12</f>
        <v>597.75</v>
      </c>
      <c r="F5" s="20">
        <f>(F27*F28)/12</f>
        <v>620</v>
      </c>
      <c r="G5" s="20">
        <f>(G27*G28)/12</f>
        <v>562.5</v>
      </c>
    </row>
    <row r="6" spans="2:7" ht="30" customHeight="1">
      <c r="B6" s="5" t="s">
        <v>190</v>
      </c>
      <c r="C6" s="20">
        <f>C3*C4</f>
        <v>3584</v>
      </c>
      <c r="D6" s="20">
        <f>D3*D4</f>
        <v>4608</v>
      </c>
      <c r="E6" s="20">
        <f>E3*E4</f>
        <v>4608</v>
      </c>
      <c r="F6" s="20">
        <f>F3*F4</f>
        <v>4608</v>
      </c>
      <c r="G6" s="20">
        <f>G3*G4</f>
        <v>4608</v>
      </c>
    </row>
    <row r="7" spans="2:7" ht="27.75" customHeight="1">
      <c r="B7" s="5" t="s">
        <v>96</v>
      </c>
      <c r="C7" s="20">
        <f>C3*C4*C5</f>
        <v>2335347.945826772</v>
      </c>
      <c r="D7" s="20">
        <f>D3*D4*D5</f>
        <v>3059712</v>
      </c>
      <c r="E7" s="20">
        <f>E3*E4*E5</f>
        <v>2754432</v>
      </c>
      <c r="F7" s="20">
        <f>F3*F4*F5</f>
        <v>2856960</v>
      </c>
      <c r="G7" s="20">
        <f>G3*G4*G5</f>
        <v>2592000</v>
      </c>
    </row>
    <row r="8" spans="2:7" ht="27.75" customHeight="1">
      <c r="B8" s="5" t="s">
        <v>284</v>
      </c>
      <c r="C8" s="77">
        <f>C29</f>
        <v>47.98186074713089</v>
      </c>
      <c r="D8" s="20">
        <f>D29</f>
        <v>50.012016439217355</v>
      </c>
      <c r="E8" s="20">
        <f>E29</f>
        <v>49.99305044402197</v>
      </c>
      <c r="F8" s="20">
        <f>F29</f>
        <v>49.98453363995442</v>
      </c>
      <c r="G8" s="20">
        <f>G29</f>
        <v>50.02666712432639</v>
      </c>
    </row>
    <row r="9" spans="2:7" ht="27.75" customHeight="1">
      <c r="B9" s="75" t="s">
        <v>287</v>
      </c>
      <c r="C9" s="20"/>
      <c r="D9" s="20"/>
      <c r="E9" s="20"/>
      <c r="F9" s="20"/>
      <c r="G9" s="20"/>
    </row>
    <row r="10" spans="2:7" ht="27.75" customHeight="1">
      <c r="B10" s="5" t="s">
        <v>105</v>
      </c>
      <c r="C10" s="8">
        <f>C61</f>
        <v>12557793.833861973</v>
      </c>
      <c r="D10" s="8">
        <f>D61</f>
        <v>14221426.929519957</v>
      </c>
      <c r="E10" s="8">
        <f>E61</f>
        <v>12802496.908314088</v>
      </c>
      <c r="F10" s="8">
        <f>F61</f>
        <v>13279043.217322849</v>
      </c>
      <c r="G10" s="8">
        <f>G61</f>
        <v>12047519.047974356</v>
      </c>
    </row>
    <row r="11" spans="2:7" ht="27.75" customHeight="1">
      <c r="B11" s="5" t="s">
        <v>285</v>
      </c>
      <c r="C11" s="8">
        <f>C101+C107+C108+C118+C141+C146+C153+C161+C167+C169+C173+C180+C183+C185+C187</f>
        <v>58071247.25818182</v>
      </c>
      <c r="D11" s="8">
        <f>D101+D107+D108+D118+D141+D146+D153+D161+D167+D169+D173+D180+D183+D185+D187</f>
        <v>65401446.16727273</v>
      </c>
      <c r="E11" s="8">
        <f>E101+E107+E108+E118+E141+E146+E153+E161+E167+E169+E173+E180+E183+E185+E187</f>
        <v>31128049.90082328</v>
      </c>
      <c r="F11" s="8">
        <f>F101+F107+F108+F118+F141+F146+F153+F161+F167+F169+F173+F180+F183+F185+F187</f>
        <v>61100747.92727274</v>
      </c>
      <c r="G11" s="8">
        <f>G101+G107+G108+G118+G141+G146+G153+G161+G167+G169+G173+G180+G183+G185+G187</f>
        <v>28236914.757818185</v>
      </c>
    </row>
    <row r="12" spans="2:7" ht="27.75" customHeight="1">
      <c r="B12" s="5" t="s">
        <v>286</v>
      </c>
      <c r="C12" s="8">
        <f>C193+C200+C202+C224+C225</f>
        <v>7754866</v>
      </c>
      <c r="D12" s="8">
        <f>D193+D200+D202+D224+D225</f>
        <v>3327317.2800000003</v>
      </c>
      <c r="E12" s="8">
        <f>E193+E200+E202+E224+E225</f>
        <v>2662521.96</v>
      </c>
      <c r="F12" s="8">
        <f>F193+F200+F202+F224+F225</f>
        <v>3106832.4000000004</v>
      </c>
      <c r="G12" s="8">
        <f>G193+G200+G202+G224+G225</f>
        <v>2505510</v>
      </c>
    </row>
    <row r="13" spans="2:7" ht="27.75" customHeight="1">
      <c r="B13" s="5" t="s">
        <v>186</v>
      </c>
      <c r="C13" s="8">
        <f>C230+C232</f>
        <v>2664000</v>
      </c>
      <c r="D13" s="8">
        <f>D230+D232</f>
        <v>1840608</v>
      </c>
      <c r="E13" s="8">
        <f>E230+E232</f>
        <v>2352744</v>
      </c>
      <c r="F13" s="8">
        <f>F230+F232</f>
        <v>1718640</v>
      </c>
      <c r="G13" s="8">
        <f>G230+G232</f>
        <v>2214000</v>
      </c>
    </row>
    <row r="14" spans="2:7" ht="27.75" customHeight="1">
      <c r="B14" s="5" t="s">
        <v>188</v>
      </c>
      <c r="C14" s="76">
        <f>C241+C242</f>
        <v>3000000</v>
      </c>
      <c r="D14" s="8">
        <f>D241+D242</f>
        <v>2788129.932122811</v>
      </c>
      <c r="E14" s="76">
        <f>E241+E242</f>
        <v>5231910.215699639</v>
      </c>
      <c r="F14" s="8">
        <f>F241+F242</f>
        <v>2604805.7372676274</v>
      </c>
      <c r="G14" s="76">
        <f>G241+G242</f>
        <v>5098880.577813704</v>
      </c>
    </row>
    <row r="15" spans="2:7" ht="27.75" customHeight="1">
      <c r="B15" s="74" t="s">
        <v>126</v>
      </c>
      <c r="C15" s="8">
        <f>SUM(C10:C14)</f>
        <v>84047907.09204379</v>
      </c>
      <c r="D15" s="8">
        <f>SUM(D10:D14)</f>
        <v>87578928.3089155</v>
      </c>
      <c r="E15" s="8">
        <f>SUM(E10:E14)</f>
        <v>54177722.98483701</v>
      </c>
      <c r="F15" s="8">
        <f>SUM(F10:F14)</f>
        <v>81810069.28186323</v>
      </c>
      <c r="G15" s="8">
        <f>SUM(G10:G14)</f>
        <v>50102824.38360624</v>
      </c>
    </row>
    <row r="16" spans="2:7" ht="27.75" customHeight="1">
      <c r="B16" s="2" t="s">
        <v>97</v>
      </c>
      <c r="C16" s="4" t="s">
        <v>98</v>
      </c>
      <c r="D16" s="4" t="s">
        <v>99</v>
      </c>
      <c r="E16" s="4" t="s">
        <v>99</v>
      </c>
      <c r="F16" s="4" t="s">
        <v>99</v>
      </c>
      <c r="G16" s="4" t="s">
        <v>99</v>
      </c>
    </row>
    <row r="17" spans="2:7" ht="108" customHeight="1">
      <c r="B17" s="67" t="s">
        <v>101</v>
      </c>
      <c r="C17" s="68" t="s">
        <v>22</v>
      </c>
      <c r="D17" s="68" t="s">
        <v>172</v>
      </c>
      <c r="E17" s="68" t="s">
        <v>172</v>
      </c>
      <c r="F17" s="68" t="s">
        <v>172</v>
      </c>
      <c r="G17" s="68" t="s">
        <v>172</v>
      </c>
    </row>
    <row r="18" spans="2:7" ht="21.75" customHeight="1">
      <c r="B18" s="5" t="s">
        <v>100</v>
      </c>
      <c r="C18" s="4">
        <f>C20*C19</f>
        <v>1200</v>
      </c>
      <c r="D18" s="14"/>
      <c r="E18" s="14"/>
      <c r="F18" s="14"/>
      <c r="G18" s="14"/>
    </row>
    <row r="19" spans="2:7" ht="21.75" customHeight="1">
      <c r="B19" s="5" t="s">
        <v>104</v>
      </c>
      <c r="C19" s="4">
        <v>75</v>
      </c>
      <c r="D19" s="14"/>
      <c r="E19" s="14"/>
      <c r="F19" s="14"/>
      <c r="G19" s="14"/>
    </row>
    <row r="20" spans="2:7" ht="21.75" customHeight="1">
      <c r="B20" s="5" t="s">
        <v>21</v>
      </c>
      <c r="C20" s="4">
        <v>16</v>
      </c>
      <c r="D20" s="14"/>
      <c r="E20" s="14"/>
      <c r="F20" s="14"/>
      <c r="G20" s="14"/>
    </row>
    <row r="21" spans="2:7" ht="21.75" customHeight="1">
      <c r="B21" s="5" t="s">
        <v>102</v>
      </c>
      <c r="C21" s="4">
        <v>12</v>
      </c>
      <c r="D21" s="14"/>
      <c r="E21" s="14"/>
      <c r="F21" s="14"/>
      <c r="G21" s="14"/>
    </row>
    <row r="22" spans="2:7" ht="21.75" customHeight="1">
      <c r="B22" s="5" t="s">
        <v>222</v>
      </c>
      <c r="C22" s="4">
        <v>2.6</v>
      </c>
      <c r="D22" s="14"/>
      <c r="E22" s="14"/>
      <c r="F22" s="14"/>
      <c r="G22" s="14"/>
    </row>
    <row r="23" spans="2:7" ht="21.75" customHeight="1">
      <c r="B23" s="5" t="s">
        <v>221</v>
      </c>
      <c r="C23" s="22">
        <f>(C22*100/2.54)/12</f>
        <v>8.530183727034121</v>
      </c>
      <c r="D23" s="14"/>
      <c r="E23" s="14"/>
      <c r="F23" s="14"/>
      <c r="G23" s="14"/>
    </row>
    <row r="24" spans="2:7" ht="21.75" customHeight="1">
      <c r="B24" s="5" t="s">
        <v>223</v>
      </c>
      <c r="C24" s="22">
        <v>0.16</v>
      </c>
      <c r="D24" s="14"/>
      <c r="E24" s="14"/>
      <c r="F24" s="14"/>
      <c r="G24" s="14"/>
    </row>
    <row r="25" spans="2:7" ht="21.75" customHeight="1">
      <c r="B25" s="5" t="s">
        <v>130</v>
      </c>
      <c r="C25" s="40"/>
      <c r="D25" s="4">
        <v>2</v>
      </c>
      <c r="E25" s="4">
        <v>2</v>
      </c>
      <c r="F25" s="4">
        <v>2</v>
      </c>
      <c r="G25" s="4">
        <v>2</v>
      </c>
    </row>
    <row r="26" spans="2:7" ht="21.75" customHeight="1">
      <c r="B26" s="5" t="s">
        <v>128</v>
      </c>
      <c r="C26" s="40"/>
      <c r="D26" s="4">
        <v>12</v>
      </c>
      <c r="E26" s="4">
        <f>D26</f>
        <v>12</v>
      </c>
      <c r="F26" s="4">
        <v>12</v>
      </c>
      <c r="G26" s="4">
        <f>F26</f>
        <v>12</v>
      </c>
    </row>
    <row r="27" spans="2:7" ht="24.75" customHeight="1">
      <c r="B27" s="5" t="s">
        <v>224</v>
      </c>
      <c r="C27" s="40"/>
      <c r="D27" s="22">
        <f>8*D38</f>
        <v>8</v>
      </c>
      <c r="E27" s="22">
        <f>8*E38</f>
        <v>9</v>
      </c>
      <c r="F27" s="22">
        <f>8*F38</f>
        <v>8</v>
      </c>
      <c r="G27" s="22">
        <f>8*G38</f>
        <v>9</v>
      </c>
    </row>
    <row r="28" spans="2:7" ht="24.75" customHeight="1">
      <c r="B28" s="5" t="s">
        <v>68</v>
      </c>
      <c r="C28" s="4">
        <f>C19*C21</f>
        <v>900</v>
      </c>
      <c r="D28" s="4">
        <v>996</v>
      </c>
      <c r="E28" s="4">
        <v>797</v>
      </c>
      <c r="F28" s="4">
        <v>930</v>
      </c>
      <c r="G28" s="4">
        <v>750</v>
      </c>
    </row>
    <row r="29" spans="2:7" ht="24.75" customHeight="1">
      <c r="B29" s="5" t="s">
        <v>70</v>
      </c>
      <c r="C29" s="41">
        <f>C60+C93</f>
        <v>47.98186074713089</v>
      </c>
      <c r="D29" s="41">
        <f>D60+D93</f>
        <v>50.012016439217355</v>
      </c>
      <c r="E29" s="41">
        <f>E60+E93</f>
        <v>49.99305044402197</v>
      </c>
      <c r="F29" s="41">
        <f>F60+F93</f>
        <v>49.98453363995442</v>
      </c>
      <c r="G29" s="41">
        <f>G60+G93</f>
        <v>50.02666712432639</v>
      </c>
    </row>
    <row r="30" spans="2:7" ht="21" customHeight="1">
      <c r="B30" s="5" t="s">
        <v>225</v>
      </c>
      <c r="C30" s="1">
        <f>C28</f>
        <v>900</v>
      </c>
      <c r="D30" s="19">
        <f>(50/D29)*D28</f>
        <v>995.7606900438611</v>
      </c>
      <c r="E30" s="19">
        <f>(50/E29)*E28</f>
        <v>797.1107913212996</v>
      </c>
      <c r="F30" s="19">
        <f>(50/F29)*F28</f>
        <v>930.2877633098669</v>
      </c>
      <c r="G30" s="19">
        <f>(50/G29)*G28</f>
        <v>749.6002063620372</v>
      </c>
    </row>
    <row r="31" spans="2:7" ht="24.75" customHeight="1">
      <c r="B31" s="5" t="s">
        <v>264</v>
      </c>
      <c r="C31" s="72"/>
      <c r="D31" s="19">
        <f>D59+D92</f>
        <v>4184.4056592383995</v>
      </c>
      <c r="E31" s="19">
        <f>E59+E92</f>
        <v>5227.2114642432</v>
      </c>
      <c r="F31" s="19">
        <f>F59+F92</f>
        <v>4478.900863795199</v>
      </c>
      <c r="G31" s="19">
        <f>G59+G92</f>
        <v>5558.5185693695985</v>
      </c>
    </row>
    <row r="32" spans="1:2" ht="27.75" customHeight="1">
      <c r="A32" s="27"/>
      <c r="B32" s="12" t="s">
        <v>105</v>
      </c>
    </row>
    <row r="33" spans="2:7" ht="27.75" customHeight="1">
      <c r="B33" s="5" t="s">
        <v>106</v>
      </c>
      <c r="C33" s="4" t="s">
        <v>107</v>
      </c>
      <c r="D33" s="4" t="s">
        <v>108</v>
      </c>
      <c r="E33" s="4" t="s">
        <v>108</v>
      </c>
      <c r="F33" s="4" t="s">
        <v>107</v>
      </c>
      <c r="G33" s="4" t="s">
        <v>24</v>
      </c>
    </row>
    <row r="34" spans="2:7" ht="27.75" customHeight="1">
      <c r="B34" s="5" t="s">
        <v>109</v>
      </c>
      <c r="C34" s="4">
        <v>0.7</v>
      </c>
      <c r="D34" s="4">
        <v>0.65</v>
      </c>
      <c r="E34" s="4">
        <v>0.65</v>
      </c>
      <c r="F34" s="4">
        <v>0.7</v>
      </c>
      <c r="G34" s="4">
        <v>0.7</v>
      </c>
    </row>
    <row r="35" spans="2:7" ht="21" customHeight="1">
      <c r="B35" s="7" t="s">
        <v>110</v>
      </c>
      <c r="C35" s="5" t="s">
        <v>265</v>
      </c>
      <c r="D35" s="5" t="s">
        <v>111</v>
      </c>
      <c r="E35" s="5" t="s">
        <v>111</v>
      </c>
      <c r="F35" s="5" t="s">
        <v>111</v>
      </c>
      <c r="G35" s="5" t="s">
        <v>111</v>
      </c>
    </row>
    <row r="36" spans="2:7" ht="21" customHeight="1">
      <c r="B36" s="5" t="s">
        <v>94</v>
      </c>
      <c r="C36" s="5">
        <v>28</v>
      </c>
      <c r="D36" s="5">
        <v>24</v>
      </c>
      <c r="E36" s="5">
        <v>24</v>
      </c>
      <c r="F36" s="5">
        <v>24</v>
      </c>
      <c r="G36" s="5">
        <v>24</v>
      </c>
    </row>
    <row r="37" spans="2:7" ht="21" customHeight="1">
      <c r="B37" s="5" t="s">
        <v>247</v>
      </c>
      <c r="C37" s="5">
        <v>8</v>
      </c>
      <c r="D37" s="5">
        <v>8</v>
      </c>
      <c r="E37" s="5">
        <v>8</v>
      </c>
      <c r="F37" s="5">
        <v>8</v>
      </c>
      <c r="G37" s="5">
        <v>8</v>
      </c>
    </row>
    <row r="38" spans="2:7" ht="21" customHeight="1">
      <c r="B38" s="5" t="s">
        <v>267</v>
      </c>
      <c r="C38" s="5">
        <v>1</v>
      </c>
      <c r="D38" s="5">
        <v>1</v>
      </c>
      <c r="E38" s="5">
        <v>1.125</v>
      </c>
      <c r="F38" s="5">
        <v>1</v>
      </c>
      <c r="G38" s="5">
        <v>1.125</v>
      </c>
    </row>
    <row r="39" spans="2:7" ht="21" customHeight="1">
      <c r="B39" s="5" t="s">
        <v>199</v>
      </c>
      <c r="C39" s="21">
        <f>(C36*12*2.54*C37*12*2.54*C38*2.54)*C34/1000</f>
        <v>370.0067954688</v>
      </c>
      <c r="D39" s="21">
        <f>(D36*12*2.54*D37*12*2.54*D38*2.54)*D34/1000</f>
        <v>294.4952045568</v>
      </c>
      <c r="E39" s="21">
        <f>(E36*12*2.54*E37*12*2.54*E38*2.54)*E34/1000</f>
        <v>331.30710512639996</v>
      </c>
      <c r="F39" s="21">
        <f>(F36*12*2.54*F37*12*2.54*F38*2.54)*F34/1000</f>
        <v>317.14868183039994</v>
      </c>
      <c r="G39" s="21">
        <f>(G36*12*2.54*G37*12*2.54*G38*2.54)*G34/1000</f>
        <v>356.7922670591999</v>
      </c>
    </row>
    <row r="40" spans="2:7" ht="21" customHeight="1">
      <c r="B40" s="5" t="s">
        <v>197</v>
      </c>
      <c r="C40" s="25">
        <f aca="true" t="shared" si="0" ref="C40:E41">C36*12*2.54/100</f>
        <v>8.5344</v>
      </c>
      <c r="D40" s="25">
        <f t="shared" si="0"/>
        <v>7.3152</v>
      </c>
      <c r="E40" s="25">
        <f t="shared" si="0"/>
        <v>7.3152</v>
      </c>
      <c r="F40" s="25">
        <f>F36*12*2.54/100</f>
        <v>7.3152</v>
      </c>
      <c r="G40" s="25">
        <f>G36*12*2.54/100</f>
        <v>7.3152</v>
      </c>
    </row>
    <row r="41" spans="2:7" ht="21" customHeight="1">
      <c r="B41" s="5" t="s">
        <v>196</v>
      </c>
      <c r="C41" s="25">
        <f t="shared" si="0"/>
        <v>2.4384</v>
      </c>
      <c r="D41" s="25">
        <f t="shared" si="0"/>
        <v>2.4384</v>
      </c>
      <c r="E41" s="25">
        <f t="shared" si="0"/>
        <v>2.4384</v>
      </c>
      <c r="F41" s="25">
        <f>F37*12*2.54/100</f>
        <v>2.4384</v>
      </c>
      <c r="G41" s="25">
        <f>G37*12*2.54/100</f>
        <v>2.4384</v>
      </c>
    </row>
    <row r="42" spans="2:7" ht="27.75" customHeight="1">
      <c r="B42" s="5" t="s">
        <v>119</v>
      </c>
      <c r="C42" s="4">
        <v>0.13</v>
      </c>
      <c r="D42" s="4">
        <v>0.14</v>
      </c>
      <c r="E42" s="4">
        <f>D42</f>
        <v>0.14</v>
      </c>
      <c r="F42" s="4">
        <v>0.13</v>
      </c>
      <c r="G42" s="4">
        <v>0.13</v>
      </c>
    </row>
    <row r="43" spans="2:7" ht="27.75" customHeight="1">
      <c r="B43" s="5" t="s">
        <v>120</v>
      </c>
      <c r="C43" s="6">
        <f>C42*2.22</f>
        <v>0.2886</v>
      </c>
      <c r="D43" s="6">
        <f>D42*2.22</f>
        <v>0.3108000000000001</v>
      </c>
      <c r="E43" s="6">
        <f>E42*2.22</f>
        <v>0.3108000000000001</v>
      </c>
      <c r="F43" s="6">
        <f>F42*2.22</f>
        <v>0.2886</v>
      </c>
      <c r="G43" s="6">
        <f>G42*2.22</f>
        <v>0.2886</v>
      </c>
    </row>
    <row r="44" spans="2:7" ht="27.75" customHeight="1">
      <c r="B44" s="5" t="s">
        <v>165</v>
      </c>
      <c r="C44" s="13">
        <f>((C36*12*2.54*C37*12*2.54*C38*2.54)*C34/1000)*C43</f>
        <v>106.78396117229569</v>
      </c>
      <c r="D44" s="13">
        <f>((D36*12*2.54*D37*12*2.54*D38*2.54)*D34/1000)*D43</f>
        <v>91.52910957625346</v>
      </c>
      <c r="E44" s="13">
        <f>((E36*12*2.54*E37*12*2.54*E38*2.54)*E34/1000)*E43</f>
        <v>102.97024827328514</v>
      </c>
      <c r="F44" s="13">
        <f>((F36*12*2.54*F37*12*2.54*F38*2.54)*F34/1000)*F43</f>
        <v>91.52910957625343</v>
      </c>
      <c r="G44" s="13">
        <f>((G36*12*2.54*G37*12*2.54*G38*2.54)*G34/1000)*G43</f>
        <v>102.9702482732851</v>
      </c>
    </row>
    <row r="45" ht="15.75" customHeight="1">
      <c r="B45" s="46" t="s">
        <v>268</v>
      </c>
    </row>
    <row r="46" spans="2:7" ht="27.75" customHeight="1">
      <c r="B46" s="5" t="s">
        <v>269</v>
      </c>
      <c r="C46" s="5" t="s">
        <v>270</v>
      </c>
      <c r="D46" s="5" t="s">
        <v>271</v>
      </c>
      <c r="E46" s="5" t="s">
        <v>271</v>
      </c>
      <c r="F46" s="5" t="s">
        <v>271</v>
      </c>
      <c r="G46" s="5" t="s">
        <v>271</v>
      </c>
    </row>
    <row r="47" spans="2:7" ht="27.75" customHeight="1">
      <c r="B47" s="5" t="s">
        <v>272</v>
      </c>
      <c r="C47" s="4">
        <v>2</v>
      </c>
      <c r="D47" s="14"/>
      <c r="E47" s="14"/>
      <c r="F47" s="14"/>
      <c r="G47" s="14"/>
    </row>
    <row r="48" spans="2:7" ht="27.75" customHeight="1">
      <c r="B48" s="5" t="s">
        <v>273</v>
      </c>
      <c r="C48" s="4">
        <v>3</v>
      </c>
      <c r="D48" s="14"/>
      <c r="E48" s="14"/>
      <c r="F48" s="14"/>
      <c r="G48" s="14"/>
    </row>
    <row r="49" spans="2:7" ht="27.75" customHeight="1">
      <c r="B49" s="5" t="s">
        <v>274</v>
      </c>
      <c r="C49" s="4">
        <v>2</v>
      </c>
      <c r="D49" s="14"/>
      <c r="E49" s="14"/>
      <c r="F49" s="14"/>
      <c r="G49" s="14"/>
    </row>
    <row r="50" spans="2:7" ht="27.75" customHeight="1">
      <c r="B50" s="5" t="s">
        <v>230</v>
      </c>
      <c r="C50" s="4">
        <v>2</v>
      </c>
      <c r="D50" s="14"/>
      <c r="E50" s="14"/>
      <c r="F50" s="14"/>
      <c r="G50" s="14"/>
    </row>
    <row r="51" spans="2:7" ht="27.75" customHeight="1">
      <c r="B51" s="5" t="s">
        <v>275</v>
      </c>
      <c r="C51" s="4">
        <v>4</v>
      </c>
      <c r="D51" s="14"/>
      <c r="E51" s="14"/>
      <c r="F51" s="14"/>
      <c r="G51" s="14"/>
    </row>
    <row r="52" spans="2:7" ht="27.75" customHeight="1">
      <c r="B52" s="5" t="s">
        <v>276</v>
      </c>
      <c r="C52" s="4">
        <f>(C47*C48)+(C49*C21)+(C50*C21)+(C51*(C21-1))</f>
        <v>98</v>
      </c>
      <c r="D52" s="14"/>
      <c r="E52" s="14"/>
      <c r="F52" s="14"/>
      <c r="G52" s="14"/>
    </row>
    <row r="53" spans="2:7" ht="27.75" customHeight="1">
      <c r="B53" s="5" t="s">
        <v>278</v>
      </c>
      <c r="C53" s="14"/>
      <c r="D53" s="15">
        <v>8</v>
      </c>
      <c r="E53" s="15">
        <v>8</v>
      </c>
      <c r="F53" s="15">
        <v>8</v>
      </c>
      <c r="G53" s="15">
        <v>8</v>
      </c>
    </row>
    <row r="54" spans="2:7" ht="27.75" customHeight="1">
      <c r="B54" s="5" t="s">
        <v>279</v>
      </c>
      <c r="C54" s="14"/>
      <c r="D54" s="15">
        <v>8</v>
      </c>
      <c r="E54" s="15">
        <v>8</v>
      </c>
      <c r="F54" s="15">
        <v>8</v>
      </c>
      <c r="G54" s="15">
        <v>8</v>
      </c>
    </row>
    <row r="55" spans="2:7" ht="27.75" customHeight="1">
      <c r="B55" s="5" t="s">
        <v>280</v>
      </c>
      <c r="C55" s="14"/>
      <c r="D55" s="15">
        <v>2</v>
      </c>
      <c r="E55" s="15">
        <v>2</v>
      </c>
      <c r="F55" s="15">
        <v>2</v>
      </c>
      <c r="G55" s="15">
        <v>2</v>
      </c>
    </row>
    <row r="56" spans="2:7" ht="27.75" customHeight="1">
      <c r="B56" s="5" t="s">
        <v>281</v>
      </c>
      <c r="C56" s="14"/>
      <c r="D56" s="15">
        <f>D53+0.5*D54+0.5*D55</f>
        <v>13</v>
      </c>
      <c r="E56" s="15">
        <f>E53+0.5*E54+0.5*E55</f>
        <v>13</v>
      </c>
      <c r="F56" s="15">
        <f>F53+0.5*F54+0.5*F55</f>
        <v>13</v>
      </c>
      <c r="G56" s="15">
        <f>G53+0.5*G54+0.5*G55</f>
        <v>13</v>
      </c>
    </row>
    <row r="57" spans="2:7" ht="27.75" customHeight="1">
      <c r="B57" s="5" t="s">
        <v>129</v>
      </c>
      <c r="C57" s="14"/>
      <c r="D57" s="15">
        <f>D56*D26</f>
        <v>156</v>
      </c>
      <c r="E57" s="15">
        <f>E56*E26</f>
        <v>156</v>
      </c>
      <c r="F57" s="15">
        <f>F56*F26</f>
        <v>156</v>
      </c>
      <c r="G57" s="15">
        <f>G56*G26</f>
        <v>156</v>
      </c>
    </row>
    <row r="58" spans="2:7" ht="27.75" customHeight="1">
      <c r="B58" s="5" t="s">
        <v>277</v>
      </c>
      <c r="C58" s="20">
        <f>C52*C18</f>
        <v>117600</v>
      </c>
      <c r="D58" s="20">
        <f>D57*D28</f>
        <v>155376</v>
      </c>
      <c r="E58" s="20">
        <f>E57*E28</f>
        <v>124332</v>
      </c>
      <c r="F58" s="20">
        <f>F57*F28</f>
        <v>145080</v>
      </c>
      <c r="G58" s="20">
        <f>G57*G28</f>
        <v>117000</v>
      </c>
    </row>
    <row r="59" spans="2:7" ht="27.75" customHeight="1">
      <c r="B59" s="5" t="s">
        <v>257</v>
      </c>
      <c r="C59" s="37"/>
      <c r="D59" s="20">
        <f>D39*D56</f>
        <v>3828.4376592383996</v>
      </c>
      <c r="E59" s="20">
        <f>E39*E56</f>
        <v>4306.9923666432</v>
      </c>
      <c r="F59" s="20">
        <f>F39*F56</f>
        <v>4122.932863795199</v>
      </c>
      <c r="G59" s="20">
        <f>G39*G56</f>
        <v>4638.299471769598</v>
      </c>
    </row>
    <row r="60" spans="2:7" ht="27.75" customHeight="1">
      <c r="B60" s="5" t="s">
        <v>200</v>
      </c>
      <c r="C60" s="22">
        <f>C39*C58/1000000</f>
        <v>43.512799147130885</v>
      </c>
      <c r="D60" s="22">
        <f>D39*D58/1000000</f>
        <v>45.757486903217355</v>
      </c>
      <c r="E60" s="22">
        <f>E39*E58/1000000</f>
        <v>41.19207499457556</v>
      </c>
      <c r="F60" s="22">
        <f>F39*F58/1000000</f>
        <v>46.011930759954424</v>
      </c>
      <c r="G60" s="22">
        <f>G39*G58/1000000</f>
        <v>41.74469524592639</v>
      </c>
    </row>
    <row r="61" spans="1:7" ht="27.75" customHeight="1">
      <c r="A61" s="4" t="s">
        <v>62</v>
      </c>
      <c r="B61" s="3" t="s">
        <v>171</v>
      </c>
      <c r="C61" s="8">
        <f>C58*C44</f>
        <v>12557793.833861973</v>
      </c>
      <c r="D61" s="8">
        <f>D58*D44</f>
        <v>14221426.929519957</v>
      </c>
      <c r="E61" s="8">
        <f>E58*E44</f>
        <v>12802496.908314088</v>
      </c>
      <c r="F61" s="8">
        <f>F58*F44</f>
        <v>13279043.217322849</v>
      </c>
      <c r="G61" s="8">
        <f>G58*G44</f>
        <v>12047519.047974356</v>
      </c>
    </row>
    <row r="62" spans="1:2" ht="40.5" customHeight="1">
      <c r="A62" s="27"/>
      <c r="B62" s="12" t="s">
        <v>173</v>
      </c>
    </row>
    <row r="63" spans="2:7" ht="54" customHeight="1">
      <c r="B63" s="9" t="s">
        <v>174</v>
      </c>
      <c r="C63" s="4" t="s">
        <v>175</v>
      </c>
      <c r="D63" s="4" t="s">
        <v>176</v>
      </c>
      <c r="E63" s="4" t="s">
        <v>71</v>
      </c>
      <c r="F63" s="4" t="s">
        <v>176</v>
      </c>
      <c r="G63" s="4" t="s">
        <v>71</v>
      </c>
    </row>
    <row r="64" ht="19.5" customHeight="1">
      <c r="B64" s="7" t="s">
        <v>177</v>
      </c>
    </row>
    <row r="65" spans="2:7" ht="24" customHeight="1">
      <c r="B65" s="5" t="s">
        <v>18</v>
      </c>
      <c r="C65" s="4">
        <v>2.425</v>
      </c>
      <c r="D65" s="4">
        <v>14.4</v>
      </c>
      <c r="E65" s="4">
        <f>D65</f>
        <v>14.4</v>
      </c>
      <c r="F65" s="4">
        <v>14.4</v>
      </c>
      <c r="G65" s="4">
        <f>F65</f>
        <v>14.4</v>
      </c>
    </row>
    <row r="66" spans="2:7" ht="24" customHeight="1">
      <c r="B66" s="5" t="s">
        <v>197</v>
      </c>
      <c r="C66" s="4">
        <v>2.844</v>
      </c>
      <c r="D66" s="4">
        <v>0.04</v>
      </c>
      <c r="E66" s="4">
        <v>1.219</v>
      </c>
      <c r="F66" s="4">
        <v>0.04</v>
      </c>
      <c r="G66" s="4">
        <v>1.219</v>
      </c>
    </row>
    <row r="67" spans="2:7" ht="24" customHeight="1">
      <c r="B67" s="5" t="s">
        <v>19</v>
      </c>
      <c r="C67" s="4">
        <v>0.003</v>
      </c>
      <c r="D67" s="4">
        <v>0.01</v>
      </c>
      <c r="E67" s="4">
        <v>0.0286</v>
      </c>
      <c r="F67" s="4">
        <v>0.01</v>
      </c>
      <c r="G67" s="4">
        <v>0.0286</v>
      </c>
    </row>
    <row r="68" spans="2:7" ht="24" customHeight="1">
      <c r="B68" s="5" t="s">
        <v>20</v>
      </c>
      <c r="C68" s="4">
        <f>C65*C66</f>
        <v>6.896699999999999</v>
      </c>
      <c r="D68" s="4">
        <f>D65*D66</f>
        <v>0.5760000000000001</v>
      </c>
      <c r="E68" s="4">
        <f>E65*E66</f>
        <v>17.553600000000003</v>
      </c>
      <c r="F68" s="4">
        <f>F65*F66</f>
        <v>0.5760000000000001</v>
      </c>
      <c r="G68" s="4">
        <f>G65*G66</f>
        <v>17.553600000000003</v>
      </c>
    </row>
    <row r="69" spans="2:7" ht="24" customHeight="1">
      <c r="B69" s="5" t="s">
        <v>201</v>
      </c>
      <c r="C69" s="4">
        <f>C65*C66*C67</f>
        <v>0.0206901</v>
      </c>
      <c r="D69" s="4">
        <f>D65*D66*D67</f>
        <v>0.00576</v>
      </c>
      <c r="E69" s="4">
        <f>E65*E66*E67</f>
        <v>0.5020329600000001</v>
      </c>
      <c r="F69" s="4">
        <f>F65*F66*F67</f>
        <v>0.00576</v>
      </c>
      <c r="G69" s="4">
        <f>G65*G66*G67</f>
        <v>0.5020329600000001</v>
      </c>
    </row>
    <row r="70" spans="2:7" ht="24" customHeight="1">
      <c r="B70" s="5" t="s">
        <v>77</v>
      </c>
      <c r="C70" s="14"/>
      <c r="D70" s="14"/>
      <c r="E70" s="4">
        <v>30</v>
      </c>
      <c r="F70" s="14"/>
      <c r="G70" s="4">
        <v>30</v>
      </c>
    </row>
    <row r="71" spans="2:7" ht="24" customHeight="1">
      <c r="B71" s="5" t="s">
        <v>75</v>
      </c>
      <c r="C71" s="14"/>
      <c r="D71" s="14"/>
      <c r="E71" s="4">
        <v>0.0015</v>
      </c>
      <c r="F71" s="14"/>
      <c r="G71" s="4">
        <v>0.0015</v>
      </c>
    </row>
    <row r="72" spans="2:7" ht="24" customHeight="1">
      <c r="B72" s="5" t="s">
        <v>76</v>
      </c>
      <c r="C72" s="14"/>
      <c r="D72" s="14"/>
      <c r="E72" s="4">
        <v>0.001</v>
      </c>
      <c r="F72" s="14"/>
      <c r="G72" s="4">
        <v>0.001</v>
      </c>
    </row>
    <row r="73" spans="2:7" ht="24" customHeight="1">
      <c r="B73" s="5" t="s">
        <v>73</v>
      </c>
      <c r="C73" s="14"/>
      <c r="D73" s="14"/>
      <c r="E73" s="4">
        <f>(E66*E71*2+(E67-(2*E71))*E71*2+(E70-1)*(E67-2*E71)*E72)*E65</f>
        <v>0.06445728</v>
      </c>
      <c r="F73" s="14"/>
      <c r="G73" s="4">
        <f>(G66*G71*2+(G67-(2*G71))*G71*2+(G70-1)*(G67-2*G71)*G72)*G65</f>
        <v>0.06445728</v>
      </c>
    </row>
    <row r="74" spans="2:7" ht="24" customHeight="1">
      <c r="B74" s="5" t="s">
        <v>74</v>
      </c>
      <c r="C74" s="14"/>
      <c r="D74" s="14"/>
      <c r="E74" s="4">
        <f>E69-E73</f>
        <v>0.4375756800000001</v>
      </c>
      <c r="F74" s="14"/>
      <c r="G74" s="4">
        <f>G69-G73</f>
        <v>0.4375756800000001</v>
      </c>
    </row>
    <row r="75" spans="2:7" ht="24" customHeight="1">
      <c r="B75" s="5" t="s">
        <v>109</v>
      </c>
      <c r="C75" s="4">
        <v>2.5</v>
      </c>
      <c r="D75" s="4">
        <v>1.03</v>
      </c>
      <c r="E75" s="14"/>
      <c r="F75" s="4">
        <v>1.03</v>
      </c>
      <c r="G75" s="14"/>
    </row>
    <row r="76" spans="2:7" ht="24" customHeight="1">
      <c r="B76" s="5" t="s">
        <v>166</v>
      </c>
      <c r="C76" s="14"/>
      <c r="D76" s="14"/>
      <c r="E76" s="4">
        <v>0.86</v>
      </c>
      <c r="F76" s="14"/>
      <c r="G76" s="4">
        <v>0.86</v>
      </c>
    </row>
    <row r="77" spans="2:7" ht="24" customHeight="1">
      <c r="B77" s="5" t="s">
        <v>78</v>
      </c>
      <c r="C77" s="14"/>
      <c r="D77" s="14"/>
      <c r="E77" s="22">
        <v>1.3</v>
      </c>
      <c r="F77" s="14"/>
      <c r="G77" s="22">
        <v>1.3</v>
      </c>
    </row>
    <row r="78" spans="2:7" ht="27.75" customHeight="1">
      <c r="B78" s="5" t="s">
        <v>199</v>
      </c>
      <c r="C78" s="22">
        <f>C69*C75*1000000/1000</f>
        <v>51.72525</v>
      </c>
      <c r="D78" s="22">
        <f>D69*D75*1000000/1000</f>
        <v>5.9328</v>
      </c>
      <c r="E78" s="22">
        <f>((E77*E73*1000000)+(E76*E74*1000000))/1000</f>
        <v>460.1095488000001</v>
      </c>
      <c r="F78" s="22">
        <f>F69*F75*1000000/1000</f>
        <v>5.9328</v>
      </c>
      <c r="G78" s="22">
        <f>((G77*G73*1000000)+(G76*G74*1000000))/1000</f>
        <v>460.1095488000001</v>
      </c>
    </row>
    <row r="79" spans="2:7" ht="27.75" customHeight="1">
      <c r="B79" s="28" t="s">
        <v>167</v>
      </c>
      <c r="C79" s="4" t="s">
        <v>178</v>
      </c>
      <c r="D79" s="4" t="s">
        <v>54</v>
      </c>
      <c r="E79" s="4" t="s">
        <v>72</v>
      </c>
      <c r="F79" s="4" t="s">
        <v>54</v>
      </c>
      <c r="G79" s="4" t="s">
        <v>72</v>
      </c>
    </row>
    <row r="80" spans="2:7" ht="27.75" customHeight="1">
      <c r="B80" s="4" t="s">
        <v>179</v>
      </c>
      <c r="C80" s="20">
        <v>6</v>
      </c>
      <c r="D80" s="20">
        <v>30</v>
      </c>
      <c r="E80" s="20">
        <v>1</v>
      </c>
      <c r="F80" s="20">
        <v>30</v>
      </c>
      <c r="G80" s="20">
        <v>1</v>
      </c>
    </row>
    <row r="81" spans="2:7" ht="27.75" customHeight="1">
      <c r="B81" s="4" t="s">
        <v>55</v>
      </c>
      <c r="C81" s="20">
        <f>C80*C21*C18</f>
        <v>86400</v>
      </c>
      <c r="D81" s="20">
        <f>D80*D25*D26*D28</f>
        <v>717120</v>
      </c>
      <c r="E81" s="20">
        <f>E80*E25*E26*E28</f>
        <v>19128</v>
      </c>
      <c r="F81" s="20">
        <f>F80*F25*F26*F28</f>
        <v>669600</v>
      </c>
      <c r="G81" s="20">
        <f>G80*G25*G26*G28</f>
        <v>18000</v>
      </c>
    </row>
    <row r="82" spans="2:7" ht="27.75" customHeight="1">
      <c r="B82" s="4" t="s">
        <v>249</v>
      </c>
      <c r="C82" s="20">
        <f>C81/C80</f>
        <v>14400</v>
      </c>
      <c r="D82" s="20">
        <f>D81/D80</f>
        <v>23904</v>
      </c>
      <c r="E82" s="20">
        <f>E81/E80</f>
        <v>19128</v>
      </c>
      <c r="F82" s="20">
        <f>F81/F80</f>
        <v>22320</v>
      </c>
      <c r="G82" s="20">
        <f>G81/G80</f>
        <v>18000</v>
      </c>
    </row>
    <row r="83" spans="2:7" ht="27.75" customHeight="1">
      <c r="B83" s="4" t="s">
        <v>56</v>
      </c>
      <c r="C83" s="20">
        <f>C81*C68/2</f>
        <v>297937.43999999994</v>
      </c>
      <c r="D83" s="20">
        <f>D81*D68</f>
        <v>413061.12000000005</v>
      </c>
      <c r="E83" s="20">
        <f>E81*E68</f>
        <v>335765.26080000005</v>
      </c>
      <c r="F83" s="20">
        <f>F81*F68</f>
        <v>385689.60000000003</v>
      </c>
      <c r="G83" s="20">
        <f>G81*G68</f>
        <v>315964.80000000005</v>
      </c>
    </row>
    <row r="84" spans="2:7" ht="27.75" customHeight="1">
      <c r="B84" s="24" t="s">
        <v>191</v>
      </c>
      <c r="C84" s="4" t="s">
        <v>192</v>
      </c>
      <c r="D84" s="4" t="s">
        <v>193</v>
      </c>
      <c r="E84" s="4" t="s">
        <v>194</v>
      </c>
      <c r="F84" s="4" t="s">
        <v>193</v>
      </c>
      <c r="G84" s="4" t="s">
        <v>194</v>
      </c>
    </row>
    <row r="85" ht="18" customHeight="1">
      <c r="B85" s="7" t="s">
        <v>177</v>
      </c>
    </row>
    <row r="86" spans="2:7" ht="27.75" customHeight="1">
      <c r="B86" s="5" t="s">
        <v>196</v>
      </c>
      <c r="C86" s="42">
        <f>C37*12*2.54/100</f>
        <v>2.4384</v>
      </c>
      <c r="D86" s="42">
        <f>D80*D66</f>
        <v>1.2</v>
      </c>
      <c r="E86" s="42">
        <f>E66</f>
        <v>1.219</v>
      </c>
      <c r="F86" s="42">
        <f>F80*F66</f>
        <v>1.2</v>
      </c>
      <c r="G86" s="42">
        <f>G66</f>
        <v>1.219</v>
      </c>
    </row>
    <row r="87" spans="2:7" ht="27.75" customHeight="1">
      <c r="B87" s="5" t="s">
        <v>197</v>
      </c>
      <c r="C87" s="42">
        <f>C36*12*2.54/100</f>
        <v>8.5344</v>
      </c>
      <c r="D87" s="42">
        <f>D65</f>
        <v>14.4</v>
      </c>
      <c r="E87" s="42">
        <f>E65</f>
        <v>14.4</v>
      </c>
      <c r="F87" s="42">
        <f>F65</f>
        <v>14.4</v>
      </c>
      <c r="G87" s="42">
        <f>G65</f>
        <v>14.4</v>
      </c>
    </row>
    <row r="88" spans="2:7" ht="27.75" customHeight="1">
      <c r="B88" s="5" t="s">
        <v>195</v>
      </c>
      <c r="C88" s="42">
        <f>C86*C87</f>
        <v>20.81028096</v>
      </c>
      <c r="D88" s="42">
        <f>D87*D86</f>
        <v>17.28</v>
      </c>
      <c r="E88" s="42">
        <f>E87*E86</f>
        <v>17.553600000000003</v>
      </c>
      <c r="F88" s="42">
        <f>F87*F86</f>
        <v>17.28</v>
      </c>
      <c r="G88" s="42">
        <f>G87*G86</f>
        <v>17.553600000000003</v>
      </c>
    </row>
    <row r="89" spans="2:7" ht="27.75" customHeight="1">
      <c r="B89" s="5" t="s">
        <v>168</v>
      </c>
      <c r="C89" s="37"/>
      <c r="D89" s="37"/>
      <c r="E89" s="20">
        <f>E74*E81</f>
        <v>8369.947607040001</v>
      </c>
      <c r="F89" s="37"/>
      <c r="G89" s="20">
        <f>G74*G81</f>
        <v>7876.362240000001</v>
      </c>
    </row>
    <row r="90" spans="2:7" ht="27.75" customHeight="1">
      <c r="B90" s="5" t="s">
        <v>114</v>
      </c>
      <c r="C90" s="44">
        <f>C82*(C122+C124)</f>
        <v>3686400</v>
      </c>
      <c r="D90" s="44">
        <f>D80*D82</f>
        <v>717120</v>
      </c>
      <c r="E90" s="44">
        <f>E80*E82*E70</f>
        <v>573840</v>
      </c>
      <c r="F90" s="44">
        <f>F80*F82</f>
        <v>669600</v>
      </c>
      <c r="G90" s="44">
        <f>G80*G82*G70</f>
        <v>540000</v>
      </c>
    </row>
    <row r="91" spans="2:7" ht="27.75" customHeight="1">
      <c r="B91" s="5" t="s">
        <v>262</v>
      </c>
      <c r="C91" s="71"/>
      <c r="D91" s="44">
        <f>D80*D78</f>
        <v>177.984</v>
      </c>
      <c r="E91" s="44">
        <f>E80*E78</f>
        <v>460.1095488000001</v>
      </c>
      <c r="F91" s="44">
        <f>F80*F78</f>
        <v>177.984</v>
      </c>
      <c r="G91" s="44">
        <f>G80*G78</f>
        <v>460.1095488000001</v>
      </c>
    </row>
    <row r="92" spans="2:7" ht="27.75" customHeight="1">
      <c r="B92" s="5" t="s">
        <v>263</v>
      </c>
      <c r="C92" s="71"/>
      <c r="D92" s="44">
        <f>D91*2</f>
        <v>355.968</v>
      </c>
      <c r="E92" s="44">
        <f>E91*2</f>
        <v>920.2190976000002</v>
      </c>
      <c r="F92" s="44">
        <f>F91*2</f>
        <v>355.968</v>
      </c>
      <c r="G92" s="44">
        <f>G91*2</f>
        <v>920.2190976000002</v>
      </c>
    </row>
    <row r="93" spans="2:7" ht="27.75" customHeight="1">
      <c r="B93" s="5" t="s">
        <v>202</v>
      </c>
      <c r="C93" s="23">
        <f>C78*C81/1000000</f>
        <v>4.469061600000001</v>
      </c>
      <c r="D93" s="23">
        <f>D78*D81/1000000</f>
        <v>4.254529536000001</v>
      </c>
      <c r="E93" s="23">
        <f>E78*E81/1000000</f>
        <v>8.800975449446403</v>
      </c>
      <c r="F93" s="23">
        <f>F78*F81/1000000</f>
        <v>3.97260288</v>
      </c>
      <c r="G93" s="23">
        <f>G78*G81/1000000</f>
        <v>8.281971878400002</v>
      </c>
    </row>
    <row r="94" spans="2:7" ht="27.75" customHeight="1">
      <c r="B94" s="7" t="s">
        <v>169</v>
      </c>
      <c r="E94" s="13"/>
      <c r="G94" s="13"/>
    </row>
    <row r="95" spans="2:7" ht="27.75" customHeight="1">
      <c r="B95" s="5" t="s">
        <v>133</v>
      </c>
      <c r="C95" s="8">
        <v>25.5</v>
      </c>
      <c r="D95" s="38"/>
      <c r="E95" s="38"/>
      <c r="F95" s="38"/>
      <c r="G95" s="38"/>
    </row>
    <row r="96" spans="2:7" ht="27.75" customHeight="1">
      <c r="B96" s="5" t="s">
        <v>132</v>
      </c>
      <c r="C96" s="38"/>
      <c r="D96" s="13">
        <v>3.31</v>
      </c>
      <c r="E96" s="38"/>
      <c r="F96" s="13">
        <v>3.31</v>
      </c>
      <c r="G96" s="38"/>
    </row>
    <row r="97" spans="2:7" ht="54.75" customHeight="1">
      <c r="B97" s="5" t="s">
        <v>17</v>
      </c>
      <c r="C97" s="38"/>
      <c r="D97" s="8">
        <v>430</v>
      </c>
      <c r="E97" s="38"/>
      <c r="F97" s="8">
        <v>430</v>
      </c>
      <c r="G97" s="38"/>
    </row>
    <row r="98" spans="2:7" ht="33" customHeight="1">
      <c r="B98" s="5" t="s">
        <v>79</v>
      </c>
      <c r="C98" s="38"/>
      <c r="D98" s="38"/>
      <c r="E98" s="39">
        <f>1.15*1000</f>
        <v>1150</v>
      </c>
      <c r="F98" s="38"/>
      <c r="G98" s="39">
        <f>1.15*1000</f>
        <v>1150</v>
      </c>
    </row>
    <row r="99" spans="2:7" ht="42" customHeight="1">
      <c r="B99" s="5" t="s">
        <v>131</v>
      </c>
      <c r="C99" s="38"/>
      <c r="D99" s="38"/>
      <c r="E99" s="35">
        <v>211</v>
      </c>
      <c r="F99" s="38"/>
      <c r="G99" s="35">
        <v>211</v>
      </c>
    </row>
    <row r="100" spans="2:7" ht="40.5" customHeight="1">
      <c r="B100" s="5" t="s">
        <v>134</v>
      </c>
      <c r="C100" s="38"/>
      <c r="D100" s="38"/>
      <c r="E100" s="8">
        <v>275</v>
      </c>
      <c r="F100" s="38"/>
      <c r="G100" s="8">
        <v>275</v>
      </c>
    </row>
    <row r="101" spans="1:7" ht="27.75" customHeight="1">
      <c r="A101" s="4" t="s">
        <v>62</v>
      </c>
      <c r="B101" s="4" t="s">
        <v>170</v>
      </c>
      <c r="C101" s="13">
        <f>C68*C81*C95</f>
        <v>15194809.439999998</v>
      </c>
      <c r="D101" s="13">
        <f>(D65*D81*D96)+D97*D82</f>
        <v>44459527.68</v>
      </c>
      <c r="E101" s="13">
        <f>E98*E89+E99*E82+E100*E82</f>
        <v>18921647.748096004</v>
      </c>
      <c r="F101" s="13">
        <f>(F65*F81*F96)+F97*F82</f>
        <v>41513414.400000006</v>
      </c>
      <c r="G101" s="13">
        <f>G98*G89+G99*G82+G100*G82</f>
        <v>17805816.576</v>
      </c>
    </row>
    <row r="102" spans="2:10" s="15" customFormat="1" ht="108.75" customHeight="1">
      <c r="B102" s="47" t="s">
        <v>44</v>
      </c>
      <c r="C102" s="48" t="s">
        <v>163</v>
      </c>
      <c r="D102" s="48" t="s">
        <v>248</v>
      </c>
      <c r="E102" s="48" t="s">
        <v>43</v>
      </c>
      <c r="F102" s="48" t="s">
        <v>248</v>
      </c>
      <c r="G102" s="48" t="s">
        <v>43</v>
      </c>
      <c r="I102" s="63"/>
      <c r="J102" s="60"/>
    </row>
    <row r="103" spans="2:10" s="15" customFormat="1" ht="18" customHeight="1">
      <c r="B103" s="32" t="s">
        <v>164</v>
      </c>
      <c r="I103" s="63"/>
      <c r="J103" s="60"/>
    </row>
    <row r="104" spans="2:10" s="15" customFormat="1" ht="24" customHeight="1">
      <c r="B104" s="31" t="s">
        <v>206</v>
      </c>
      <c r="C104" s="15">
        <v>5000</v>
      </c>
      <c r="I104" s="63"/>
      <c r="J104" s="60"/>
    </row>
    <row r="105" spans="2:10" s="15" customFormat="1" ht="24" customHeight="1">
      <c r="B105" s="31" t="s">
        <v>208</v>
      </c>
      <c r="C105" s="15">
        <v>4</v>
      </c>
      <c r="D105" s="15">
        <v>3</v>
      </c>
      <c r="E105" s="15">
        <v>3</v>
      </c>
      <c r="F105" s="15">
        <v>3</v>
      </c>
      <c r="G105" s="15">
        <v>2</v>
      </c>
      <c r="I105" s="63"/>
      <c r="J105" s="60"/>
    </row>
    <row r="106" spans="2:10" s="15" customFormat="1" ht="24" customHeight="1">
      <c r="B106" s="31" t="s">
        <v>209</v>
      </c>
      <c r="C106" s="34">
        <f>(C81/C113)/C105</f>
        <v>4.090909090909091</v>
      </c>
      <c r="D106" s="34">
        <f>(D82/D114)/D105</f>
        <v>4.527272727272727</v>
      </c>
      <c r="E106" s="34">
        <f>(E82/E114)/E105</f>
        <v>3.622727272727273</v>
      </c>
      <c r="F106" s="34">
        <f>(F82/F114)/F105</f>
        <v>4.2272727272727275</v>
      </c>
      <c r="G106" s="34">
        <f>(G82/G114)/G105</f>
        <v>2.272727272727273</v>
      </c>
      <c r="I106" s="63"/>
      <c r="J106" s="60"/>
    </row>
    <row r="107" spans="1:10" s="15" customFormat="1" ht="19.5" customHeight="1">
      <c r="A107" s="15" t="s">
        <v>62</v>
      </c>
      <c r="B107" s="31" t="s">
        <v>210</v>
      </c>
      <c r="C107" s="35">
        <f>C105*C106*C104*MiscellaneousRates!B2</f>
        <v>1329545.4545454546</v>
      </c>
      <c r="D107" s="35">
        <f>D105*D106*MiscellaneousRates!B4</f>
        <v>543272.7272727273</v>
      </c>
      <c r="E107" s="57">
        <f>E105*E106*MiscellaneousRates!B4</f>
        <v>434727.27272727276</v>
      </c>
      <c r="F107" s="35">
        <f>F105*F106*MiscellaneousRates!B4</f>
        <v>507272.72727272735</v>
      </c>
      <c r="G107" s="57">
        <f>G105*G106*MiscellaneousRates!B4</f>
        <v>181818.18181818182</v>
      </c>
      <c r="I107" s="63"/>
      <c r="J107" s="60"/>
    </row>
    <row r="108" spans="1:10" s="15" customFormat="1" ht="30" customHeight="1">
      <c r="A108" s="15" t="s">
        <v>62</v>
      </c>
      <c r="B108" s="31" t="s">
        <v>50</v>
      </c>
      <c r="C108" s="35">
        <v>400000</v>
      </c>
      <c r="D108" s="35">
        <v>500000</v>
      </c>
      <c r="E108" s="57">
        <v>200000</v>
      </c>
      <c r="F108" s="35">
        <v>500000</v>
      </c>
      <c r="G108" s="57">
        <v>200000</v>
      </c>
      <c r="I108" s="63"/>
      <c r="J108" s="60"/>
    </row>
    <row r="109" spans="2:10" s="15" customFormat="1" ht="15.75" customHeight="1">
      <c r="B109" s="33" t="s">
        <v>211</v>
      </c>
      <c r="I109" s="63"/>
      <c r="J109" s="60"/>
    </row>
    <row r="110" spans="2:10" s="15" customFormat="1" ht="24" customHeight="1">
      <c r="B110" s="31" t="s">
        <v>213</v>
      </c>
      <c r="C110" s="15">
        <v>2</v>
      </c>
      <c r="D110" s="14"/>
      <c r="E110" s="14"/>
      <c r="F110" s="14"/>
      <c r="G110" s="14"/>
      <c r="I110" s="63"/>
      <c r="J110" s="60"/>
    </row>
    <row r="111" spans="2:10" s="15" customFormat="1" ht="24" customHeight="1">
      <c r="B111" s="31" t="s">
        <v>250</v>
      </c>
      <c r="C111" s="14"/>
      <c r="D111" s="15">
        <v>4</v>
      </c>
      <c r="E111" s="52">
        <v>8</v>
      </c>
      <c r="F111" s="15">
        <v>4</v>
      </c>
      <c r="G111" s="52">
        <v>9</v>
      </c>
      <c r="I111" s="63"/>
      <c r="J111" s="60"/>
    </row>
    <row r="112" spans="2:10" s="15" customFormat="1" ht="24" customHeight="1">
      <c r="B112" s="31" t="s">
        <v>214</v>
      </c>
      <c r="C112" s="15">
        <v>2</v>
      </c>
      <c r="D112" s="15">
        <v>2</v>
      </c>
      <c r="E112" s="52">
        <v>1</v>
      </c>
      <c r="F112" s="15">
        <v>2</v>
      </c>
      <c r="G112" s="52">
        <v>2</v>
      </c>
      <c r="I112" s="63"/>
      <c r="J112" s="60"/>
    </row>
    <row r="113" spans="2:10" s="15" customFormat="1" ht="24" customHeight="1">
      <c r="B113" s="31" t="s">
        <v>216</v>
      </c>
      <c r="C113" s="15">
        <f>C110*C112*MiscellaneousRates!B8*MiscellaneousRates!B6</f>
        <v>5280</v>
      </c>
      <c r="D113" s="14"/>
      <c r="E113" s="14"/>
      <c r="F113" s="14"/>
      <c r="G113" s="14"/>
      <c r="I113" s="63"/>
      <c r="J113" s="60"/>
    </row>
    <row r="114" spans="2:10" s="15" customFormat="1" ht="24" customHeight="1">
      <c r="B114" s="31" t="s">
        <v>251</v>
      </c>
      <c r="C114" s="14"/>
      <c r="D114" s="15">
        <f>D111*D112*MiscellaneousRates!B6</f>
        <v>1760</v>
      </c>
      <c r="E114" s="15">
        <f>E111*E112*MiscellaneousRates!$B$6</f>
        <v>1760</v>
      </c>
      <c r="F114" s="15">
        <f>F111*F112*MiscellaneousRates!$B6</f>
        <v>1760</v>
      </c>
      <c r="G114" s="15">
        <f>G111*G112*MiscellaneousRates!$B$6</f>
        <v>3960</v>
      </c>
      <c r="I114" s="63"/>
      <c r="J114" s="60"/>
    </row>
    <row r="115" spans="2:10" s="15" customFormat="1" ht="18" customHeight="1">
      <c r="B115" s="33" t="s">
        <v>217</v>
      </c>
      <c r="I115" s="63"/>
      <c r="J115" s="60"/>
    </row>
    <row r="116" spans="2:10" s="15" customFormat="1" ht="24" customHeight="1">
      <c r="B116" s="31" t="s">
        <v>218</v>
      </c>
      <c r="C116" s="15">
        <v>8</v>
      </c>
      <c r="D116" s="15">
        <v>7</v>
      </c>
      <c r="E116" s="15">
        <v>5</v>
      </c>
      <c r="F116" s="15">
        <v>7</v>
      </c>
      <c r="G116" s="15">
        <v>3</v>
      </c>
      <c r="I116" s="63"/>
      <c r="J116" s="60"/>
    </row>
    <row r="117" spans="2:10" s="15" customFormat="1" ht="24" customHeight="1">
      <c r="B117" s="31" t="s">
        <v>219</v>
      </c>
      <c r="C117" s="15">
        <v>1</v>
      </c>
      <c r="D117" s="15">
        <v>1</v>
      </c>
      <c r="E117" s="15">
        <v>1</v>
      </c>
      <c r="F117" s="15">
        <v>1</v>
      </c>
      <c r="G117" s="15">
        <v>1</v>
      </c>
      <c r="I117" s="63"/>
      <c r="J117" s="60"/>
    </row>
    <row r="118" spans="1:10" s="15" customFormat="1" ht="24" customHeight="1">
      <c r="A118" s="15" t="s">
        <v>63</v>
      </c>
      <c r="B118" s="31" t="s">
        <v>45</v>
      </c>
      <c r="C118" s="35">
        <f>(C116*LaborRates!E3+C117*LaborRates!E4)*C112*MiscellaneousRates!B6*MiscellaneousRates!B8*C105*C106</f>
        <v>10152000</v>
      </c>
      <c r="D118" s="35">
        <f>(D116*LaborRates!E3+D117*LaborRates!E4)*D112*MiscellaneousRates!B6*MiscellaneousRates!B8*D105*D106</f>
        <v>7529760</v>
      </c>
      <c r="E118" s="35">
        <f>(E116*LaborRates!E3+E117*LaborRates!E4)*E112*MiscellaneousRates!B6*MiscellaneousRates!B8*E105*E106</f>
        <v>2295360</v>
      </c>
      <c r="F118" s="35">
        <f>(F116*LaborRates!E3+F117*LaborRates!E4)*F112*MiscellaneousRates!B6*MiscellaneousRates!B8*F105*F106</f>
        <v>7030800</v>
      </c>
      <c r="G118" s="35">
        <f>(G116*LaborRates!E3+G117*LaborRates!E4)*G112*MiscellaneousRates!B6*MiscellaneousRates!B8*G105*G106</f>
        <v>1320000.0000000002</v>
      </c>
      <c r="I118" s="63"/>
      <c r="J118" s="60"/>
    </row>
    <row r="119" spans="1:7" ht="63.75" customHeight="1">
      <c r="A119" s="2"/>
      <c r="B119" s="26" t="s">
        <v>198</v>
      </c>
      <c r="C119" s="4" t="s">
        <v>233</v>
      </c>
      <c r="D119" s="4" t="s">
        <v>59</v>
      </c>
      <c r="E119" s="4" t="s">
        <v>228</v>
      </c>
      <c r="F119" s="4" t="s">
        <v>59</v>
      </c>
      <c r="G119" s="4" t="s">
        <v>228</v>
      </c>
    </row>
    <row r="120" spans="2:7" ht="27.75" customHeight="1">
      <c r="B120" s="5" t="s">
        <v>269</v>
      </c>
      <c r="C120" s="5" t="s">
        <v>203</v>
      </c>
      <c r="D120" s="5" t="s">
        <v>58</v>
      </c>
      <c r="E120" s="5" t="s">
        <v>58</v>
      </c>
      <c r="F120" s="5" t="s">
        <v>58</v>
      </c>
      <c r="G120" s="5" t="s">
        <v>58</v>
      </c>
    </row>
    <row r="121" spans="2:7" ht="27.75" customHeight="1">
      <c r="B121" s="5" t="s">
        <v>229</v>
      </c>
      <c r="C121" s="20">
        <f>C36*C37*C49*C21*C18</f>
        <v>6451200</v>
      </c>
      <c r="D121" s="14"/>
      <c r="E121" s="14"/>
      <c r="F121" s="14"/>
      <c r="G121" s="14"/>
    </row>
    <row r="122" spans="2:7" ht="27.75" customHeight="1">
      <c r="B122" s="5" t="s">
        <v>231</v>
      </c>
      <c r="C122" s="4">
        <v>64</v>
      </c>
      <c r="D122" s="14"/>
      <c r="E122" s="14"/>
      <c r="F122" s="14"/>
      <c r="G122" s="14"/>
    </row>
    <row r="123" spans="2:7" ht="27.75" customHeight="1">
      <c r="B123" s="5" t="s">
        <v>234</v>
      </c>
      <c r="C123" s="4">
        <v>3.7</v>
      </c>
      <c r="D123" s="14"/>
      <c r="E123" s="14"/>
      <c r="F123" s="14"/>
      <c r="G123" s="14"/>
    </row>
    <row r="124" spans="2:7" ht="27.75" customHeight="1">
      <c r="B124" s="5" t="s">
        <v>232</v>
      </c>
      <c r="C124" s="4">
        <v>192</v>
      </c>
      <c r="D124" s="14"/>
      <c r="E124" s="14"/>
      <c r="F124" s="14"/>
      <c r="G124" s="14"/>
    </row>
    <row r="125" spans="2:7" ht="27.75" customHeight="1">
      <c r="B125" s="5" t="s">
        <v>235</v>
      </c>
      <c r="C125" s="4">
        <v>4.34</v>
      </c>
      <c r="D125" s="14"/>
      <c r="E125" s="14"/>
      <c r="F125" s="14"/>
      <c r="G125" s="14"/>
    </row>
    <row r="126" spans="2:7" ht="27.75" customHeight="1">
      <c r="B126" s="5" t="s">
        <v>236</v>
      </c>
      <c r="C126" s="20">
        <f>C121</f>
        <v>6451200</v>
      </c>
      <c r="D126" s="14"/>
      <c r="E126" s="14"/>
      <c r="F126" s="14"/>
      <c r="G126" s="14"/>
    </row>
    <row r="127" spans="2:7" ht="27.75" customHeight="1">
      <c r="B127" s="4" t="s">
        <v>237</v>
      </c>
      <c r="C127" s="20">
        <f>C126+C121</f>
        <v>12902400</v>
      </c>
      <c r="D127" s="14"/>
      <c r="E127" s="14"/>
      <c r="F127" s="14"/>
      <c r="G127" s="14"/>
    </row>
    <row r="128" spans="2:7" ht="27.75" customHeight="1">
      <c r="B128" s="4" t="s">
        <v>238</v>
      </c>
      <c r="C128" s="14"/>
      <c r="D128" s="20">
        <f>D81*D65*2</f>
        <v>20653056</v>
      </c>
      <c r="E128" s="20">
        <f>E81*E65*E70*2</f>
        <v>16526592</v>
      </c>
      <c r="F128" s="20">
        <f>F81*F65*2</f>
        <v>19284480</v>
      </c>
      <c r="G128" s="20">
        <f>G81*G65*G70*2</f>
        <v>15552000</v>
      </c>
    </row>
    <row r="129" spans="2:7" ht="27.75" customHeight="1">
      <c r="B129" s="4" t="s">
        <v>239</v>
      </c>
      <c r="C129" s="14"/>
      <c r="D129" s="20">
        <v>1</v>
      </c>
      <c r="E129" s="20">
        <v>1</v>
      </c>
      <c r="F129" s="20">
        <v>1</v>
      </c>
      <c r="G129" s="20">
        <v>1</v>
      </c>
    </row>
    <row r="130" spans="2:7" ht="27.75" customHeight="1">
      <c r="B130" s="4" t="s">
        <v>240</v>
      </c>
      <c r="C130" s="14"/>
      <c r="D130" s="20">
        <f>D128+2*D129*D81</f>
        <v>22087296</v>
      </c>
      <c r="E130" s="20">
        <f>E128+2*E129*E81</f>
        <v>16564848</v>
      </c>
      <c r="F130" s="20">
        <f>F128+2*F129*F81</f>
        <v>20623680</v>
      </c>
      <c r="G130" s="20">
        <f>G128+2*G129*G81</f>
        <v>15588000</v>
      </c>
    </row>
    <row r="131" spans="2:7" ht="27.75" customHeight="1">
      <c r="B131" s="4" t="s">
        <v>46</v>
      </c>
      <c r="C131" s="13">
        <v>0.15</v>
      </c>
      <c r="D131" s="13">
        <v>0.56</v>
      </c>
      <c r="E131" s="13">
        <v>0.56</v>
      </c>
      <c r="F131" s="13">
        <v>0.56</v>
      </c>
      <c r="G131" s="13">
        <v>0.56</v>
      </c>
    </row>
    <row r="132" spans="2:7" ht="27.75" customHeight="1">
      <c r="B132" s="4" t="s">
        <v>242</v>
      </c>
      <c r="C132" s="13">
        <v>0.3</v>
      </c>
      <c r="D132" s="38"/>
      <c r="E132" s="38"/>
      <c r="F132" s="38"/>
      <c r="G132" s="38"/>
    </row>
    <row r="133" spans="2:7" ht="19.5" customHeight="1">
      <c r="B133" s="18" t="s">
        <v>48</v>
      </c>
      <c r="C133" s="13"/>
      <c r="D133" s="38"/>
      <c r="E133" s="38"/>
      <c r="F133" s="38"/>
      <c r="G133" s="38"/>
    </row>
    <row r="134" spans="2:7" ht="27.75" customHeight="1">
      <c r="B134" s="4" t="s">
        <v>241</v>
      </c>
      <c r="C134" s="8">
        <f>C131*C127</f>
        <v>1935360</v>
      </c>
      <c r="D134" s="8">
        <f>D131*D130</f>
        <v>12368885.760000002</v>
      </c>
      <c r="E134" s="8">
        <f>E131*E130</f>
        <v>9276314.88</v>
      </c>
      <c r="F134" s="8">
        <f>F131*F130</f>
        <v>11549260.8</v>
      </c>
      <c r="G134" s="8">
        <f>G131*G130</f>
        <v>8729280</v>
      </c>
    </row>
    <row r="135" spans="2:7" ht="27.75" customHeight="1">
      <c r="B135" s="4" t="s">
        <v>243</v>
      </c>
      <c r="C135" s="8">
        <f>C132*C127</f>
        <v>3870720</v>
      </c>
      <c r="D135" s="14"/>
      <c r="E135" s="14"/>
      <c r="F135" s="14"/>
      <c r="G135" s="14"/>
    </row>
    <row r="136" spans="2:7" ht="27.75" customHeight="1">
      <c r="B136" s="29" t="s">
        <v>297</v>
      </c>
      <c r="C136" s="8">
        <v>1150000</v>
      </c>
      <c r="D136" s="14"/>
      <c r="E136" s="14"/>
      <c r="F136" s="14"/>
      <c r="G136" s="14"/>
    </row>
    <row r="137" spans="2:7" ht="27.75" customHeight="1">
      <c r="B137" s="29" t="s">
        <v>146</v>
      </c>
      <c r="C137" s="8">
        <v>1440000</v>
      </c>
      <c r="D137" s="14"/>
      <c r="E137" s="14"/>
      <c r="F137" s="14"/>
      <c r="G137" s="14"/>
    </row>
    <row r="138" spans="2:7" ht="27.75" customHeight="1">
      <c r="B138" s="29" t="s">
        <v>147</v>
      </c>
      <c r="C138" s="8">
        <v>40000</v>
      </c>
      <c r="D138" s="14"/>
      <c r="E138" s="14"/>
      <c r="F138" s="14"/>
      <c r="G138" s="14"/>
    </row>
    <row r="139" spans="2:7" ht="27.75" customHeight="1">
      <c r="B139" s="29" t="s">
        <v>148</v>
      </c>
      <c r="C139" s="8">
        <v>260000</v>
      </c>
      <c r="D139" s="14"/>
      <c r="E139" s="14"/>
      <c r="F139" s="14"/>
      <c r="G139" s="14"/>
    </row>
    <row r="140" spans="2:7" ht="27.75" customHeight="1">
      <c r="B140" s="29" t="s">
        <v>149</v>
      </c>
      <c r="C140" s="14"/>
      <c r="D140"/>
      <c r="E140" s="14"/>
      <c r="F140"/>
      <c r="G140" s="14"/>
    </row>
    <row r="141" spans="1:7" ht="27.75" customHeight="1">
      <c r="A141" s="4" t="s">
        <v>62</v>
      </c>
      <c r="B141" s="4" t="s">
        <v>47</v>
      </c>
      <c r="C141" s="8">
        <f>SUM(C134:C140)</f>
        <v>8696080</v>
      </c>
      <c r="D141" s="8">
        <f>SUM(D134:D140)</f>
        <v>12368885.760000002</v>
      </c>
      <c r="E141" s="8">
        <f>SUM(E134:E140)</f>
        <v>9276314.88</v>
      </c>
      <c r="F141" s="8">
        <f>SUM(F134:F140)</f>
        <v>11549260.8</v>
      </c>
      <c r="G141" s="8">
        <f>SUM(G134:G140)</f>
        <v>8729280</v>
      </c>
    </row>
    <row r="142" spans="2:7" ht="16.5" customHeight="1">
      <c r="B142" s="18" t="s">
        <v>60</v>
      </c>
      <c r="C142" s="8"/>
      <c r="D142" s="38"/>
      <c r="E142" s="38"/>
      <c r="F142" s="38"/>
      <c r="G142" s="38"/>
    </row>
    <row r="143" spans="2:7" ht="27.75" customHeight="1">
      <c r="B143" s="5" t="s">
        <v>158</v>
      </c>
      <c r="C143" s="20">
        <v>2</v>
      </c>
      <c r="D143" s="38"/>
      <c r="E143" s="38"/>
      <c r="F143" s="38"/>
      <c r="G143" s="38"/>
    </row>
    <row r="144" spans="2:7" ht="27.75" customHeight="1">
      <c r="B144" s="5" t="s">
        <v>159</v>
      </c>
      <c r="C144" s="20">
        <v>2</v>
      </c>
      <c r="D144" s="38"/>
      <c r="E144" s="38"/>
      <c r="F144" s="38"/>
      <c r="G144" s="38"/>
    </row>
    <row r="145" spans="2:7" ht="27.75" customHeight="1">
      <c r="B145" s="5" t="s">
        <v>160</v>
      </c>
      <c r="C145" s="20">
        <v>2</v>
      </c>
      <c r="D145" s="38"/>
      <c r="E145" s="38"/>
      <c r="F145" s="38"/>
      <c r="G145" s="38"/>
    </row>
    <row r="146" spans="1:7" ht="27.75" customHeight="1">
      <c r="A146" s="4" t="s">
        <v>63</v>
      </c>
      <c r="B146" s="4" t="s">
        <v>161</v>
      </c>
      <c r="C146" s="8">
        <f>(C143+C144+C145)*C21*C18*LaborRates!E2</f>
        <v>2160000</v>
      </c>
      <c r="D146" s="38"/>
      <c r="E146" s="38"/>
      <c r="F146" s="38"/>
      <c r="G146" s="38"/>
    </row>
    <row r="147" spans="2:10" s="15" customFormat="1" ht="52.5" customHeight="1">
      <c r="B147" s="36" t="s">
        <v>227</v>
      </c>
      <c r="C147" s="15" t="s">
        <v>49</v>
      </c>
      <c r="D147" s="14"/>
      <c r="E147" s="14"/>
      <c r="F147" s="14"/>
      <c r="G147" s="14"/>
      <c r="I147" s="63"/>
      <c r="J147" s="60"/>
    </row>
    <row r="148" spans="2:10" s="15" customFormat="1" ht="21" customHeight="1">
      <c r="B148" s="33" t="s">
        <v>164</v>
      </c>
      <c r="D148" s="14"/>
      <c r="E148" s="14"/>
      <c r="F148" s="14"/>
      <c r="G148" s="14"/>
      <c r="I148" s="63"/>
      <c r="J148" s="60"/>
    </row>
    <row r="149" spans="2:10" s="15" customFormat="1" ht="27" customHeight="1">
      <c r="B149" s="31" t="s">
        <v>3</v>
      </c>
      <c r="C149" s="15">
        <v>2</v>
      </c>
      <c r="D149" s="14"/>
      <c r="E149" s="14"/>
      <c r="F149" s="14"/>
      <c r="G149" s="14"/>
      <c r="I149" s="63"/>
      <c r="J149" s="60"/>
    </row>
    <row r="150" spans="2:10" s="15" customFormat="1" ht="27" customHeight="1">
      <c r="B150" s="31" t="s">
        <v>4</v>
      </c>
      <c r="C150" s="35">
        <v>375000</v>
      </c>
      <c r="D150" s="14"/>
      <c r="E150" s="14"/>
      <c r="F150" s="14"/>
      <c r="G150" s="14"/>
      <c r="I150" s="63"/>
      <c r="J150" s="60"/>
    </row>
    <row r="151" spans="2:10" s="15" customFormat="1" ht="27" customHeight="1">
      <c r="B151" s="31" t="s">
        <v>5</v>
      </c>
      <c r="C151" s="35">
        <v>40000</v>
      </c>
      <c r="D151" s="14"/>
      <c r="E151" s="14"/>
      <c r="F151" s="14"/>
      <c r="G151" s="14"/>
      <c r="I151" s="63"/>
      <c r="J151" s="60"/>
    </row>
    <row r="152" spans="2:10" s="15" customFormat="1" ht="21.75" customHeight="1">
      <c r="B152" s="31" t="s">
        <v>6</v>
      </c>
      <c r="C152" s="34">
        <f>C106</f>
        <v>4.090909090909091</v>
      </c>
      <c r="D152" s="14"/>
      <c r="E152" s="14"/>
      <c r="F152" s="14"/>
      <c r="G152" s="14"/>
      <c r="I152" s="63"/>
      <c r="J152" s="60"/>
    </row>
    <row r="153" spans="1:10" s="15" customFormat="1" ht="21.75" customHeight="1">
      <c r="A153" s="15" t="s">
        <v>62</v>
      </c>
      <c r="B153" s="31" t="s">
        <v>61</v>
      </c>
      <c r="C153" s="35">
        <f>C149*C150+C152*C151</f>
        <v>913636.3636363636</v>
      </c>
      <c r="D153" s="14"/>
      <c r="E153" s="14"/>
      <c r="F153" s="14"/>
      <c r="G153" s="14"/>
      <c r="I153" s="63"/>
      <c r="J153" s="60"/>
    </row>
    <row r="154" spans="2:10" s="15" customFormat="1" ht="39.75" customHeight="1">
      <c r="B154" s="33" t="s">
        <v>13</v>
      </c>
      <c r="D154" s="14"/>
      <c r="E154" s="14"/>
      <c r="F154" s="14"/>
      <c r="G154" s="14"/>
      <c r="I154" s="63"/>
      <c r="J154" s="60"/>
    </row>
    <row r="155" spans="2:10" s="15" customFormat="1" ht="25.5" customHeight="1">
      <c r="B155" s="31" t="s">
        <v>11</v>
      </c>
      <c r="C155" s="15">
        <v>12</v>
      </c>
      <c r="D155" s="14"/>
      <c r="E155" s="14"/>
      <c r="F155" s="14"/>
      <c r="G155" s="14"/>
      <c r="I155" s="63"/>
      <c r="J155" s="60"/>
    </row>
    <row r="156" spans="2:10" s="15" customFormat="1" ht="25.5" customHeight="1">
      <c r="B156" s="31" t="s">
        <v>12</v>
      </c>
      <c r="C156" s="15">
        <v>240</v>
      </c>
      <c r="D156" s="14"/>
      <c r="E156" s="14"/>
      <c r="F156" s="14"/>
      <c r="G156" s="14"/>
      <c r="I156" s="63"/>
      <c r="J156" s="60"/>
    </row>
    <row r="157" spans="2:10" s="15" customFormat="1" ht="25.5" customHeight="1">
      <c r="B157" s="31" t="s">
        <v>14</v>
      </c>
      <c r="C157" s="15">
        <v>8</v>
      </c>
      <c r="D157" s="14"/>
      <c r="E157" s="14"/>
      <c r="F157" s="14"/>
      <c r="G157" s="14"/>
      <c r="I157" s="63"/>
      <c r="J157" s="60"/>
    </row>
    <row r="158" spans="2:10" s="15" customFormat="1" ht="25.5" customHeight="1">
      <c r="B158" s="31" t="s">
        <v>15</v>
      </c>
      <c r="C158" s="15">
        <v>9</v>
      </c>
      <c r="D158" s="14"/>
      <c r="E158" s="14"/>
      <c r="F158" s="14"/>
      <c r="G158" s="14"/>
      <c r="I158" s="63"/>
      <c r="J158" s="60"/>
    </row>
    <row r="159" spans="2:10" s="15" customFormat="1" ht="25.5" customHeight="1">
      <c r="B159" s="31" t="s">
        <v>16</v>
      </c>
      <c r="C159" s="15">
        <v>2</v>
      </c>
      <c r="D159" s="14"/>
      <c r="E159" s="14"/>
      <c r="F159" s="14"/>
      <c r="G159" s="14"/>
      <c r="I159" s="63"/>
      <c r="J159" s="60"/>
    </row>
    <row r="160" spans="2:10" s="15" customFormat="1" ht="25.5" customHeight="1">
      <c r="B160" s="31" t="s">
        <v>2</v>
      </c>
      <c r="C160" s="15">
        <v>5.55</v>
      </c>
      <c r="D160" s="14"/>
      <c r="E160" s="14"/>
      <c r="F160" s="14"/>
      <c r="G160" s="14"/>
      <c r="I160" s="63"/>
      <c r="J160" s="60"/>
    </row>
    <row r="161" spans="1:10" s="15" customFormat="1" ht="27.75" customHeight="1">
      <c r="A161" s="15" t="s">
        <v>63</v>
      </c>
      <c r="B161" s="15" t="s">
        <v>7</v>
      </c>
      <c r="C161" s="35">
        <f>C160*C21*C18*LaborRates!E5</f>
        <v>2397600</v>
      </c>
      <c r="D161" s="14"/>
      <c r="E161" s="14"/>
      <c r="F161" s="14"/>
      <c r="G161" s="14"/>
      <c r="I161" s="63"/>
      <c r="J161" s="60"/>
    </row>
    <row r="162" spans="2:10" s="15" customFormat="1" ht="27.75" customHeight="1">
      <c r="B162" s="36" t="s">
        <v>182</v>
      </c>
      <c r="C162" s="35"/>
      <c r="D162" s="14"/>
      <c r="E162" s="14"/>
      <c r="F162" s="14"/>
      <c r="G162" s="14"/>
      <c r="I162" s="63"/>
      <c r="J162" s="60"/>
    </row>
    <row r="163" spans="2:10" s="15" customFormat="1" ht="27.75" customHeight="1">
      <c r="B163" s="15" t="s">
        <v>127</v>
      </c>
      <c r="C163" s="54">
        <v>23</v>
      </c>
      <c r="D163" s="14"/>
      <c r="E163" s="14"/>
      <c r="F163" s="14"/>
      <c r="G163" s="14"/>
      <c r="I163" s="63"/>
      <c r="J163" s="60"/>
    </row>
    <row r="164" spans="2:10" s="15" customFormat="1" ht="27.75" customHeight="1">
      <c r="B164" s="15" t="s">
        <v>141</v>
      </c>
      <c r="C164" s="55">
        <f>C163/1000</f>
        <v>0.023</v>
      </c>
      <c r="D164" s="14"/>
      <c r="E164" s="14"/>
      <c r="F164" s="14"/>
      <c r="G164" s="14"/>
      <c r="I164" s="63"/>
      <c r="J164" s="60"/>
    </row>
    <row r="165" spans="2:10" s="15" customFormat="1" ht="27.75" customHeight="1">
      <c r="B165" s="15" t="s">
        <v>140</v>
      </c>
      <c r="C165" s="55">
        <f>C164*C18</f>
        <v>27.599999999999998</v>
      </c>
      <c r="D165" s="14"/>
      <c r="E165" s="14"/>
      <c r="F165" s="14"/>
      <c r="G165" s="14"/>
      <c r="I165" s="63"/>
      <c r="J165" s="60"/>
    </row>
    <row r="166" spans="2:10" s="15" customFormat="1" ht="27.75" customHeight="1">
      <c r="B166" s="15" t="s">
        <v>142</v>
      </c>
      <c r="C166" s="55">
        <v>22000</v>
      </c>
      <c r="D166" s="14"/>
      <c r="E166" s="14"/>
      <c r="F166" s="14"/>
      <c r="G166" s="14"/>
      <c r="I166" s="63"/>
      <c r="J166" s="60"/>
    </row>
    <row r="167" spans="1:10" s="15" customFormat="1" ht="27.75" customHeight="1">
      <c r="A167" s="15" t="s">
        <v>143</v>
      </c>
      <c r="B167" s="15" t="s">
        <v>1</v>
      </c>
      <c r="C167" s="55">
        <f>C166*C149</f>
        <v>44000</v>
      </c>
      <c r="D167" s="14"/>
      <c r="E167" s="14"/>
      <c r="F167" s="14"/>
      <c r="G167" s="14"/>
      <c r="I167" s="63"/>
      <c r="J167" s="60"/>
    </row>
    <row r="168" spans="2:10" s="15" customFormat="1" ht="27.75" customHeight="1">
      <c r="B168" s="15" t="s">
        <v>183</v>
      </c>
      <c r="C168" s="35">
        <v>3530</v>
      </c>
      <c r="D168" s="14"/>
      <c r="E168" s="14"/>
      <c r="F168" s="14"/>
      <c r="G168" s="14"/>
      <c r="I168" s="63"/>
      <c r="J168" s="60"/>
    </row>
    <row r="169" spans="1:10" s="15" customFormat="1" ht="27.75" customHeight="1">
      <c r="A169" s="15" t="s">
        <v>62</v>
      </c>
      <c r="B169" s="15" t="s">
        <v>183</v>
      </c>
      <c r="C169" s="35">
        <f>C168*C18</f>
        <v>4236000</v>
      </c>
      <c r="D169" s="14"/>
      <c r="E169" s="14"/>
      <c r="F169" s="14"/>
      <c r="G169" s="14"/>
      <c r="I169" s="63"/>
      <c r="J169" s="60"/>
    </row>
    <row r="170" spans="2:10" s="15" customFormat="1" ht="27.75" customHeight="1">
      <c r="B170" s="15" t="s">
        <v>144</v>
      </c>
      <c r="C170" s="56">
        <v>8.5</v>
      </c>
      <c r="D170" s="14"/>
      <c r="E170" s="14"/>
      <c r="F170" s="14"/>
      <c r="G170" s="14"/>
      <c r="I170" s="63"/>
      <c r="J170" s="60"/>
    </row>
    <row r="171" spans="2:10" s="15" customFormat="1" ht="27.75" customHeight="1">
      <c r="B171" s="15" t="s">
        <v>145</v>
      </c>
      <c r="C171" s="54">
        <v>2</v>
      </c>
      <c r="D171" s="14"/>
      <c r="E171" s="14"/>
      <c r="F171" s="14"/>
      <c r="G171" s="14"/>
      <c r="I171" s="63"/>
      <c r="J171" s="60"/>
    </row>
    <row r="172" spans="2:10" s="15" customFormat="1" ht="27.75" customHeight="1">
      <c r="B172" s="15" t="s">
        <v>0</v>
      </c>
      <c r="C172" s="54">
        <v>1</v>
      </c>
      <c r="D172" s="14"/>
      <c r="E172" s="14"/>
      <c r="F172" s="14"/>
      <c r="G172" s="14"/>
      <c r="I172" s="63"/>
      <c r="J172" s="60"/>
    </row>
    <row r="173" spans="1:10" s="15" customFormat="1" ht="27.75" customHeight="1">
      <c r="A173" s="15" t="s">
        <v>63</v>
      </c>
      <c r="B173" s="15" t="s">
        <v>182</v>
      </c>
      <c r="C173" s="35">
        <f>C170*(C171*LaborRates!E3+C172*LaborRates!E4)*C18</f>
        <v>867000</v>
      </c>
      <c r="D173" s="14"/>
      <c r="E173" s="14"/>
      <c r="F173" s="14"/>
      <c r="G173" s="14"/>
      <c r="I173" s="63"/>
      <c r="J173" s="60"/>
    </row>
    <row r="174" ht="34.5" customHeight="1">
      <c r="B174" s="17" t="s">
        <v>162</v>
      </c>
    </row>
    <row r="175" spans="2:7" ht="27.75" customHeight="1">
      <c r="B175" s="2" t="s">
        <v>252</v>
      </c>
      <c r="D175" s="14"/>
      <c r="E175" s="14"/>
      <c r="F175" s="14"/>
      <c r="G175" s="14"/>
    </row>
    <row r="176" spans="2:7" ht="27.75" customHeight="1">
      <c r="B176" s="4" t="s">
        <v>256</v>
      </c>
      <c r="C176" s="8">
        <v>31</v>
      </c>
      <c r="D176" s="14"/>
      <c r="E176" s="14"/>
      <c r="F176" s="14"/>
      <c r="G176" s="14"/>
    </row>
    <row r="177" spans="2:7" ht="27.75" customHeight="1">
      <c r="B177" s="4" t="s">
        <v>253</v>
      </c>
      <c r="C177" s="8">
        <v>40</v>
      </c>
      <c r="D177" s="14"/>
      <c r="E177" s="14"/>
      <c r="F177" s="14"/>
      <c r="G177" s="14"/>
    </row>
    <row r="178" spans="2:7" ht="27.75" customHeight="1">
      <c r="B178" s="4" t="s">
        <v>254</v>
      </c>
      <c r="C178" s="8">
        <v>365</v>
      </c>
      <c r="D178" s="14"/>
      <c r="E178" s="14"/>
      <c r="F178" s="14"/>
      <c r="G178" s="14"/>
    </row>
    <row r="179" spans="2:7" ht="27.75" customHeight="1">
      <c r="B179" s="4" t="s">
        <v>255</v>
      </c>
      <c r="C179" s="8">
        <v>4000</v>
      </c>
      <c r="D179" s="14"/>
      <c r="E179" s="14"/>
      <c r="F179" s="14"/>
      <c r="G179" s="14"/>
    </row>
    <row r="180" spans="1:7" ht="27.75" customHeight="1">
      <c r="A180" s="4" t="s">
        <v>62</v>
      </c>
      <c r="B180" s="4" t="s">
        <v>180</v>
      </c>
      <c r="C180" s="8">
        <f>(C176*C80*C21*C18)+(C177*C21*C18)+(C178*C18)+C179</f>
        <v>3696400</v>
      </c>
      <c r="D180" s="14"/>
      <c r="E180" s="14"/>
      <c r="F180" s="14"/>
      <c r="G180" s="14"/>
    </row>
    <row r="181" spans="2:7" ht="27.75" customHeight="1">
      <c r="B181" s="4" t="s">
        <v>92</v>
      </c>
      <c r="C181" s="4">
        <v>1.25</v>
      </c>
      <c r="D181" s="14"/>
      <c r="E181" s="14"/>
      <c r="F181" s="14"/>
      <c r="G181" s="14"/>
    </row>
    <row r="182" spans="2:7" ht="27.75" customHeight="1">
      <c r="B182" s="4" t="s">
        <v>93</v>
      </c>
      <c r="C182" s="4">
        <f>C181*C21*C18</f>
        <v>18000</v>
      </c>
      <c r="D182" s="14"/>
      <c r="E182" s="14"/>
      <c r="F182" s="14"/>
      <c r="G182" s="14"/>
    </row>
    <row r="183" spans="1:7" ht="27.75" customHeight="1">
      <c r="A183" s="4" t="s">
        <v>63</v>
      </c>
      <c r="B183" s="4" t="s">
        <v>181</v>
      </c>
      <c r="C183" s="8">
        <f>C182*LaborRates!E3</f>
        <v>450000</v>
      </c>
      <c r="D183" s="14"/>
      <c r="E183" s="14"/>
      <c r="F183" s="14"/>
      <c r="G183" s="14"/>
    </row>
    <row r="184" spans="2:7" ht="27.75" customHeight="1">
      <c r="B184" s="2" t="s">
        <v>135</v>
      </c>
      <c r="D184" s="14"/>
      <c r="E184" s="14"/>
      <c r="F184" s="14"/>
      <c r="G184" s="14"/>
    </row>
    <row r="185" spans="1:7" ht="43.5" customHeight="1">
      <c r="A185" s="4" t="s">
        <v>62</v>
      </c>
      <c r="B185" s="4" t="s">
        <v>64</v>
      </c>
      <c r="C185" s="8">
        <v>4221006</v>
      </c>
      <c r="D185" s="14"/>
      <c r="E185" s="14"/>
      <c r="F185" s="14"/>
      <c r="G185" s="14"/>
    </row>
    <row r="186" spans="2:7" ht="45.75" customHeight="1">
      <c r="B186" s="4" t="s">
        <v>65</v>
      </c>
      <c r="C186" s="20">
        <v>110439</v>
      </c>
      <c r="D186" s="14"/>
      <c r="E186" s="14"/>
      <c r="F186" s="14"/>
      <c r="G186" s="14"/>
    </row>
    <row r="187" spans="1:7" ht="45" customHeight="1">
      <c r="A187" s="4" t="s">
        <v>63</v>
      </c>
      <c r="B187" s="4" t="s">
        <v>66</v>
      </c>
      <c r="C187" s="8">
        <f>C186*LaborRates!E5</f>
        <v>3313170</v>
      </c>
      <c r="D187" s="14"/>
      <c r="E187" s="14"/>
      <c r="F187" s="14"/>
      <c r="G187" s="14"/>
    </row>
    <row r="188" ht="33" customHeight="1">
      <c r="B188" s="11" t="s">
        <v>136</v>
      </c>
    </row>
    <row r="189" spans="2:7" ht="27.75" customHeight="1">
      <c r="B189" s="29" t="s">
        <v>137</v>
      </c>
      <c r="C189" s="14"/>
      <c r="D189" s="4">
        <v>16</v>
      </c>
      <c r="E189" s="4">
        <v>16</v>
      </c>
      <c r="F189" s="4">
        <v>16</v>
      </c>
      <c r="G189" s="4">
        <v>16</v>
      </c>
    </row>
    <row r="190" spans="2:7" ht="27.75" customHeight="1">
      <c r="B190" s="29" t="s">
        <v>138</v>
      </c>
      <c r="C190" s="14"/>
      <c r="D190" s="4">
        <v>2</v>
      </c>
      <c r="E190" s="4">
        <v>2</v>
      </c>
      <c r="F190" s="4">
        <v>2</v>
      </c>
      <c r="G190" s="4">
        <v>2</v>
      </c>
    </row>
    <row r="191" spans="2:7" ht="27.75" customHeight="1">
      <c r="B191" s="29" t="s">
        <v>289</v>
      </c>
      <c r="C191" s="14"/>
      <c r="D191" s="20">
        <f>D82</f>
        <v>23904</v>
      </c>
      <c r="E191" s="20">
        <f>E82</f>
        <v>19128</v>
      </c>
      <c r="F191" s="20">
        <f>F82</f>
        <v>22320</v>
      </c>
      <c r="G191" s="20">
        <f>G82</f>
        <v>18000</v>
      </c>
    </row>
    <row r="192" spans="2:7" ht="27.75" customHeight="1">
      <c r="B192" s="29" t="s">
        <v>139</v>
      </c>
      <c r="C192" s="14"/>
      <c r="D192" s="13">
        <v>2.7</v>
      </c>
      <c r="E192" s="13">
        <v>2.7</v>
      </c>
      <c r="F192" s="13">
        <v>2.7</v>
      </c>
      <c r="G192" s="13">
        <v>2.7</v>
      </c>
    </row>
    <row r="193" spans="1:7" ht="27.75" customHeight="1">
      <c r="A193" s="4" t="s">
        <v>62</v>
      </c>
      <c r="B193" s="29" t="s">
        <v>288</v>
      </c>
      <c r="C193" s="14"/>
      <c r="D193" s="8">
        <f>D192*D189*D82</f>
        <v>1032652.8</v>
      </c>
      <c r="E193" s="8">
        <f>E192*E189*E82</f>
        <v>826329.6000000001</v>
      </c>
      <c r="F193" s="8">
        <f>F192*F189*F82</f>
        <v>964224.0000000001</v>
      </c>
      <c r="G193" s="8">
        <f>G192*G189*G82</f>
        <v>777600</v>
      </c>
    </row>
    <row r="194" spans="2:7" ht="27.75" customHeight="1">
      <c r="B194" s="29" t="s">
        <v>290</v>
      </c>
      <c r="C194" s="14"/>
      <c r="D194" s="4">
        <v>2</v>
      </c>
      <c r="E194" s="4">
        <v>2</v>
      </c>
      <c r="F194" s="4">
        <v>2</v>
      </c>
      <c r="G194" s="4">
        <v>2</v>
      </c>
    </row>
    <row r="195" spans="2:7" ht="27.75" customHeight="1">
      <c r="B195" s="29" t="s">
        <v>291</v>
      </c>
      <c r="C195" s="14"/>
      <c r="D195" s="4">
        <f>D82/2</f>
        <v>11952</v>
      </c>
      <c r="E195" s="4">
        <f>E82/2</f>
        <v>9564</v>
      </c>
      <c r="F195" s="4">
        <f>F82/2</f>
        <v>11160</v>
      </c>
      <c r="G195" s="4">
        <f>G82/2</f>
        <v>9000</v>
      </c>
    </row>
    <row r="196" spans="2:7" ht="27.75" customHeight="1">
      <c r="B196" s="29" t="s">
        <v>292</v>
      </c>
      <c r="C196" s="14"/>
      <c r="D196" s="13">
        <v>15.7</v>
      </c>
      <c r="E196" s="13">
        <v>15.7</v>
      </c>
      <c r="F196" s="13">
        <v>15.7</v>
      </c>
      <c r="G196" s="13">
        <v>15.7</v>
      </c>
    </row>
    <row r="197" spans="2:7" ht="27.75" customHeight="1">
      <c r="B197" s="29" t="s">
        <v>293</v>
      </c>
      <c r="C197" s="14"/>
      <c r="D197" s="13">
        <v>17</v>
      </c>
      <c r="E197" s="13">
        <v>17</v>
      </c>
      <c r="F197" s="13">
        <v>17</v>
      </c>
      <c r="G197" s="13">
        <v>17</v>
      </c>
    </row>
    <row r="198" spans="2:7" ht="27.75" customHeight="1">
      <c r="B198" s="29" t="s">
        <v>294</v>
      </c>
      <c r="C198" s="14"/>
      <c r="D198" s="13">
        <v>33.79</v>
      </c>
      <c r="E198" s="13">
        <v>33.79</v>
      </c>
      <c r="F198" s="13">
        <v>33.79</v>
      </c>
      <c r="G198" s="13">
        <v>33.79</v>
      </c>
    </row>
    <row r="199" spans="2:7" ht="27.75" customHeight="1">
      <c r="B199" s="29" t="s">
        <v>296</v>
      </c>
      <c r="C199" s="14"/>
      <c r="D199" s="13">
        <v>113.5</v>
      </c>
      <c r="E199" s="13">
        <v>113.5</v>
      </c>
      <c r="F199" s="13">
        <v>113.5</v>
      </c>
      <c r="G199" s="13">
        <v>113.5</v>
      </c>
    </row>
    <row r="200" spans="1:7" ht="27.75" customHeight="1">
      <c r="A200" s="4" t="s">
        <v>62</v>
      </c>
      <c r="B200" s="29" t="s">
        <v>67</v>
      </c>
      <c r="C200" s="14"/>
      <c r="D200" s="13">
        <f>(D196+D197+D198+D199)*D195</f>
        <v>2151240.48</v>
      </c>
      <c r="E200" s="13">
        <f>(E196+E197+E198+E199)*E195</f>
        <v>1721424.36</v>
      </c>
      <c r="F200" s="13">
        <f>(F196+F197+F198+F199)*F195</f>
        <v>2008688.4000000001</v>
      </c>
      <c r="G200" s="13">
        <f>(G196+G197+G198+G199)*G195</f>
        <v>1619910</v>
      </c>
    </row>
    <row r="201" spans="2:7" ht="27.75" customHeight="1">
      <c r="B201" s="29" t="s">
        <v>295</v>
      </c>
      <c r="C201" s="14"/>
      <c r="D201" s="13">
        <v>12</v>
      </c>
      <c r="E201" s="13">
        <v>12</v>
      </c>
      <c r="F201" s="13">
        <v>12</v>
      </c>
      <c r="G201" s="13">
        <v>12</v>
      </c>
    </row>
    <row r="202" spans="1:7" ht="27.75" customHeight="1">
      <c r="A202" s="4" t="s">
        <v>63</v>
      </c>
      <c r="B202" s="29" t="s">
        <v>116</v>
      </c>
      <c r="C202" s="14"/>
      <c r="D202" s="13">
        <f>D201*D195</f>
        <v>143424</v>
      </c>
      <c r="E202" s="13">
        <f>E201*E195</f>
        <v>114768</v>
      </c>
      <c r="F202" s="13">
        <f>F201*F195</f>
        <v>133920</v>
      </c>
      <c r="G202" s="13">
        <f>G201*G195</f>
        <v>108000</v>
      </c>
    </row>
    <row r="203" spans="2:7" ht="27.75" customHeight="1">
      <c r="B203" s="4" t="s">
        <v>115</v>
      </c>
      <c r="C203" s="4">
        <v>4</v>
      </c>
      <c r="D203" s="14"/>
      <c r="E203" s="14"/>
      <c r="F203" s="14"/>
      <c r="G203" s="14"/>
    </row>
    <row r="204" spans="2:7" ht="24.75" customHeight="1">
      <c r="B204" s="49" t="s">
        <v>184</v>
      </c>
      <c r="C204" s="44">
        <f>C203*C21*C18</f>
        <v>57600</v>
      </c>
      <c r="D204" s="45"/>
      <c r="E204" s="14"/>
      <c r="F204" s="45"/>
      <c r="G204" s="14"/>
    </row>
    <row r="205" spans="2:7" ht="24.75" customHeight="1">
      <c r="B205" s="49" t="s">
        <v>80</v>
      </c>
      <c r="C205" s="44">
        <f>C204</f>
        <v>57600</v>
      </c>
      <c r="D205" s="45"/>
      <c r="E205" s="14"/>
      <c r="F205" s="45"/>
      <c r="G205" s="14"/>
    </row>
    <row r="206" spans="2:7" ht="24.75" customHeight="1">
      <c r="B206" s="49" t="s">
        <v>89</v>
      </c>
      <c r="C206" s="44">
        <f>C204</f>
        <v>57600</v>
      </c>
      <c r="D206" s="45"/>
      <c r="E206" s="14"/>
      <c r="F206" s="45"/>
      <c r="G206" s="14"/>
    </row>
    <row r="207" spans="2:7" ht="24.75" customHeight="1">
      <c r="B207" s="50" t="s">
        <v>266</v>
      </c>
      <c r="C207" s="1">
        <f>20+40+1</f>
        <v>61</v>
      </c>
      <c r="D207" s="45"/>
      <c r="E207" s="14"/>
      <c r="F207" s="45"/>
      <c r="G207" s="14"/>
    </row>
    <row r="208" spans="2:7" ht="24.75" customHeight="1">
      <c r="B208" s="49" t="s">
        <v>82</v>
      </c>
      <c r="C208" s="44">
        <f>C21*C18</f>
        <v>14400</v>
      </c>
      <c r="D208" s="45"/>
      <c r="E208" s="14"/>
      <c r="F208" s="45"/>
      <c r="G208" s="14"/>
    </row>
    <row r="209" spans="2:7" ht="24.75" customHeight="1">
      <c r="B209" s="49" t="s">
        <v>90</v>
      </c>
      <c r="C209" s="44">
        <f>C208</f>
        <v>14400</v>
      </c>
      <c r="D209" s="45"/>
      <c r="E209" s="14"/>
      <c r="F209" s="45"/>
      <c r="G209" s="14"/>
    </row>
    <row r="210" spans="2:7" ht="24.75" customHeight="1">
      <c r="B210" s="50" t="s">
        <v>266</v>
      </c>
      <c r="C210" s="1">
        <f>156+2</f>
        <v>158</v>
      </c>
      <c r="D210" s="45"/>
      <c r="E210" s="14"/>
      <c r="F210" s="45"/>
      <c r="G210" s="14"/>
    </row>
    <row r="211" spans="2:7" ht="24.75" customHeight="1">
      <c r="B211" s="49" t="s">
        <v>81</v>
      </c>
      <c r="C211" s="1">
        <f>C18</f>
        <v>1200</v>
      </c>
      <c r="D211" s="45"/>
      <c r="E211" s="14"/>
      <c r="F211" s="45"/>
      <c r="G211" s="14"/>
    </row>
    <row r="212" spans="2:7" ht="24.75" customHeight="1">
      <c r="B212" s="49" t="s">
        <v>83</v>
      </c>
      <c r="C212" s="1">
        <f>C211</f>
        <v>1200</v>
      </c>
      <c r="D212" s="45"/>
      <c r="E212" s="14"/>
      <c r="F212" s="45"/>
      <c r="G212" s="14"/>
    </row>
    <row r="213" spans="2:7" ht="24.75" customHeight="1">
      <c r="B213" s="49" t="s">
        <v>91</v>
      </c>
      <c r="C213" s="1">
        <f>C211</f>
        <v>1200</v>
      </c>
      <c r="D213" s="45"/>
      <c r="E213" s="14"/>
      <c r="F213" s="45"/>
      <c r="G213" s="14"/>
    </row>
    <row r="214" spans="2:7" ht="24.75" customHeight="1">
      <c r="B214" s="49" t="s">
        <v>112</v>
      </c>
      <c r="C214" s="1">
        <f>C211</f>
        <v>1200</v>
      </c>
      <c r="D214" s="45"/>
      <c r="E214" s="14"/>
      <c r="F214" s="45"/>
      <c r="G214" s="14"/>
    </row>
    <row r="215" spans="2:7" ht="24.75" customHeight="1">
      <c r="B215" s="50" t="s">
        <v>266</v>
      </c>
      <c r="C215" s="1">
        <f>200+225+10+10</f>
        <v>445</v>
      </c>
      <c r="D215" s="45"/>
      <c r="E215" s="14"/>
      <c r="F215" s="45"/>
      <c r="G215" s="14"/>
    </row>
    <row r="216" spans="2:7" ht="24.75" customHeight="1">
      <c r="B216" s="49" t="s">
        <v>84</v>
      </c>
      <c r="C216" s="1">
        <f>C18/C21</f>
        <v>100</v>
      </c>
      <c r="D216" s="45"/>
      <c r="E216" s="14"/>
      <c r="F216" s="45"/>
      <c r="G216" s="14"/>
    </row>
    <row r="217" spans="2:7" ht="24.75" customHeight="1">
      <c r="B217" s="49" t="s">
        <v>85</v>
      </c>
      <c r="C217" s="44">
        <f>C80</f>
        <v>6</v>
      </c>
      <c r="D217" s="45"/>
      <c r="E217" s="14"/>
      <c r="F217" s="45"/>
      <c r="G217" s="14"/>
    </row>
    <row r="218" spans="2:7" ht="24.75" customHeight="1">
      <c r="B218" s="49" t="s">
        <v>86</v>
      </c>
      <c r="C218" s="44">
        <f>C217</f>
        <v>6</v>
      </c>
      <c r="D218" s="45"/>
      <c r="E218" s="14"/>
      <c r="F218" s="45"/>
      <c r="G218" s="14"/>
    </row>
    <row r="219" spans="2:7" ht="24.75" customHeight="1">
      <c r="B219" s="49" t="s">
        <v>87</v>
      </c>
      <c r="C219" s="44">
        <f>C217</f>
        <v>6</v>
      </c>
      <c r="D219" s="45"/>
      <c r="E219" s="14"/>
      <c r="F219" s="45"/>
      <c r="G219" s="14"/>
    </row>
    <row r="220" spans="2:7" ht="24.75" customHeight="1">
      <c r="B220" s="49" t="s">
        <v>113</v>
      </c>
      <c r="C220" s="44">
        <f>C217</f>
        <v>6</v>
      </c>
      <c r="D220" s="45"/>
      <c r="E220" s="14"/>
      <c r="F220" s="45"/>
      <c r="G220" s="14"/>
    </row>
    <row r="221" spans="2:7" ht="24.75" customHeight="1">
      <c r="B221" s="50" t="s">
        <v>266</v>
      </c>
      <c r="C221" s="44">
        <f>3250+3450+4000+1020+40</f>
        <v>11760</v>
      </c>
      <c r="D221" s="45"/>
      <c r="E221" s="14"/>
      <c r="F221" s="45"/>
      <c r="G221" s="14"/>
    </row>
    <row r="222" spans="2:7" ht="24.75" customHeight="1">
      <c r="B222" s="49" t="s">
        <v>88</v>
      </c>
      <c r="C222" s="1">
        <v>1</v>
      </c>
      <c r="D222" s="45"/>
      <c r="E222" s="14"/>
      <c r="F222" s="45"/>
      <c r="G222" s="14"/>
    </row>
    <row r="223" spans="2:7" ht="24.75" customHeight="1">
      <c r="B223" s="51" t="s">
        <v>266</v>
      </c>
      <c r="C223" s="1">
        <v>1000</v>
      </c>
      <c r="D223" s="45"/>
      <c r="E223" s="14"/>
      <c r="F223" s="45"/>
      <c r="G223" s="14"/>
    </row>
    <row r="224" spans="1:7" ht="27.75" customHeight="1">
      <c r="A224" s="4" t="s">
        <v>62</v>
      </c>
      <c r="B224" s="4" t="s">
        <v>185</v>
      </c>
      <c r="C224" s="8">
        <f>C204*C207+C208*C210+C211*C215+C216*3250+C217*C221+C223</f>
        <v>6719360</v>
      </c>
      <c r="D224" s="14"/>
      <c r="E224" s="14"/>
      <c r="F224" s="14"/>
      <c r="G224" s="14"/>
    </row>
    <row r="225" spans="1:7" ht="27.75" customHeight="1">
      <c r="A225" s="4" t="s">
        <v>63</v>
      </c>
      <c r="B225" s="4" t="s">
        <v>117</v>
      </c>
      <c r="C225" s="8">
        <v>1035506</v>
      </c>
      <c r="D225" s="14"/>
      <c r="E225" s="14"/>
      <c r="F225" s="14"/>
      <c r="G225" s="14"/>
    </row>
    <row r="226" spans="2:7" ht="27.75" customHeight="1">
      <c r="B226" s="4" t="s">
        <v>57</v>
      </c>
      <c r="C226" s="13">
        <f>C90/(C224+C225)</f>
        <v>0.4753660475887011</v>
      </c>
      <c r="D226" s="73">
        <f>(D90/(D200+D202))+D192</f>
        <v>3.0125162768894214</v>
      </c>
      <c r="E226" s="73">
        <f>(E90/(E200+E202))+E192</f>
        <v>3.0125162768894214</v>
      </c>
      <c r="F226" s="73">
        <f>(F90/(F200+F202))+F192</f>
        <v>3.0125162768894214</v>
      </c>
      <c r="G226" s="73">
        <f>(G90/(G200+G202))+G192</f>
        <v>3.0125162768894214</v>
      </c>
    </row>
    <row r="227" spans="3:7" ht="27.75" customHeight="1">
      <c r="C227" s="8"/>
      <c r="D227" s="14"/>
      <c r="E227" s="14"/>
      <c r="F227" s="14"/>
      <c r="G227" s="14"/>
    </row>
    <row r="228" ht="27.75" customHeight="1">
      <c r="B228" s="11" t="s">
        <v>186</v>
      </c>
    </row>
    <row r="229" spans="2:7" ht="27.75" customHeight="1">
      <c r="B229" s="4" t="s">
        <v>122</v>
      </c>
      <c r="C229" s="8">
        <v>10</v>
      </c>
      <c r="D229" s="14"/>
      <c r="E229" s="14"/>
      <c r="F229" s="14"/>
      <c r="G229" s="14"/>
    </row>
    <row r="230" spans="1:7" ht="27.75" customHeight="1">
      <c r="A230" s="4" t="s">
        <v>62</v>
      </c>
      <c r="B230" s="4" t="s">
        <v>123</v>
      </c>
      <c r="C230" s="8">
        <f>C229*C81</f>
        <v>864000</v>
      </c>
      <c r="D230" s="14"/>
      <c r="E230" s="14"/>
      <c r="F230" s="14"/>
      <c r="G230" s="14"/>
    </row>
    <row r="231" spans="2:7" ht="27.75" customHeight="1">
      <c r="B231" s="4" t="s">
        <v>121</v>
      </c>
      <c r="C231" s="8">
        <v>1500</v>
      </c>
      <c r="D231" s="8">
        <v>77</v>
      </c>
      <c r="E231" s="8">
        <v>123</v>
      </c>
      <c r="F231" s="8">
        <v>77</v>
      </c>
      <c r="G231" s="8">
        <v>123</v>
      </c>
    </row>
    <row r="232" spans="1:7" ht="27.75" customHeight="1">
      <c r="A232" s="4" t="s">
        <v>62</v>
      </c>
      <c r="B232" s="4" t="s">
        <v>205</v>
      </c>
      <c r="C232" s="8">
        <f>C231*C18</f>
        <v>1800000</v>
      </c>
      <c r="D232" s="8">
        <f>D231*D82</f>
        <v>1840608</v>
      </c>
      <c r="E232" s="8">
        <f>E231*E82</f>
        <v>2352744</v>
      </c>
      <c r="F232" s="8">
        <f>F231*F82</f>
        <v>1718640</v>
      </c>
      <c r="G232" s="8">
        <f>G231*G82</f>
        <v>2214000</v>
      </c>
    </row>
    <row r="233" ht="27.75" customHeight="1">
      <c r="C233" s="8"/>
    </row>
    <row r="234" spans="2:10" s="17" customFormat="1" ht="27.75" customHeight="1">
      <c r="B234" s="11" t="s">
        <v>187</v>
      </c>
      <c r="I234" s="64"/>
      <c r="J234" s="65"/>
    </row>
    <row r="235" spans="2:10" s="17" customFormat="1" ht="27.75" customHeight="1">
      <c r="B235" s="4" t="s">
        <v>40</v>
      </c>
      <c r="D235" s="4">
        <v>12</v>
      </c>
      <c r="E235" s="4">
        <v>12</v>
      </c>
      <c r="F235" s="4">
        <v>12</v>
      </c>
      <c r="G235" s="4">
        <v>12</v>
      </c>
      <c r="I235" s="64"/>
      <c r="J235" s="65"/>
    </row>
    <row r="236" spans="2:10" s="17" customFormat="1" ht="27.75" customHeight="1">
      <c r="B236" s="4" t="s">
        <v>32</v>
      </c>
      <c r="D236" s="20">
        <f>D30</f>
        <v>995.7606900438611</v>
      </c>
      <c r="E236" s="20">
        <f>E30</f>
        <v>797.1107913212996</v>
      </c>
      <c r="F236" s="20">
        <f>F30</f>
        <v>930.2877633098669</v>
      </c>
      <c r="G236" s="20">
        <f>G30</f>
        <v>749.6002063620372</v>
      </c>
      <c r="I236" s="64"/>
      <c r="J236" s="65"/>
    </row>
    <row r="237" spans="2:10" s="17" customFormat="1" ht="27.75" customHeight="1">
      <c r="B237" s="4" t="s">
        <v>33</v>
      </c>
      <c r="D237" s="20">
        <v>14</v>
      </c>
      <c r="E237" s="20">
        <v>14</v>
      </c>
      <c r="F237" s="20">
        <v>14</v>
      </c>
      <c r="G237" s="20">
        <v>14</v>
      </c>
      <c r="I237" s="64"/>
      <c r="J237" s="65"/>
    </row>
    <row r="238" spans="2:10" s="17" customFormat="1" ht="27.75" customHeight="1">
      <c r="B238" s="4" t="s">
        <v>34</v>
      </c>
      <c r="D238" s="20">
        <v>2</v>
      </c>
      <c r="E238" s="20">
        <v>2</v>
      </c>
      <c r="F238" s="20">
        <v>2</v>
      </c>
      <c r="G238" s="20">
        <v>2</v>
      </c>
      <c r="I238" s="64"/>
      <c r="J238" s="65"/>
    </row>
    <row r="239" spans="2:10" s="17" customFormat="1" ht="27.75" customHeight="1">
      <c r="B239" s="4" t="s">
        <v>39</v>
      </c>
      <c r="D239" s="23">
        <f>(D236/D238)/MiscellaneousRates!$B$6</f>
        <v>2.2630924773724117</v>
      </c>
      <c r="E239" s="23">
        <f>(E236/E238)/MiscellaneousRates!$B$6</f>
        <v>1.8116154348211355</v>
      </c>
      <c r="F239" s="23">
        <f>(F236/F238)/MiscellaneousRates!$B$6</f>
        <v>2.1142903711587886</v>
      </c>
      <c r="G239" s="23">
        <f>(G236/G238)/MiscellaneousRates!$B$6</f>
        <v>1.7036368326409936</v>
      </c>
      <c r="I239" s="64"/>
      <c r="J239" s="65"/>
    </row>
    <row r="240" spans="1:10" s="17" customFormat="1" ht="27.75" customHeight="1">
      <c r="A240" s="4"/>
      <c r="B240" s="4" t="s">
        <v>36</v>
      </c>
      <c r="D240" s="20">
        <f>LaborRates!E7*D237*8</f>
        <v>2800</v>
      </c>
      <c r="E240" s="20">
        <f>LaborRates!E7*E237*8</f>
        <v>2800</v>
      </c>
      <c r="F240" s="20">
        <f>LaborRates!E7*F237*8</f>
        <v>2800</v>
      </c>
      <c r="G240" s="20">
        <f>LaborRates!E7*G237*8</f>
        <v>2800</v>
      </c>
      <c r="I240" s="64"/>
      <c r="J240" s="65"/>
    </row>
    <row r="241" spans="1:7" ht="27.75" customHeight="1">
      <c r="A241" s="4" t="s">
        <v>63</v>
      </c>
      <c r="B241" s="4" t="s">
        <v>37</v>
      </c>
      <c r="C241" s="20">
        <v>3000000</v>
      </c>
      <c r="D241" s="20">
        <f>D240*D236</f>
        <v>2788129.932122811</v>
      </c>
      <c r="E241" s="20">
        <f>E240*E236</f>
        <v>2231910.215699639</v>
      </c>
      <c r="F241" s="20">
        <f>F240*F236</f>
        <v>2604805.7372676274</v>
      </c>
      <c r="G241" s="20">
        <f>G240*G236</f>
        <v>2098880.577813704</v>
      </c>
    </row>
    <row r="242" spans="1:7" ht="27.75" customHeight="1">
      <c r="A242" s="4" t="s">
        <v>62</v>
      </c>
      <c r="B242" s="4" t="s">
        <v>282</v>
      </c>
      <c r="C242" s="37"/>
      <c r="D242" s="37"/>
      <c r="E242" s="20">
        <v>3000000</v>
      </c>
      <c r="F242" s="37"/>
      <c r="G242" s="20">
        <v>3000000</v>
      </c>
    </row>
    <row r="243" spans="3:7" ht="27.75" customHeight="1">
      <c r="C243" s="20"/>
      <c r="D243" s="20"/>
      <c r="E243" s="20"/>
      <c r="F243" s="20"/>
      <c r="G243" s="20"/>
    </row>
    <row r="244" spans="1:7" ht="21" customHeight="1">
      <c r="A244" s="4" t="s">
        <v>143</v>
      </c>
      <c r="B244" s="4" t="s">
        <v>25</v>
      </c>
      <c r="C244" s="20">
        <f>C61+C101+C107+C108+C141+C153+C167+C169+C180+C185+C193+C200+C224+C230+C232+C242</f>
        <v>60672631.092043795</v>
      </c>
      <c r="D244" s="20">
        <f>D61+D101+D107+D108+D141+D153+D167+D169+D180+D185+D193+D200+D224+D230+D232+D242</f>
        <v>77117614.37679268</v>
      </c>
      <c r="E244" s="20">
        <f>E61+E101+E107+E108+E141+E153+E167+E169+E180+E185+E193+E200+E224+E230+E232+E242</f>
        <v>49535684.76913737</v>
      </c>
      <c r="F244" s="20">
        <f>F61+F101+F107+F108+F141+F153+F167+F169+F180+F185+F193+F200+F224+F230+F232+F242</f>
        <v>72040543.54459558</v>
      </c>
      <c r="G244" s="20">
        <f>G61+G101+G107+G108+G141+G153+G167+G169+G180+G185+G193+G200+G224+G230+G232+G242</f>
        <v>46575943.80579254</v>
      </c>
    </row>
    <row r="245" spans="1:7" ht="21" customHeight="1">
      <c r="A245" s="4" t="s">
        <v>63</v>
      </c>
      <c r="B245" s="4" t="s">
        <v>25</v>
      </c>
      <c r="C245" s="20">
        <f>C118+C146+C161+C173+C183+C187+C202+C225+C241</f>
        <v>23375276</v>
      </c>
      <c r="D245" s="20">
        <f>D118+D146+D161+D173+D183+D187+D202+D225+D241</f>
        <v>10461313.932122812</v>
      </c>
      <c r="E245" s="20">
        <f>E118+E146+E161+E173+E183+E187+E202+E225+E241</f>
        <v>4642038.215699639</v>
      </c>
      <c r="F245" s="20">
        <f>F118+F146+F161+F173+F183+F187+F202+F225+F241</f>
        <v>9769525.737267628</v>
      </c>
      <c r="G245" s="20">
        <f>G118+G146+G161+G173+G183+G187+G202+G225+G241</f>
        <v>3526880.5778137045</v>
      </c>
    </row>
    <row r="246" spans="2:7" ht="21" customHeight="1">
      <c r="B246" s="4" t="s">
        <v>26</v>
      </c>
      <c r="C246" s="20">
        <f>C244+C245</f>
        <v>84047907.09204379</v>
      </c>
      <c r="D246" s="20">
        <f>D244+D245</f>
        <v>87578928.3089155</v>
      </c>
      <c r="E246" s="20">
        <f>E244+E245</f>
        <v>54177722.98483701</v>
      </c>
      <c r="F246" s="20">
        <f>F244+F245</f>
        <v>81810069.28186321</v>
      </c>
      <c r="G246" s="20">
        <f>G244+G245</f>
        <v>50102824.38360625</v>
      </c>
    </row>
    <row r="247" ht="21" customHeight="1"/>
    <row r="248" ht="30" customHeight="1">
      <c r="B248" s="66" t="s">
        <v>41</v>
      </c>
    </row>
    <row r="249" spans="2:3" ht="21" customHeight="1">
      <c r="B249" s="5" t="s">
        <v>27</v>
      </c>
      <c r="C249" s="69">
        <v>0.2</v>
      </c>
    </row>
    <row r="250" spans="2:3" ht="21" customHeight="1">
      <c r="B250" s="5" t="s">
        <v>30</v>
      </c>
      <c r="C250" s="69">
        <v>0.05</v>
      </c>
    </row>
    <row r="251" spans="2:3" ht="21" customHeight="1">
      <c r="B251" s="5" t="s">
        <v>28</v>
      </c>
      <c r="C251" s="69">
        <v>0.25</v>
      </c>
    </row>
    <row r="252" spans="2:3" ht="21" customHeight="1">
      <c r="B252" s="5" t="s">
        <v>29</v>
      </c>
      <c r="C252" s="70">
        <v>0.4</v>
      </c>
    </row>
    <row r="253" spans="2:3" ht="21" customHeight="1">
      <c r="B253" s="5"/>
      <c r="C253" s="70"/>
    </row>
    <row r="254" spans="2:7" ht="21" customHeight="1">
      <c r="B254" s="5" t="s">
        <v>42</v>
      </c>
      <c r="C254" s="20">
        <f>$C249*C246</f>
        <v>16809581.41840876</v>
      </c>
      <c r="D254" s="20">
        <f>$C249*D246</f>
        <v>17515785.6617831</v>
      </c>
      <c r="E254" s="20">
        <f>$C249*E246</f>
        <v>10835544.596967403</v>
      </c>
      <c r="F254" s="20">
        <f>$C249*F246</f>
        <v>16362013.856372643</v>
      </c>
      <c r="G254" s="20">
        <f>$C249*G246</f>
        <v>10020564.87672125</v>
      </c>
    </row>
    <row r="255" spans="2:7" ht="21" customHeight="1">
      <c r="B255" s="5" t="s">
        <v>30</v>
      </c>
      <c r="C255" s="20">
        <f>$C250*C246</f>
        <v>4202395.35460219</v>
      </c>
      <c r="D255" s="20">
        <f>$C250*D246</f>
        <v>4378946.415445775</v>
      </c>
      <c r="E255" s="20">
        <f>$C250*E246</f>
        <v>2708886.1492418507</v>
      </c>
      <c r="F255" s="20">
        <f>$C250*F246</f>
        <v>4090503.464093161</v>
      </c>
      <c r="G255" s="20">
        <f>$C250*G246</f>
        <v>2505141.2191803125</v>
      </c>
    </row>
    <row r="256" spans="2:7" ht="21" customHeight="1">
      <c r="B256" s="5" t="s">
        <v>28</v>
      </c>
      <c r="C256" s="20">
        <f>$C251*C246</f>
        <v>21011976.773010947</v>
      </c>
      <c r="D256" s="20">
        <f>$C251*D246</f>
        <v>21894732.077228874</v>
      </c>
      <c r="E256" s="20">
        <f>$C251*E246</f>
        <v>13544430.746209253</v>
      </c>
      <c r="F256" s="20">
        <f>$C251*F246</f>
        <v>20452517.320465803</v>
      </c>
      <c r="G256" s="20">
        <f>$C251*G246</f>
        <v>12525706.095901562</v>
      </c>
    </row>
    <row r="257" spans="2:7" ht="21" customHeight="1">
      <c r="B257" s="5" t="s">
        <v>29</v>
      </c>
      <c r="C257" s="20">
        <f>$C252*C246</f>
        <v>33619162.83681752</v>
      </c>
      <c r="D257" s="20">
        <f>$C252*D246</f>
        <v>35031571.3235662</v>
      </c>
      <c r="E257" s="20">
        <f>$C252*E246</f>
        <v>21671089.193934806</v>
      </c>
      <c r="F257" s="20">
        <f>$C252*F246</f>
        <v>32724027.712745287</v>
      </c>
      <c r="G257" s="20">
        <f>$C252*G246</f>
        <v>20041129.7534425</v>
      </c>
    </row>
    <row r="258" spans="2:7" ht="21" customHeight="1">
      <c r="B258" s="2" t="s">
        <v>31</v>
      </c>
      <c r="C258" s="20">
        <f>SUM(C254:C257)</f>
        <v>75643116.38283941</v>
      </c>
      <c r="D258" s="20">
        <f>SUM(D254:D257)</f>
        <v>78821035.47802395</v>
      </c>
      <c r="E258" s="20">
        <f>SUM(E254:E257)</f>
        <v>48759950.68635331</v>
      </c>
      <c r="F258" s="20">
        <f>SUM(F254:F257)</f>
        <v>73629062.35367689</v>
      </c>
      <c r="G258" s="20">
        <f>SUM(G254:G257)</f>
        <v>45092541.94524562</v>
      </c>
    </row>
    <row r="259" ht="21" customHeight="1"/>
    <row r="260" spans="2:7" ht="21" customHeight="1">
      <c r="B260" s="11" t="s">
        <v>38</v>
      </c>
      <c r="C260" s="8">
        <f>C258+C246</f>
        <v>159691023.4748832</v>
      </c>
      <c r="D260" s="10">
        <f>D258+D246</f>
        <v>166399963.78693944</v>
      </c>
      <c r="E260" s="8">
        <f>E258+E246</f>
        <v>102937673.67119032</v>
      </c>
      <c r="F260" s="8">
        <f>F258+F246</f>
        <v>155439131.6355401</v>
      </c>
      <c r="G260" s="10">
        <f>G258+G246</f>
        <v>95195366.32885188</v>
      </c>
    </row>
  </sheetData>
  <printOptions gridLines="1" headings="1"/>
  <pageMargins left="0.75" right="0.75" top="1" bottom="1" header="0.5" footer="0.5"/>
  <pageSetup orientation="landscape" paperSize="9"/>
  <headerFooter alignWithMargins="0">
    <oddHeader>&amp;L&amp;COff-Axis Detector 
Technology Cost Comparison&amp;R</oddHeader>
    <oddFooter>&amp;CPrepared by Regina Rameika &amp;D&amp;RPage &amp;P</oddFooter>
  </headerFooter>
  <rowBreaks count="11" manualBreakCount="11">
    <brk id="15" max="255" man="1"/>
    <brk id="61" max="255" man="1"/>
    <brk id="93" max="255" man="1"/>
    <brk id="101" max="255" man="1"/>
    <brk id="146" max="255" man="1"/>
    <brk id="173" max="255" man="1"/>
    <brk id="183" max="255" man="1"/>
    <brk id="187" max="255" man="1"/>
    <brk id="202" max="4" man="1"/>
    <brk id="215" max="255" man="1"/>
    <brk id="2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9" sqref="E9"/>
    </sheetView>
  </sheetViews>
  <sheetFormatPr defaultColWidth="11.00390625" defaultRowHeight="12.75"/>
  <cols>
    <col min="1" max="1" width="31.125" style="0" customWidth="1"/>
    <col min="2" max="3" width="10.875" style="0" customWidth="1"/>
    <col min="5" max="5" width="10.75390625" style="30" customWidth="1"/>
  </cols>
  <sheetData>
    <row r="1" spans="1:5" ht="12.75">
      <c r="A1" t="s">
        <v>150</v>
      </c>
      <c r="B1" t="s">
        <v>153</v>
      </c>
      <c r="C1" t="s">
        <v>155</v>
      </c>
      <c r="D1" t="s">
        <v>151</v>
      </c>
      <c r="E1" s="30" t="s">
        <v>266</v>
      </c>
    </row>
    <row r="2" spans="1:5" ht="12.75">
      <c r="A2" t="s">
        <v>152</v>
      </c>
      <c r="B2" t="s">
        <v>154</v>
      </c>
      <c r="C2" t="s">
        <v>156</v>
      </c>
      <c r="D2" t="s">
        <v>157</v>
      </c>
      <c r="E2" s="30">
        <v>25</v>
      </c>
    </row>
    <row r="3" spans="1:5" ht="12.75">
      <c r="A3" t="s">
        <v>220</v>
      </c>
      <c r="B3" t="s">
        <v>154</v>
      </c>
      <c r="C3" t="s">
        <v>156</v>
      </c>
      <c r="D3" t="s">
        <v>157</v>
      </c>
      <c r="E3" s="30">
        <v>25</v>
      </c>
    </row>
    <row r="4" spans="1:5" ht="12.75">
      <c r="A4" t="s">
        <v>226</v>
      </c>
      <c r="B4" t="s">
        <v>154</v>
      </c>
      <c r="C4" t="s">
        <v>156</v>
      </c>
      <c r="D4" t="s">
        <v>157</v>
      </c>
      <c r="E4" s="30">
        <v>35</v>
      </c>
    </row>
    <row r="5" spans="1:5" ht="12.75">
      <c r="A5" t="s">
        <v>8</v>
      </c>
      <c r="B5" t="s">
        <v>9</v>
      </c>
      <c r="C5" t="s">
        <v>10</v>
      </c>
      <c r="D5" t="s">
        <v>157</v>
      </c>
      <c r="E5" s="30">
        <v>30</v>
      </c>
    </row>
    <row r="7" spans="1:5" ht="12.75">
      <c r="A7" t="s">
        <v>35</v>
      </c>
      <c r="E7" s="30">
        <v>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0" sqref="A10"/>
    </sheetView>
  </sheetViews>
  <sheetFormatPr defaultColWidth="11.00390625" defaultRowHeight="12.75"/>
  <cols>
    <col min="1" max="1" width="25.75390625" style="0" customWidth="1"/>
  </cols>
  <sheetData>
    <row r="2" spans="1:3" ht="12.75">
      <c r="A2" t="s">
        <v>51</v>
      </c>
      <c r="B2">
        <v>16.25</v>
      </c>
      <c r="C2" t="s">
        <v>207</v>
      </c>
    </row>
    <row r="4" spans="1:3" ht="12.75">
      <c r="A4" t="s">
        <v>52</v>
      </c>
      <c r="B4">
        <v>40000</v>
      </c>
      <c r="C4" t="s">
        <v>53</v>
      </c>
    </row>
    <row r="6" spans="1:2" ht="12.75">
      <c r="A6" t="s">
        <v>212</v>
      </c>
      <c r="B6">
        <v>220</v>
      </c>
    </row>
    <row r="8" spans="1:2" ht="12.75">
      <c r="A8" t="s">
        <v>215</v>
      </c>
      <c r="B8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28" sqref="F28"/>
    </sheetView>
  </sheetViews>
  <sheetFormatPr defaultColWidth="11.00390625" defaultRowHeight="27.75" customHeight="1"/>
  <cols>
    <col min="1" max="1" width="10.75390625" style="4" customWidth="1"/>
    <col min="2" max="2" width="14.75390625" style="4" customWidth="1"/>
    <col min="3" max="5" width="10.75390625" style="20" customWidth="1"/>
    <col min="6" max="16384" width="10.75390625" style="4" customWidth="1"/>
  </cols>
  <sheetData>
    <row r="1" spans="1:5" ht="27.75" customHeight="1">
      <c r="A1" s="4" t="s">
        <v>118</v>
      </c>
      <c r="C1" s="20" t="s">
        <v>244</v>
      </c>
      <c r="D1" s="20" t="s">
        <v>245</v>
      </c>
      <c r="E1" s="20" t="s">
        <v>246</v>
      </c>
    </row>
    <row r="2" spans="1:5" ht="27.75" customHeight="1">
      <c r="A2" s="4" t="s">
        <v>62</v>
      </c>
      <c r="B2" s="4" t="s">
        <v>171</v>
      </c>
      <c r="C2" s="20">
        <v>12557793.833861973</v>
      </c>
      <c r="D2" s="20">
        <v>12636508.868097553</v>
      </c>
      <c r="E2" s="20">
        <v>12636508.868097553</v>
      </c>
    </row>
    <row r="3" spans="1:5" ht="27.75" customHeight="1">
      <c r="A3" s="4" t="s">
        <v>62</v>
      </c>
      <c r="B3" s="4" t="s">
        <v>170</v>
      </c>
      <c r="C3" s="20">
        <v>15194809.439999998</v>
      </c>
      <c r="D3" s="20">
        <v>39504700.8</v>
      </c>
      <c r="E3" s="20">
        <v>18596175.6384</v>
      </c>
    </row>
    <row r="4" spans="1:5" ht="27.75" customHeight="1">
      <c r="A4" s="4" t="s">
        <v>62</v>
      </c>
      <c r="B4" s="4" t="s">
        <v>210</v>
      </c>
      <c r="C4" s="20">
        <v>1329545.4545454546</v>
      </c>
      <c r="D4" s="20">
        <v>482727.27272727265</v>
      </c>
      <c r="E4" s="20">
        <v>482727.27272727265</v>
      </c>
    </row>
    <row r="5" spans="1:5" ht="27.75" customHeight="1">
      <c r="A5" s="4" t="s">
        <v>62</v>
      </c>
      <c r="B5" s="4" t="s">
        <v>50</v>
      </c>
      <c r="C5" s="20">
        <v>400000</v>
      </c>
      <c r="D5" s="20">
        <v>648000</v>
      </c>
      <c r="E5" s="20">
        <v>100000</v>
      </c>
    </row>
    <row r="6" spans="1:5" ht="27.75" customHeight="1">
      <c r="A6" s="4" t="s">
        <v>62</v>
      </c>
      <c r="B6" s="4" t="s">
        <v>47</v>
      </c>
      <c r="C6" s="20">
        <v>8696080</v>
      </c>
      <c r="D6" s="20">
        <v>10990425.600000001</v>
      </c>
      <c r="E6" s="20">
        <v>10300550.4</v>
      </c>
    </row>
    <row r="7" spans="1:3" ht="27.75" customHeight="1">
      <c r="A7" s="4" t="s">
        <v>62</v>
      </c>
      <c r="B7" s="4" t="s">
        <v>61</v>
      </c>
      <c r="C7" s="20">
        <v>913636.3636363636</v>
      </c>
    </row>
    <row r="8" spans="1:2" ht="27.75" customHeight="1">
      <c r="A8" s="4" t="s">
        <v>62</v>
      </c>
      <c r="B8" s="4" t="s">
        <v>183</v>
      </c>
    </row>
    <row r="9" spans="1:3" ht="27.75" customHeight="1">
      <c r="A9" s="4" t="s">
        <v>62</v>
      </c>
      <c r="B9" s="4" t="s">
        <v>180</v>
      </c>
      <c r="C9" s="20">
        <v>3696400</v>
      </c>
    </row>
    <row r="10" spans="1:3" ht="27.75" customHeight="1">
      <c r="A10" s="4" t="s">
        <v>62</v>
      </c>
      <c r="B10" s="4" t="s">
        <v>64</v>
      </c>
      <c r="C10" s="20">
        <v>4221006</v>
      </c>
    </row>
    <row r="11" spans="1:5" ht="27.75" customHeight="1">
      <c r="A11" s="4" t="s">
        <v>62</v>
      </c>
      <c r="B11" s="4" t="s">
        <v>288</v>
      </c>
      <c r="D11" s="20">
        <v>1835136</v>
      </c>
      <c r="E11" s="20">
        <v>1835136</v>
      </c>
    </row>
    <row r="12" spans="1:5" ht="27.75" customHeight="1">
      <c r="A12" s="4" t="s">
        <v>62</v>
      </c>
      <c r="B12" s="4" t="s">
        <v>67</v>
      </c>
      <c r="D12" s="20">
        <v>1911493.8</v>
      </c>
      <c r="E12" s="20">
        <v>1911493.8</v>
      </c>
    </row>
    <row r="13" spans="1:3" ht="27.75" customHeight="1">
      <c r="A13" s="4" t="s">
        <v>62</v>
      </c>
      <c r="B13" s="4" t="s">
        <v>185</v>
      </c>
      <c r="C13" s="20">
        <v>6719360</v>
      </c>
    </row>
    <row r="14" spans="1:3" ht="27.75" customHeight="1">
      <c r="A14" s="4" t="s">
        <v>62</v>
      </c>
      <c r="B14" s="4" t="s">
        <v>123</v>
      </c>
      <c r="C14" s="20">
        <v>864000</v>
      </c>
    </row>
    <row r="15" spans="1:5" ht="27.75" customHeight="1">
      <c r="A15" s="4" t="s">
        <v>62</v>
      </c>
      <c r="B15" s="4" t="s">
        <v>205</v>
      </c>
      <c r="C15" s="20">
        <v>1800000</v>
      </c>
      <c r="D15" s="20">
        <v>1635480</v>
      </c>
      <c r="E15" s="20">
        <v>2612520</v>
      </c>
    </row>
    <row r="16" spans="1:5" s="2" customFormat="1" ht="27.75" customHeight="1">
      <c r="A16" s="2" t="s">
        <v>124</v>
      </c>
      <c r="C16" s="53">
        <f>SUM(C2:C15)</f>
        <v>56392631.092043795</v>
      </c>
      <c r="D16" s="53">
        <f>SUM(D2:D15)</f>
        <v>69644472.34082483</v>
      </c>
      <c r="E16" s="53">
        <f>SUM(E2:E15)</f>
        <v>48475111.97922482</v>
      </c>
    </row>
    <row r="18" spans="1:5" ht="27.75" customHeight="1">
      <c r="A18" s="4" t="s">
        <v>63</v>
      </c>
      <c r="B18" s="4" t="s">
        <v>45</v>
      </c>
      <c r="C18" s="20">
        <v>10152000</v>
      </c>
      <c r="D18" s="20">
        <v>6690600</v>
      </c>
      <c r="E18" s="20">
        <v>557550</v>
      </c>
    </row>
    <row r="19" spans="1:3" ht="27.75" customHeight="1">
      <c r="A19" s="4" t="s">
        <v>63</v>
      </c>
      <c r="B19" s="4" t="s">
        <v>161</v>
      </c>
      <c r="C19" s="20">
        <v>2160000</v>
      </c>
    </row>
    <row r="20" spans="1:3" ht="27.75" customHeight="1">
      <c r="A20" s="4" t="s">
        <v>63</v>
      </c>
      <c r="B20" s="4" t="s">
        <v>7</v>
      </c>
      <c r="C20" s="20">
        <v>2397600</v>
      </c>
    </row>
    <row r="21" spans="1:2" ht="27.75" customHeight="1">
      <c r="A21" s="4" t="s">
        <v>63</v>
      </c>
      <c r="B21" s="4" t="s">
        <v>182</v>
      </c>
    </row>
    <row r="22" spans="1:3" ht="27.75" customHeight="1">
      <c r="A22" s="4" t="s">
        <v>63</v>
      </c>
      <c r="B22" s="4" t="s">
        <v>181</v>
      </c>
      <c r="C22" s="20">
        <v>450000</v>
      </c>
    </row>
    <row r="23" spans="1:3" ht="27.75" customHeight="1">
      <c r="A23" s="4" t="s">
        <v>63</v>
      </c>
      <c r="B23" s="4" t="s">
        <v>66</v>
      </c>
      <c r="C23" s="20">
        <v>3313170</v>
      </c>
    </row>
    <row r="24" spans="1:5" ht="27.75" customHeight="1">
      <c r="A24" s="4" t="s">
        <v>63</v>
      </c>
      <c r="B24" s="4" t="s">
        <v>116</v>
      </c>
      <c r="D24" s="20">
        <v>127440</v>
      </c>
      <c r="E24" s="20">
        <v>127440</v>
      </c>
    </row>
    <row r="25" spans="1:3" ht="27.75" customHeight="1">
      <c r="A25" s="4" t="s">
        <v>63</v>
      </c>
      <c r="B25" s="4" t="s">
        <v>117</v>
      </c>
      <c r="C25" s="20">
        <v>1035506</v>
      </c>
    </row>
    <row r="26" spans="1:5" ht="27.75" customHeight="1">
      <c r="A26" s="2" t="s">
        <v>125</v>
      </c>
      <c r="B26" s="2"/>
      <c r="C26" s="53">
        <f>SUM(C18:C25)</f>
        <v>19508276</v>
      </c>
      <c r="D26" s="53">
        <f>SUM(D18:D25)</f>
        <v>6818040</v>
      </c>
      <c r="E26" s="53">
        <f>SUM(E18:E25)</f>
        <v>684990</v>
      </c>
    </row>
    <row r="28" spans="1:5" ht="27.75" customHeight="1">
      <c r="A28" s="2" t="s">
        <v>126</v>
      </c>
      <c r="B28" s="2"/>
      <c r="C28" s="53">
        <f>C26+C16</f>
        <v>75900907.09204379</v>
      </c>
      <c r="D28" s="53">
        <f>D26+D16</f>
        <v>76462512.34082483</v>
      </c>
      <c r="E28" s="53">
        <f>E26+E16</f>
        <v>49160101.97922482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Rameika</dc:creator>
  <cp:keywords/>
  <dc:description/>
  <cp:lastModifiedBy>Regina Rameika</cp:lastModifiedBy>
  <cp:lastPrinted>2003-09-22T16:15:13Z</cp:lastPrinted>
  <dcterms:created xsi:type="dcterms:W3CDTF">2003-09-17T14:32:29Z</dcterms:created>
  <cp:category/>
  <cp:version/>
  <cp:contentType/>
  <cp:contentStatus/>
</cp:coreProperties>
</file>