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1" yWindow="810" windowWidth="9375" windowHeight="4965" tabRatio="808" activeTab="0"/>
  </bookViews>
  <sheets>
    <sheet name="Summary" sheetId="1" r:id="rId1"/>
    <sheet name="Marketable" sheetId="2" r:id="rId2"/>
    <sheet name="Nonmarketable" sheetId="3" r:id="rId3"/>
    <sheet name="GAS" sheetId="4" r:id="rId4"/>
    <sheet name="TableIV" sheetId="5" r:id="rId5"/>
    <sheet name="Footnotes" sheetId="6" r:id="rId6"/>
  </sheets>
  <definedNames>
    <definedName name="_Key1" localSheetId="1" hidden="1">'Marketable'!#REF!</definedName>
    <definedName name="_Order1" localSheetId="5" hidden="1">255</definedName>
    <definedName name="_Order1" localSheetId="3" hidden="1">255</definedName>
    <definedName name="_Order1" localSheetId="1" hidden="1">255</definedName>
    <definedName name="_Order1" localSheetId="2" hidden="1">255</definedName>
    <definedName name="_Order1" localSheetId="4" hidden="1">255</definedName>
    <definedName name="_Sort" localSheetId="1" hidden="1">'Marketable'!#REF!</definedName>
    <definedName name="ACwvu.page10." localSheetId="4" hidden="1">'TableIV'!$1:$12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'Marketable'!$R$2:$R$3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5">'Footnotes'!$A$1:$M$76</definedName>
    <definedName name="_xlnm.Print_Area" localSheetId="3">'GAS'!$A$1:$M$270</definedName>
    <definedName name="_xlnm.Print_Area" localSheetId="1">'Marketable'!$A$1:$Q$361</definedName>
    <definedName name="_xlnm.Print_Area" localSheetId="2">'Nonmarketable'!$A$1:$P$79</definedName>
    <definedName name="_xlnm.Print_Area" localSheetId="4">'TableIV'!$A$1:$J$204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localSheetId="4" hidden="1">'TableIV'!$1:$12</definedName>
    <definedName name="TOTALROW1">#REF!</definedName>
    <definedName name="TOTALROW3">#REF!</definedName>
    <definedName name="TOTALS_GDEBT">'TableIV'!$K$6:$K$11</definedName>
    <definedName name="TOTALS_MSPD2">'GAS'!$H$64:$I$265</definedName>
    <definedName name="TOTALS_MSPD2A">'GAS'!$I$243:$L$265</definedName>
    <definedName name="TOTALS_PAGE2">'Marketable'!$K$8:$Q$192</definedName>
    <definedName name="wrn.mspd." hidden="1">{#N/A,#N/A,FALSE,"Summary";#N/A,#N/A,FALSE,"Marketable";#N/A,#N/A,FALSE,"Nonmarketable";#N/A,#N/A,FALSE,"GAS";#N/A,#N/A,FALSE,"TableIV";#N/A,#N/A,FALSE,"Footnotes"}</definedName>
    <definedName name="wvu.page10." localSheetId="4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1" hidden="1">'Marketable'!#REF!</definedName>
    <definedName name="Z_299E6BA2_5C55_11D3_95FC_00C04F98DD55_.wvu.Cols" localSheetId="4" hidden="1">'TableIV'!$M:$M</definedName>
    <definedName name="Z_299E6BA2_5C55_11D3_95FC_00C04F98DD55_.wvu.PrintArea" localSheetId="5" hidden="1">'Footnotes'!$A$1:$M$72</definedName>
    <definedName name="Z_299E6BA2_5C55_11D3_95FC_00C04F98DD55_.wvu.PrintArea" localSheetId="3" hidden="1">'GAS'!$A$1:$M$265</definedName>
    <definedName name="Z_299E6BA2_5C55_11D3_95FC_00C04F98DD55_.wvu.PrintArea" localSheetId="1" hidden="1">'Marketable'!$A$1:$Q$361</definedName>
    <definedName name="Z_299E6BA2_5C55_11D3_95FC_00C04F98DD55_.wvu.PrintArea" localSheetId="4" hidden="1">'TableIV'!$A$1:$J$205</definedName>
    <definedName name="Z_299E6BA2_5C55_11D3_95FC_00C04F98DD55_.wvu.Rows" localSheetId="3" hidden="1">'GAS'!#REF!</definedName>
    <definedName name="Z_299E6BA2_5C55_11D3_95FC_00C04F98DD55_.wvu.Rows" localSheetId="1" hidden="1">'Marketable'!$188:$188</definedName>
    <definedName name="Z_F8F97401_998A_11D2_AE2A_00C04F98DCD3_.wvu.PrintArea" localSheetId="4" hidden="1">'TableIV'!$A$1:$J$200</definedName>
    <definedName name="Z_FDA6B625_998F_11D2_AE2A_00C04F98DCD3_.wvu.PrintArea" localSheetId="4" hidden="1">'TableIV'!$A$1:$J$200</definedName>
  </definedNames>
  <calcPr fullCalcOnLoad="1"/>
</workbook>
</file>

<file path=xl/sharedStrings.xml><?xml version="1.0" encoding="utf-8"?>
<sst xmlns="http://schemas.openxmlformats.org/spreadsheetml/2006/main" count="2201" uniqueCount="910">
  <si>
    <t>Bills 07/12/01............................................................</t>
  </si>
  <si>
    <t>Aviation Insurance Revolving Fund...............................................................................................................................</t>
  </si>
  <si>
    <t>Bank Insurance Fund, The...........................................................................................................................................</t>
  </si>
  <si>
    <t xml:space="preserve">*  </t>
  </si>
  <si>
    <t>Capitol Preservation Fund, U.S. Capitol Preservation Commission.....................................................................</t>
  </si>
  <si>
    <t>Christopher Columbus Scholarship Fund, Christopher Columbus</t>
  </si>
  <si>
    <t xml:space="preserve">   Fellowship  Foundation........................................................................................................</t>
  </si>
  <si>
    <t>Civil Service Retirement and Disability Fund, Office of Personnel Management................</t>
  </si>
  <si>
    <t>Claims Court Judges Retirement Fund.........................................................................................................................</t>
  </si>
  <si>
    <t>Coast Guard General Gift Fund.............................................................................................................................................</t>
  </si>
  <si>
    <t>securities through custodians other than Treasury for which data is not available.</t>
  </si>
  <si>
    <t>Included in this total are marketable securities held by Federal agencies for which Treasury serves as the custodian.  Federal agencies may hold marketable</t>
  </si>
  <si>
    <t>Total Treasury Securities Subject to Limit……………….</t>
  </si>
  <si>
    <t>Federal Financing Bank…………………………………</t>
  </si>
  <si>
    <r>
      <t xml:space="preserve">Unamortized Discount  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………………………………..</t>
    </r>
  </si>
  <si>
    <t>Other Debt Not Subject to Limit………………………..</t>
  </si>
  <si>
    <t>Treasury Securities Outstanding…………………………..</t>
  </si>
  <si>
    <t>Total Debt Subject to Limit……………………</t>
  </si>
  <si>
    <r>
      <t xml:space="preserve">Guaranteed Debt of Government Agencies  </t>
    </r>
    <r>
      <rPr>
        <vertAlign val="superscript"/>
        <sz val="14"/>
        <rFont val="Arial"/>
        <family val="2"/>
      </rPr>
      <t>4</t>
    </r>
  </si>
  <si>
    <r>
      <t xml:space="preserve">Statutory Debt Limit  </t>
    </r>
    <r>
      <rPr>
        <vertAlign val="superscript"/>
        <sz val="14"/>
        <rFont val="Arial"/>
        <family val="2"/>
      </rPr>
      <t>5</t>
    </r>
    <r>
      <rPr>
        <sz val="14"/>
        <rFont val="Arial"/>
        <family val="2"/>
      </rPr>
      <t>………………………………………………………………………………………………………………………………………………….</t>
    </r>
  </si>
  <si>
    <t>6  d</t>
  </si>
  <si>
    <t xml:space="preserve">  7   e</t>
  </si>
  <si>
    <t>7  e</t>
  </si>
  <si>
    <t>Debentures issued (series MM) by FHA that are redeemable with 3 months' notification.</t>
  </si>
  <si>
    <t>Current Month</t>
  </si>
  <si>
    <t>Debt Held by the Public………………………………………….</t>
  </si>
  <si>
    <t>Intragovernmental Holdings…………………………………….</t>
  </si>
  <si>
    <t>Total Treasury Securities Outstanding………………………..</t>
  </si>
  <si>
    <t>Comparative by Breakdown</t>
  </si>
  <si>
    <t>Commissary Funds, Federal Prisons.............................................................................................................................................</t>
  </si>
  <si>
    <t>Contributions, American Battle Monuments Commission..........................................................................................</t>
  </si>
  <si>
    <t>HH7</t>
  </si>
  <si>
    <t>Court of Veterans Appeals Retirement Fund.............................................................................................................................................</t>
  </si>
  <si>
    <t>Defense Cooperation Account, Defense.....................................................................................................</t>
  </si>
  <si>
    <t>Department of Defense, Education Benefits Fund.....................................................................................................</t>
  </si>
  <si>
    <t>Department of Defense Military Retirement Fund.......................................................................................................</t>
  </si>
  <si>
    <t>Department of the Air Force General Gift Fund...........................................................................................................</t>
  </si>
  <si>
    <t>(*)</t>
  </si>
  <si>
    <t>Department of the Army General Gift Fund......................................................................................................................</t>
  </si>
  <si>
    <t>Department of the Navy General Gift Fund................................................................................................................</t>
  </si>
  <si>
    <t>FT9</t>
  </si>
  <si>
    <t>District of Columbia Judges Retirement Fund.............................................................................................................................................</t>
  </si>
  <si>
    <t>Eisenhower Exchange Fellowship Program Trust Fund........................................................................................</t>
  </si>
  <si>
    <t>Host Nation Support for U.S. Relocation Activities Account...............................................................................................</t>
  </si>
  <si>
    <t>Total Matured Treasury Notes……………………….</t>
  </si>
  <si>
    <t>Tribal Special Fund, Office of the Special Trustee for American Indians.......................................................................</t>
  </si>
  <si>
    <r>
      <t>September 30, 1999</t>
    </r>
    <r>
      <rPr>
        <vertAlign val="superscript"/>
        <sz val="12"/>
        <rFont val="Arial"/>
        <family val="2"/>
      </rPr>
      <t>†</t>
    </r>
  </si>
  <si>
    <r>
      <t>September 30, 1998</t>
    </r>
    <r>
      <rPr>
        <vertAlign val="superscript"/>
        <sz val="12"/>
        <rFont val="Arial"/>
        <family val="2"/>
      </rPr>
      <t>†</t>
    </r>
  </si>
  <si>
    <r>
      <t>September 30, 1997</t>
    </r>
    <r>
      <rPr>
        <vertAlign val="superscript"/>
        <sz val="12"/>
        <rFont val="Arial"/>
        <family val="2"/>
      </rPr>
      <t>†</t>
    </r>
  </si>
  <si>
    <t>† SOURCE:  Schedule of Federal Debt</t>
  </si>
  <si>
    <r>
      <t xml:space="preserve">        This Month </t>
    </r>
    <r>
      <rPr>
        <vertAlign val="superscript"/>
        <sz val="12"/>
        <rFont val="Arial"/>
        <family val="2"/>
      </rPr>
      <t>18</t>
    </r>
  </si>
  <si>
    <r>
      <t xml:space="preserve">        This Month </t>
    </r>
    <r>
      <rPr>
        <vertAlign val="superscript"/>
        <sz val="13"/>
        <rFont val="Arial"/>
        <family val="2"/>
      </rPr>
      <t>18</t>
    </r>
  </si>
  <si>
    <t>MONTHLY STATEMENT OF TREASURY SECURITIES</t>
  </si>
  <si>
    <t>Community Development Credit Union Revolving Fund</t>
  </si>
  <si>
    <t xml:space="preserve">    National Credit Union Admininstration ....………..………....................................…..</t>
  </si>
  <si>
    <t>Gifts and Bequests, Office of the Secretary, Department of Transportation........................................…</t>
  </si>
  <si>
    <t>Trust Funds, United States Information Agency…………………………………………</t>
  </si>
  <si>
    <t>Debt Subject to Limit:</t>
  </si>
  <si>
    <t>Total Treasury Securities Outstanding...............................................................................................................................................……..</t>
  </si>
  <si>
    <t>Employees' Life Insurance Fund, Office of Personnel Management.....................................................................</t>
  </si>
  <si>
    <t>Escrow Account, National Labor Relations Board.........................................................................................................</t>
  </si>
  <si>
    <t>Esther Cattell Schmitt Gift Fund, Treasury.......................................................................................................................................</t>
  </si>
  <si>
    <t>Exchange Stabilization Fund, Office of the Secretary, Treasury................................................................................................................</t>
  </si>
  <si>
    <t>Farm Credit Insurance Fund, Capital Corporation Investment Fund, Farm</t>
  </si>
  <si>
    <t xml:space="preserve">   Credit Administration ...........................................................................................................................</t>
  </si>
  <si>
    <t>EG8</t>
  </si>
  <si>
    <t>EJ2</t>
  </si>
  <si>
    <t>Federal Aid to Wildlife Restoration, United States Fish and Wildlife Service.......................................................</t>
  </si>
  <si>
    <t>Federal Disability Insurance Trust Fund.........................................................................................................................</t>
  </si>
  <si>
    <t>Federal Hospital Insurance Trust Fund.......................................................................................................................</t>
  </si>
  <si>
    <t xml:space="preserve">FHA - General and Special Risk Insurance Fund, Liquidating Account, </t>
  </si>
  <si>
    <t>DU8</t>
  </si>
  <si>
    <t>DV6</t>
  </si>
  <si>
    <t xml:space="preserve">Fishermen's Contingency Fund, National Oceanic and  Atmospheric </t>
  </si>
  <si>
    <t>German Democratic Republic Settlement Fund.........................................................................................................</t>
  </si>
  <si>
    <t>ED5</t>
  </si>
  <si>
    <t>Federal Supplementary Medical Insurance Trust Fund............................................................................................................................................................…</t>
  </si>
  <si>
    <t>Foreign Service Retirement and Disability Fund....................................................................................................................………</t>
  </si>
  <si>
    <t>6 1/4</t>
  </si>
  <si>
    <t>EU7</t>
  </si>
  <si>
    <t>General Post Fund, National Homes, Department of Veterans Affairs....................................................................................................................………</t>
  </si>
  <si>
    <t>Gifts and Donations, National Endowment for the Humanities..................................................................................................................</t>
  </si>
  <si>
    <t>Gifts and Donations, National Endowment of the Arts..................................................................................................................</t>
  </si>
  <si>
    <t>Gifts, Central Intelligence Agency..................................................................................................................................</t>
  </si>
  <si>
    <t>Guarantees of Mortgage-Backed Securities Fund, Government National</t>
  </si>
  <si>
    <t xml:space="preserve">   Mortgage Association, Housing and Urban Development...........................................................</t>
  </si>
  <si>
    <t>BW2</t>
  </si>
  <si>
    <t>DQ7</t>
  </si>
  <si>
    <t>Harbor Maintenance Trust Fund............................................................................................................................................</t>
  </si>
  <si>
    <t>Harry S. Truman Memorial Scholarship Trust Fund, Harry S. Truman</t>
  </si>
  <si>
    <t>GC5</t>
  </si>
  <si>
    <t xml:space="preserve">   Scholarship Foundation.......................................................................................................</t>
  </si>
  <si>
    <t>Highway Trust Fund.......................................................................................................................................................</t>
  </si>
  <si>
    <t>Total Nonmarketable consists of short-term debt (1 year and less) of $303,949 million, long-term debt (greater than 1 year) of $2,435,072 million and</t>
  </si>
  <si>
    <t>Inland Waterways Trust Fund............................................................................................................</t>
  </si>
  <si>
    <t>Iranian Claims Settlement Fund, Treasury Department....................................................................................................................................</t>
  </si>
  <si>
    <t xml:space="preserve">   Administration...................................................................................................................……..</t>
  </si>
  <si>
    <t>Federal Supplemental District of Columbia Pension Fund.......................................………</t>
  </si>
  <si>
    <t>Federal Ship Financing Escrow Fund, Maritime Administration......................................................................................................................…</t>
  </si>
  <si>
    <t>Federal Old-Age and Survivors Insurance Trust Fund.................................................................................................…</t>
  </si>
  <si>
    <t>FHA - Liquidating Account, Housing and Urban Development...........................................................................................................…</t>
  </si>
  <si>
    <t>National Archives Trust Fund, National Archives and Records Administration...............................................................…</t>
  </si>
  <si>
    <t>National Credit Union Share Insurance Fund..................................................................................................................................................…</t>
  </si>
  <si>
    <t>United States Enrichment Corporation Fund......................................................................................................................................…</t>
  </si>
  <si>
    <t>National Institutes of Health Conditional Gift Fund..............................................................…</t>
  </si>
  <si>
    <t>National Institutes of Health Unconditional Gift Fund...............................................................................................…</t>
  </si>
  <si>
    <t>National Security Education Trust Fund..................................................................................................................…</t>
  </si>
  <si>
    <t>National Service Life Insurance Fund, Department of Veterans Affairs..............................................................…</t>
  </si>
  <si>
    <t>National Service Trust, Corporation for National and Community Services.............................................................…</t>
  </si>
  <si>
    <t>Native American Institutions Endowment Fund............................................................................................…</t>
  </si>
  <si>
    <t xml:space="preserve">   Columbia, Department of Labor..................................................................................……….</t>
  </si>
  <si>
    <t>Revolving Fund for Administrative Expense, Farm Credit Administration.............………….</t>
  </si>
  <si>
    <t>By the Public</t>
  </si>
  <si>
    <t xml:space="preserve">   and Space Administration..............................................................................................……….</t>
  </si>
  <si>
    <t>Smithsonian Endowment Fund, Smithsonian Institution................................................................................................................…</t>
  </si>
  <si>
    <t>Social Security Equivalent Benefit Account, Railroad Retirement Board..........................................................................................…</t>
  </si>
  <si>
    <t>Southern Nevada Public Land Management Act of 1998............................................……….</t>
  </si>
  <si>
    <t>Israeli Arab Scholarship Program, United States Information Agency................................................................</t>
  </si>
  <si>
    <t>James Madison Memorial Fellowship Foundation Fund.....................................................................................................</t>
  </si>
  <si>
    <t xml:space="preserve">Japan-United States Friendship Trust Fund, Japan-United States </t>
  </si>
  <si>
    <t xml:space="preserve">   Friendship Commission.......................................................................................................</t>
  </si>
  <si>
    <t>John C. Stennis Center for Public Service Training and Development.................................................................</t>
  </si>
  <si>
    <t>Judicial Officers Retirement Fund...............................................................................................................................</t>
  </si>
  <si>
    <t>Effective May 1, 1987, securities held in stripped form were eligible for reconstitution to their unstripped form.</t>
  </si>
  <si>
    <t>Judicial Survivors Annuities Fund................................................................................................................................</t>
  </si>
  <si>
    <t>Kennedy Center Revenue Bond Sinking Fund............................................................................................................</t>
  </si>
  <si>
    <t>Leaking Underground Storage Tank Trust Fund..................................................................................................................</t>
  </si>
  <si>
    <t>Library of Congress Trust Fund.......................................................................................................................................</t>
  </si>
  <si>
    <t>Morris K. Udall Scholarship and Excellence in National Environmental</t>
  </si>
  <si>
    <t>DT1</t>
  </si>
  <si>
    <t xml:space="preserve">   Policy Trust Fund....................................................................................................................</t>
  </si>
  <si>
    <t>DS3</t>
  </si>
  <si>
    <t>Natural Resource Damage Assessment and Restoration Fund, U.S. Fish</t>
  </si>
  <si>
    <t xml:space="preserve">   and Wildlife Service, Interior...............................................................................................................</t>
  </si>
  <si>
    <t>Nuclear Waste Disposal Fund, Department of Energy..............................................................................................................................</t>
  </si>
  <si>
    <t>Oil Spill Liability Trust Fund.............................................................................................................................................</t>
  </si>
  <si>
    <t>Total Government Account Series - Intragovernmental Holdings............................………………..</t>
  </si>
  <si>
    <t>Oliver Wendell Holmes Devise Fund, Library of Congress.........................................................................................</t>
  </si>
  <si>
    <t>Operating Fund, National Credit Union Administration.........................................................................................</t>
  </si>
  <si>
    <t>Operation and Maintenance, Indian Irrigation Systems, Bureau of Indian Affairs................</t>
  </si>
  <si>
    <t>Overseas Private Investment Corporation, Insurance and Equity Non Credit</t>
  </si>
  <si>
    <t xml:space="preserve">   Account............................................................................................................................................</t>
  </si>
  <si>
    <t>Panama Canal Commission Compensation Fund......................................................................................................</t>
  </si>
  <si>
    <t>Patients Benefit Fund, National Institutes of Health.................................................................................................</t>
  </si>
  <si>
    <t xml:space="preserve">   Department of Energy.........................................................................................................</t>
  </si>
  <si>
    <t>Payments to Copyright Owners, Copyright Office, Library of Congress................................................................</t>
  </si>
  <si>
    <t>basis (360 days a year) as indicated.  Effective November 10, 1997,  three decimal bidding, in .005 percent increments, is required for regular Treasury Bill</t>
  </si>
  <si>
    <t>Pension Benefit Guaranty Corporation..........................................................................................................................</t>
  </si>
  <si>
    <t>Total Subject to the Statutory Debt Limit..................................................................................................................................................................................................</t>
  </si>
  <si>
    <t>6U1</t>
  </si>
  <si>
    <t>GD3</t>
  </si>
  <si>
    <t>Total Not Subject to the Statutory Debt Limit..................................................................................................................................................................................................................</t>
  </si>
  <si>
    <t>Public Health Service Conditional Gift Fund, Health Resources and Services</t>
  </si>
  <si>
    <t>Relief and Rehabilitation, Longshoremen's and Harbor Workers' Compensation</t>
  </si>
  <si>
    <t>Relief and Rehabilitation, Workmen's Compensation Act, within the District of</t>
  </si>
  <si>
    <t>Reserve Mobilization Income Insurance Fund, Defense......................................................................</t>
  </si>
  <si>
    <t>Saving Association Insurance Fund, The..................................................................................................................</t>
  </si>
  <si>
    <t>Science, Space and Technology Education Trust Fund, National Aeronautics</t>
  </si>
  <si>
    <t>Seized Assets Fund, Justice............................................................................................................................................</t>
  </si>
  <si>
    <t>ET0</t>
  </si>
  <si>
    <t>Servicemen's Group Life Insurance Fund................................................................................................................................</t>
  </si>
  <si>
    <t>Special Investment Account..........................................................................................................................................</t>
  </si>
  <si>
    <t>EE3</t>
  </si>
  <si>
    <t>Tax Court Judges Survivors Annuity Fund.............................................................................................................................</t>
  </si>
  <si>
    <t>Thrift Savings Fund, Federal Retirement Thrift Investment Board.....................................................................................................</t>
  </si>
  <si>
    <t>Treasury Deposit Funds................................................................................................................................................</t>
  </si>
  <si>
    <t>Treasury Forfeiture Fund.................................................................................................................................................</t>
  </si>
  <si>
    <t>Trust Fund, The Barry Goldwater Scholarship and Excellence in Education Fund...........</t>
  </si>
  <si>
    <t>Unearned Copyright Fees, Library Of Congress..............................................................................................................................................</t>
  </si>
  <si>
    <t>United States Government Life Insurance Fund, Department of Veterans Affairs.............</t>
  </si>
  <si>
    <t>United States Naval Academy General Gift Fund......................................................................................................</t>
  </si>
  <si>
    <t>United States Trustee System Fund, Justice..........................................................................................................................</t>
  </si>
  <si>
    <t>Uranium Enrichment and Decommissioning Fund, Department of Energy.........................................................................................................</t>
  </si>
  <si>
    <t>FSLIC Resolution Fund, The............................................................................................……..</t>
  </si>
  <si>
    <t xml:space="preserve">   Act, as amended, Department of Labor.....................................................................……….</t>
  </si>
  <si>
    <t>Power Systems, Indian Irrigation Projects, Bureau of Indian Affairs.....….............………..</t>
  </si>
  <si>
    <t>Public Enterprise Revolving Fund, Office of Thrift Supervision, Treasury...............……..</t>
  </si>
  <si>
    <t xml:space="preserve">   Administration................................................................................................................……….</t>
  </si>
  <si>
    <t>Railroad Retirement Account...........................................................................................…….</t>
  </si>
  <si>
    <t>Railroad Retirement Supplemental Account................................................................…….</t>
  </si>
  <si>
    <t>Expenses, Presidio Trust.................….............................................................................................................................</t>
  </si>
  <si>
    <t>4-5/8</t>
  </si>
  <si>
    <t>Utah Reclamation Mitigation and Conservation Account, Interior........................................................................................................</t>
  </si>
  <si>
    <t>Gifts and Bequests, Treasury............................................................................................................................................</t>
  </si>
  <si>
    <t>Unemployment Trust Fund..............................................................................................................................................</t>
  </si>
  <si>
    <t>Vaccine Injury Compensation Trust Fund....................................................................................................................</t>
  </si>
  <si>
    <t>Veterans Reopened Insurance Fund...........................................................................................................................</t>
  </si>
  <si>
    <t>Veterans Special Life Insurance Fund, Trust Revolving Fund, Department of</t>
  </si>
  <si>
    <t xml:space="preserve">  Veterans Affairs.................................................................................................................................................</t>
  </si>
  <si>
    <t>Vietnam Claims Fund, Financial Management Service....................................................................................................</t>
  </si>
  <si>
    <t>Voluntary Separation Incentive Fund, Defense..........................................................................................................................</t>
  </si>
  <si>
    <t>War-Risk Insurance Revolving Fund, Maritime Administration......................................................................................</t>
  </si>
  <si>
    <t>CG6</t>
  </si>
  <si>
    <t>DY0</t>
  </si>
  <si>
    <t>EB9</t>
  </si>
  <si>
    <t>DZ7</t>
  </si>
  <si>
    <t>EA1</t>
  </si>
  <si>
    <t>United States Notes.......................................................................................................................................................................................................................</t>
  </si>
  <si>
    <t>FEBRUARY 28, 2001</t>
  </si>
  <si>
    <t>TABLE I -- SUMMARY OF TREASURY SECURITIES OUTSTANDING, FEBRUARY 28, 2001</t>
  </si>
  <si>
    <t>TABLE II -- STATUTORY DEBT LIMIT, FEBRUARY 28, 2001</t>
  </si>
  <si>
    <t>Total Marketable consists of short-term debt (1 year and less) of $680,658 million, long-term debt (greater than 1 year) of $2,308,455 million and</t>
  </si>
  <si>
    <t>matured debt of $144 million.</t>
  </si>
  <si>
    <t>matured debt of $7,581 million.</t>
  </si>
  <si>
    <t>TABLE III - DETAIL OF TREASURY SECURITIES OUTSTANDING, FEBRUARY 28, 2001</t>
  </si>
  <si>
    <t>TABLE III - DETAIL OF TREASURY SECURITIES OUTSTANDING, FEBRUARY 28, 2001 -- Continued</t>
  </si>
  <si>
    <t>TABLE IV - HISTORICAL DATA, FEBRUARY 28, 2001</t>
  </si>
  <si>
    <t>TABLE V - HOLDINGS OF TREASURY SECURITIES IN STRIPPED FORM, FEBRUARY 28, 2001</t>
  </si>
  <si>
    <t>TABLE V - HOLDINGS OF TREASURY SECURITIES IN STRIPPED FORM, FEBRUARY 28, 2001 -- Continued</t>
  </si>
  <si>
    <t>MONTHLY STATEMENT OF TREASURY SECURITIES OF THE UNITED STATES FEBRUARY 28, 2001 - FOOTNOTES</t>
  </si>
  <si>
    <t>912795 FV8</t>
  </si>
  <si>
    <t>HG9</t>
  </si>
  <si>
    <t>HE4</t>
  </si>
  <si>
    <t>912827 X49</t>
  </si>
  <si>
    <t>6T4</t>
  </si>
  <si>
    <t>912810 CU0</t>
  </si>
  <si>
    <t>FP8</t>
  </si>
  <si>
    <t>912820 FB8</t>
  </si>
  <si>
    <t>National and Federal Reserve Bank Notes assumed by the United States on deposit of lawful money for their retirement ...........................................................................................</t>
  </si>
  <si>
    <t>Silver Certificates (Act of June 24, 1967)...........................................................................................................................................................................</t>
  </si>
  <si>
    <t>FW6</t>
  </si>
  <si>
    <t>FX4</t>
  </si>
  <si>
    <t>FY2</t>
  </si>
  <si>
    <t>FZ9</t>
  </si>
  <si>
    <t>GA3</t>
  </si>
  <si>
    <t>GB1</t>
  </si>
  <si>
    <t>GC9</t>
  </si>
  <si>
    <t>GD7</t>
  </si>
  <si>
    <t>GE5</t>
  </si>
  <si>
    <t>GF2</t>
  </si>
  <si>
    <t>GG0</t>
  </si>
  <si>
    <t>GH8</t>
  </si>
  <si>
    <t>GJ4</t>
  </si>
  <si>
    <t>GK1</t>
  </si>
  <si>
    <t>GL9</t>
  </si>
  <si>
    <t>GM7</t>
  </si>
  <si>
    <t>GN5</t>
  </si>
  <si>
    <t>HL8</t>
  </si>
  <si>
    <t>HM6</t>
  </si>
  <si>
    <t>5D0</t>
  </si>
  <si>
    <t>X64</t>
  </si>
  <si>
    <t>5E8</t>
  </si>
  <si>
    <t>A85</t>
  </si>
  <si>
    <t>4E9</t>
  </si>
  <si>
    <t>Y22</t>
  </si>
  <si>
    <t>5H1</t>
  </si>
  <si>
    <t>Y48</t>
  </si>
  <si>
    <t>5J7</t>
  </si>
  <si>
    <t>Y71</t>
  </si>
  <si>
    <t>5L2</t>
  </si>
  <si>
    <t>B92</t>
  </si>
  <si>
    <t>Z39</t>
  </si>
  <si>
    <t>5P3</t>
  </si>
  <si>
    <t>Z54</t>
  </si>
  <si>
    <t>5Q1</t>
  </si>
  <si>
    <t>Z88</t>
  </si>
  <si>
    <t>5R9</t>
  </si>
  <si>
    <t>D25</t>
  </si>
  <si>
    <t xml:space="preserve"> 2C5</t>
  </si>
  <si>
    <t>2E1</t>
  </si>
  <si>
    <t>2G6</t>
  </si>
  <si>
    <t>5X6</t>
  </si>
  <si>
    <t xml:space="preserve"> 2L5</t>
  </si>
  <si>
    <t>6A5</t>
  </si>
  <si>
    <t>2P6</t>
  </si>
  <si>
    <t>6B3</t>
  </si>
  <si>
    <t>2S0</t>
  </si>
  <si>
    <t>6C1</t>
  </si>
  <si>
    <t>2W1</t>
  </si>
  <si>
    <t>6E7</t>
  </si>
  <si>
    <t>2Y7</t>
  </si>
  <si>
    <t>6F4</t>
  </si>
  <si>
    <t xml:space="preserve"> 6H0</t>
  </si>
  <si>
    <t>G55</t>
  </si>
  <si>
    <t>3G5</t>
  </si>
  <si>
    <t xml:space="preserve"> 6K3</t>
  </si>
  <si>
    <t xml:space="preserve"> 3J9</t>
  </si>
  <si>
    <t xml:space="preserve"> 6L1</t>
  </si>
  <si>
    <t xml:space="preserve"> 3L4</t>
  </si>
  <si>
    <t xml:space="preserve"> 3Q3</t>
  </si>
  <si>
    <t xml:space="preserve"> 6P2</t>
  </si>
  <si>
    <t xml:space="preserve"> 3S9</t>
  </si>
  <si>
    <t xml:space="preserve"> 3V2</t>
  </si>
  <si>
    <t>J78</t>
  </si>
  <si>
    <t xml:space="preserve"> 3Z3</t>
  </si>
  <si>
    <t>4B5</t>
  </si>
  <si>
    <t>4D1</t>
  </si>
  <si>
    <t>4H2</t>
  </si>
  <si>
    <t>4K5</t>
  </si>
  <si>
    <t>L83</t>
  </si>
  <si>
    <t xml:space="preserve"> 4N9</t>
  </si>
  <si>
    <t>4U3</t>
  </si>
  <si>
    <t>N81</t>
  </si>
  <si>
    <t xml:space="preserve"> 5A6</t>
  </si>
  <si>
    <t>P89</t>
  </si>
  <si>
    <t>5F5</t>
  </si>
  <si>
    <t>Q88</t>
  </si>
  <si>
    <t>5M0</t>
  </si>
  <si>
    <t>R87</t>
  </si>
  <si>
    <t>5S7</t>
  </si>
  <si>
    <t>S86</t>
  </si>
  <si>
    <t>T85</t>
  </si>
  <si>
    <t>6D9</t>
  </si>
  <si>
    <t>U83</t>
  </si>
  <si>
    <t>V82</t>
  </si>
  <si>
    <t>6N7</t>
  </si>
  <si>
    <t>W81</t>
  </si>
  <si>
    <t>X80</t>
  </si>
  <si>
    <t>Y55</t>
  </si>
  <si>
    <t>Z62</t>
  </si>
  <si>
    <t>2J0</t>
  </si>
  <si>
    <t>2U5</t>
  </si>
  <si>
    <t>3E0</t>
  </si>
  <si>
    <t>3X8</t>
  </si>
  <si>
    <t>4F6</t>
  </si>
  <si>
    <t>4V1</t>
  </si>
  <si>
    <t>5G3</t>
  </si>
  <si>
    <t>5N8</t>
  </si>
  <si>
    <t>5Z1</t>
  </si>
  <si>
    <t>6J6</t>
  </si>
  <si>
    <t>F49</t>
  </si>
  <si>
    <t>CW6</t>
  </si>
  <si>
    <t>CX4</t>
  </si>
  <si>
    <t>BX5</t>
  </si>
  <si>
    <t>CZ9</t>
  </si>
  <si>
    <t>BZ0</t>
  </si>
  <si>
    <t>DA3</t>
  </si>
  <si>
    <t>DC9</t>
  </si>
  <si>
    <t>DD7</t>
  </si>
  <si>
    <t>CC0</t>
  </si>
  <si>
    <t>DE5</t>
  </si>
  <si>
    <t xml:space="preserve"> CE6</t>
  </si>
  <si>
    <t>DG0</t>
  </si>
  <si>
    <t>CG1</t>
  </si>
  <si>
    <t>DH8</t>
  </si>
  <si>
    <t>DK1</t>
  </si>
  <si>
    <t>CK2</t>
  </si>
  <si>
    <t>DM7</t>
  </si>
  <si>
    <t>CM8</t>
  </si>
  <si>
    <t>CP1</t>
  </si>
  <si>
    <t>DQ8</t>
  </si>
  <si>
    <t>DR6</t>
  </si>
  <si>
    <t>CS5</t>
  </si>
  <si>
    <t xml:space="preserve">  DU9</t>
  </si>
  <si>
    <t xml:space="preserve">  CV8</t>
  </si>
  <si>
    <t xml:space="preserve"> CY2</t>
  </si>
  <si>
    <t xml:space="preserve"> DB1</t>
  </si>
  <si>
    <t xml:space="preserve"> DF2</t>
  </si>
  <si>
    <t xml:space="preserve"> DJ4</t>
  </si>
  <si>
    <t xml:space="preserve"> DL9</t>
  </si>
  <si>
    <t xml:space="preserve"> DN5</t>
  </si>
  <si>
    <t xml:space="preserve"> DP0</t>
  </si>
  <si>
    <t>DS4</t>
  </si>
  <si>
    <t>DT2</t>
  </si>
  <si>
    <t>DV7</t>
  </si>
  <si>
    <t>DW5</t>
  </si>
  <si>
    <t xml:space="preserve"> DX3</t>
  </si>
  <si>
    <t>DY1</t>
  </si>
  <si>
    <t>DZ8</t>
  </si>
  <si>
    <t xml:space="preserve"> EA2</t>
  </si>
  <si>
    <t>EB0</t>
  </si>
  <si>
    <t>EC8</t>
  </si>
  <si>
    <t>ED6</t>
  </si>
  <si>
    <t>EE4</t>
  </si>
  <si>
    <t>EF1</t>
  </si>
  <si>
    <t>EG9</t>
  </si>
  <si>
    <t>EH7</t>
  </si>
  <si>
    <t xml:space="preserve"> EJ3</t>
  </si>
  <si>
    <t>EK0</t>
  </si>
  <si>
    <t>EL8</t>
  </si>
  <si>
    <t>EM6</t>
  </si>
  <si>
    <t>EN4</t>
  </si>
  <si>
    <t xml:space="preserve"> EP9</t>
  </si>
  <si>
    <t>EQ7</t>
  </si>
  <si>
    <t>ES3</t>
  </si>
  <si>
    <t>ET1</t>
  </si>
  <si>
    <t>EV6</t>
  </si>
  <si>
    <t>EW4</t>
  </si>
  <si>
    <t>EX2</t>
  </si>
  <si>
    <t xml:space="preserve"> EY0</t>
  </si>
  <si>
    <t>EZ7</t>
  </si>
  <si>
    <t>FA1</t>
  </si>
  <si>
    <t>FB9</t>
  </si>
  <si>
    <t>FE3</t>
  </si>
  <si>
    <t>FF0</t>
  </si>
  <si>
    <t>FG8</t>
  </si>
  <si>
    <t>FJ2</t>
  </si>
  <si>
    <t>FM5</t>
  </si>
  <si>
    <t>912827 3A8</t>
  </si>
  <si>
    <t>2M3</t>
  </si>
  <si>
    <t>3T7</t>
  </si>
  <si>
    <t>4Y5</t>
  </si>
  <si>
    <t>5W8</t>
  </si>
  <si>
    <t>912810 FD5</t>
  </si>
  <si>
    <t>FH6</t>
  </si>
  <si>
    <t>Bills 03/15/01............................................................</t>
  </si>
  <si>
    <t>Bills 04/05/01............................................................</t>
  </si>
  <si>
    <t>Bills 05/01/01............................................................</t>
  </si>
  <si>
    <t>Bills 05/03/01............................................................</t>
  </si>
  <si>
    <t>Bills 05/17/01............................................................</t>
  </si>
  <si>
    <t>Bills 06/01/01............................................................</t>
  </si>
  <si>
    <t>Bills 06/07/01............................................................</t>
  </si>
  <si>
    <t>Bills 07/02/01............................................................</t>
  </si>
  <si>
    <t>Bills 07/05/01............................................................</t>
  </si>
  <si>
    <t>Bills 08/01/01............................................................</t>
  </si>
  <si>
    <t>Bills 08/02/01............................................................</t>
  </si>
  <si>
    <t>Bills 09/04/01............................................................</t>
  </si>
  <si>
    <t xml:space="preserve">* </t>
  </si>
  <si>
    <t>912810 DM7</t>
  </si>
  <si>
    <t>DU9</t>
  </si>
  <si>
    <t>DN5</t>
  </si>
  <si>
    <t>DP0</t>
  </si>
  <si>
    <t>DX3</t>
  </si>
  <si>
    <t>EA2</t>
  </si>
  <si>
    <t>EJ3</t>
  </si>
  <si>
    <t>EP9</t>
  </si>
  <si>
    <t>EY0</t>
  </si>
  <si>
    <t>FC6</t>
  </si>
  <si>
    <t>FD4</t>
  </si>
  <si>
    <t>FE2</t>
  </si>
  <si>
    <t>FF9</t>
  </si>
  <si>
    <t>FG7</t>
  </si>
  <si>
    <t>FH5</t>
  </si>
  <si>
    <t>FJ1</t>
  </si>
  <si>
    <t>2C5</t>
  </si>
  <si>
    <t>FK8</t>
  </si>
  <si>
    <t>2L5</t>
  </si>
  <si>
    <t>FL6</t>
  </si>
  <si>
    <t>FM4</t>
  </si>
  <si>
    <t>FN2</t>
  </si>
  <si>
    <t>FP7</t>
  </si>
  <si>
    <t>FQ5</t>
  </si>
  <si>
    <t>3C4</t>
  </si>
  <si>
    <t>FR3</t>
  </si>
  <si>
    <t>6H0</t>
  </si>
  <si>
    <t>FS1</t>
  </si>
  <si>
    <t>6K3</t>
  </si>
  <si>
    <t>3J9</t>
  </si>
  <si>
    <t>6L1</t>
  </si>
  <si>
    <t>FV4</t>
  </si>
  <si>
    <t>3L4</t>
  </si>
  <si>
    <t>3Q3</t>
  </si>
  <si>
    <t>6P2</t>
  </si>
  <si>
    <t>FY8</t>
  </si>
  <si>
    <t>3S9</t>
  </si>
  <si>
    <t>3V2</t>
  </si>
  <si>
    <t>3Z3</t>
  </si>
  <si>
    <t>4N9</t>
  </si>
  <si>
    <t>5A6</t>
  </si>
  <si>
    <t>FX0</t>
  </si>
  <si>
    <t>Bequests and Gifts, Disaster Relief, Funds Appropriated to the President…………………..</t>
  </si>
  <si>
    <t>Bureau of Reclamation (Dutch John Federal Property Disposition)………….…………………..</t>
  </si>
  <si>
    <t>Conditional Gift Fund, General, Department of State………………………………………………</t>
  </si>
  <si>
    <t>CK7</t>
  </si>
  <si>
    <t xml:space="preserve">FHA - Flexible Subside Fund, Housing Programs, Housing and Urban </t>
  </si>
  <si>
    <t xml:space="preserve">   Development............................................................................................................................................................…</t>
  </si>
  <si>
    <t xml:space="preserve">   Housing and Urban Development............................................................................................................................................................…</t>
  </si>
  <si>
    <t xml:space="preserve">FHA - Homeowner Assistance Fund, Housing Programs, Housing and Urban </t>
  </si>
  <si>
    <t>Foreign Fishing Observer Fund, National Oceanic and Atmospheric</t>
  </si>
  <si>
    <t>Inspection and Grading of Fishery Products, Department of Commerce……………</t>
  </si>
  <si>
    <t xml:space="preserve">Inspection and Weighing Services, Grain Inspection, Packers and Stockyards </t>
  </si>
  <si>
    <t xml:space="preserve">   Administration....…....................................……........................................................………</t>
  </si>
  <si>
    <t>Kuukpik Alaska Escrow Fund…………………………………………………………………</t>
  </si>
  <si>
    <t>Oklahoma City National Memorial Trust Fund……………………………………………..</t>
  </si>
  <si>
    <t>Reregistration and Expedited Processing Fund, Environmental Protection Agency......................................................................</t>
  </si>
  <si>
    <t>Library of Congress Gift Fund....................................................................................................................................…</t>
  </si>
  <si>
    <t>Wage and Hour and Public Contracts Restitution Fund, Labor......................................................................................</t>
  </si>
  <si>
    <t>Other..........................................................................................................................................................................................................................................................</t>
  </si>
  <si>
    <t>Less than $500 thousand.</t>
  </si>
  <si>
    <t>Mortgage Guaranty Insurance Company Tax and Loss Bonds..................................................................................................................................................................</t>
  </si>
  <si>
    <t>United States Savings Stamps..............................................................................................................................................................................................</t>
  </si>
  <si>
    <t>FU6</t>
  </si>
  <si>
    <t>EM5</t>
  </si>
  <si>
    <t>CH4</t>
  </si>
  <si>
    <t>DW4</t>
  </si>
  <si>
    <t>Total Nonmarketable............................................................................................................................................................................</t>
  </si>
  <si>
    <t>ER4</t>
  </si>
  <si>
    <t>EQ6</t>
  </si>
  <si>
    <t>Subject to the Statutory Debt Limit:</t>
  </si>
  <si>
    <t>total</t>
  </si>
  <si>
    <t>3-7/8</t>
  </si>
  <si>
    <t>DN4</t>
  </si>
  <si>
    <t>Corpus</t>
  </si>
  <si>
    <t>Environmental Policy and Conflict Resolution Act of 1998.............................................</t>
  </si>
  <si>
    <t>STRIP</t>
  </si>
  <si>
    <t>Maturity Date</t>
  </si>
  <si>
    <t>Reconstituted</t>
  </si>
  <si>
    <t>CUSIP</t>
  </si>
  <si>
    <t>Total</t>
  </si>
  <si>
    <t>Portion Held in</t>
  </si>
  <si>
    <t>Unstripped Form</t>
  </si>
  <si>
    <t>Stripped Form</t>
  </si>
  <si>
    <t>Treasury Bonds:</t>
  </si>
  <si>
    <t>912803 AB9</t>
  </si>
  <si>
    <t>AD5</t>
  </si>
  <si>
    <t>AG8</t>
  </si>
  <si>
    <t>AJ2</t>
  </si>
  <si>
    <t>912800 AA7</t>
  </si>
  <si>
    <t>912803 AA1</t>
  </si>
  <si>
    <t>AC7</t>
  </si>
  <si>
    <t>AE3</t>
  </si>
  <si>
    <t>AF0</t>
  </si>
  <si>
    <t>AH6</t>
  </si>
  <si>
    <t>AK9</t>
  </si>
  <si>
    <t>AL7</t>
  </si>
  <si>
    <t>AM5</t>
  </si>
  <si>
    <t>AN3</t>
  </si>
  <si>
    <t>AP8</t>
  </si>
  <si>
    <t>AQ6</t>
  </si>
  <si>
    <t>AR4</t>
  </si>
  <si>
    <t>AS2</t>
  </si>
  <si>
    <t>AT0</t>
  </si>
  <si>
    <t>AU7</t>
  </si>
  <si>
    <t>Bequests of Major General Fred C. Ainsworth, Library, Walter Reed</t>
  </si>
  <si>
    <t xml:space="preserve">    General Hospital………….........................................................................................................</t>
  </si>
  <si>
    <t>Cheyenne River Sioux Tribe Terrestrial Wildlife Habitat Restoration</t>
  </si>
  <si>
    <t xml:space="preserve">    Trust Fund....………..……….........................................................................................................</t>
  </si>
  <si>
    <t>Lower Brule Sioux Tribe Terrestrial Wildlife Habitat Restoration Trust Fund.........................................................................................</t>
  </si>
  <si>
    <t>AV5</t>
  </si>
  <si>
    <t>AW3</t>
  </si>
  <si>
    <t>AX1</t>
  </si>
  <si>
    <t>AY9</t>
  </si>
  <si>
    <t>AZ6</t>
  </si>
  <si>
    <t>BA0</t>
  </si>
  <si>
    <t>BB8</t>
  </si>
  <si>
    <t>BC6</t>
  </si>
  <si>
    <t>BD4</t>
  </si>
  <si>
    <t>BE2</t>
  </si>
  <si>
    <t>BF9</t>
  </si>
  <si>
    <t>BG7</t>
  </si>
  <si>
    <t>BH5</t>
  </si>
  <si>
    <t>BJ1</t>
  </si>
  <si>
    <t>BK8</t>
  </si>
  <si>
    <t>BL6</t>
  </si>
  <si>
    <t>BM4</t>
  </si>
  <si>
    <t>BP7</t>
  </si>
  <si>
    <t>BV4</t>
  </si>
  <si>
    <t>Total Treasury Bonds.........................................</t>
  </si>
  <si>
    <t>BA4</t>
  </si>
  <si>
    <t>CX3</t>
  </si>
  <si>
    <t>BB2</t>
  </si>
  <si>
    <t>BC0</t>
  </si>
  <si>
    <t>BD8</t>
  </si>
  <si>
    <t>Seized Currency, United States Customs Service.........................................................................................................................</t>
  </si>
  <si>
    <t>BE6</t>
  </si>
  <si>
    <t>CC9</t>
  </si>
  <si>
    <t>CE5</t>
  </si>
  <si>
    <t>CH8</t>
  </si>
  <si>
    <t>CK1</t>
  </si>
  <si>
    <t>CN5</t>
  </si>
  <si>
    <t>BF3</t>
  </si>
  <si>
    <t>CS4</t>
  </si>
  <si>
    <t>CU9</t>
  </si>
  <si>
    <t>CW5</t>
  </si>
  <si>
    <t>DA2</t>
  </si>
  <si>
    <t>DC8</t>
  </si>
  <si>
    <t>BG1</t>
  </si>
  <si>
    <t>DE4</t>
  </si>
  <si>
    <t>DJ3</t>
  </si>
  <si>
    <t>BH9</t>
  </si>
  <si>
    <t>BJ5</t>
  </si>
  <si>
    <t>BK2</t>
  </si>
  <si>
    <t>BL0</t>
  </si>
  <si>
    <t>BM8</t>
  </si>
  <si>
    <t>BN6</t>
  </si>
  <si>
    <t>BP1</t>
  </si>
  <si>
    <t>BQ9</t>
  </si>
  <si>
    <t>BR7</t>
  </si>
  <si>
    <t>BS5</t>
  </si>
  <si>
    <t>BT3</t>
  </si>
  <si>
    <t>BU0</t>
  </si>
  <si>
    <t>BW6</t>
  </si>
  <si>
    <t>BX4</t>
  </si>
  <si>
    <t>CA3</t>
  </si>
  <si>
    <t>CQ8</t>
  </si>
  <si>
    <t>CY1</t>
  </si>
  <si>
    <t>DK0</t>
  </si>
  <si>
    <t>Total Treasury Notes.....................................</t>
  </si>
  <si>
    <t>912820 BZ9</t>
  </si>
  <si>
    <t>BV8</t>
  </si>
  <si>
    <t>CL9</t>
  </si>
  <si>
    <t>Total Inflation-Indexed Notes.....................................</t>
  </si>
  <si>
    <t>912803 BN2</t>
  </si>
  <si>
    <t>Total Inflation-Indexed Bonds.....................................</t>
  </si>
  <si>
    <t xml:space="preserve">  Grand Total...................................................................................................................................</t>
  </si>
  <si>
    <t>*</t>
  </si>
  <si>
    <t>Represents the unamortized discount on Treasury Bills and zero-coupon Treasury Bonds.</t>
  </si>
  <si>
    <t>District of Columbia Pension Liability Trust Fund.............................................................................................................................................</t>
  </si>
  <si>
    <t>Pursuant to 31 U.S.C. 3101(b).  By Act of August 5, 1997, Public Law 105-33, Sec. 5701 the Statutory Debt Limit was permanently increased to $5,950,000 million.</t>
  </si>
  <si>
    <t>Fiscal Year 2001 to Date</t>
  </si>
  <si>
    <t>Fiscal Year 2000</t>
  </si>
  <si>
    <t>Bills are sold by competitive bidding on a bank discount yield basis.  The sale price of these securities gives an approximate yield on a  bank discount</t>
  </si>
  <si>
    <t>For price and yield ranges of unmatured securities issued at a premium or discount see Table 3, Public Debt Operations of the quarterly Treasury Bulletin.</t>
  </si>
  <si>
    <t>Redeemable at option of United States on and after dates indicated, unless otherwise shown, but only on interest dates on 4 months' notice.</t>
  </si>
  <si>
    <t>Redeemable on demand.</t>
  </si>
  <si>
    <t>Amounts issued, retired, and outstanding for Series E, EE, and I Savings Bonds and Savings Notes are stated at cost plus accrued discount.  Amounts issued,</t>
  </si>
  <si>
    <t>retired, and outstanding for Series H and HH Bonds are stated at face value.</t>
  </si>
  <si>
    <t>Redeemable after 6 months from issue date at option of owner.</t>
  </si>
  <si>
    <t>The bonds are issued at par and semiannual interest is added to principal.  Redeemable without interest during the first twelve months after issue date.  There-</t>
  </si>
  <si>
    <t>EC7</t>
  </si>
  <si>
    <t>Marketable, Treasury Notes--Continued:</t>
  </si>
  <si>
    <t>after, bonds presented for payment prior to age 59-1/2 years carry a penalty except in case of death or disability or upon "roll-over" to other authorized investments.</t>
  </si>
  <si>
    <t>Redeemable at any time effective with the 1984 Tax Reform Act.  The redemption proceeds should be reported as income unless reinvested into an individual</t>
  </si>
  <si>
    <t>retirement plan or an employee plan qualified under Section 401 of the Internal Revenue Code.</t>
  </si>
  <si>
    <t>Excludes $25 million United States Notes issued prior to July 1, 1929, determined pursuant to Act of June 30, 1961, 31 U.S.C. 5119, to have been destroyed or</t>
  </si>
  <si>
    <t>irretrievably lost.</t>
  </si>
  <si>
    <t>Excludes $29 million National Bank Notes issued prior to July 1, 1929, and $2 million Federal Reserve Bank Notes issued prior to July 1, 1929, determined</t>
  </si>
  <si>
    <t>pursuant to Act of June 30, 1961, 31 U.S.C. 5119 to have been destroyed or irretrievably lost.</t>
  </si>
  <si>
    <t xml:space="preserve">Excludes $200 million Silver Certificates issued after June 30, 1929, determined pursuant to Act of June 24, 1967, to have been destroyed or irretrievably lost.          </t>
  </si>
  <si>
    <t>GENERAL:</t>
  </si>
  <si>
    <t>DX2</t>
  </si>
  <si>
    <t>The outstanding balances in this statement are based upon daily cash activity reports from Federal Reserve Banks and Bureau Offices and are subject to</t>
  </si>
  <si>
    <t>audit and subsequent adjustments.</t>
  </si>
  <si>
    <t>Totals</t>
  </si>
  <si>
    <t>Other Debt Subject to Limit:</t>
  </si>
  <si>
    <t>Less Amounts Not Subject to Limit:</t>
  </si>
  <si>
    <t>Bills…………………………………………………………………………………….</t>
  </si>
  <si>
    <t>Notes…………………………………………………………………………………</t>
  </si>
  <si>
    <t>Bonds…………………………………………………………………………………</t>
  </si>
  <si>
    <t>Inflation-Indexed Notes…………………………………………………..</t>
  </si>
  <si>
    <t>Inflation-Indexed Bonds…………………………………………………..</t>
  </si>
  <si>
    <t>Domestic Series………………………………………………………………..</t>
  </si>
  <si>
    <t>Foreign Series……………………………………………………………………</t>
  </si>
  <si>
    <t>R.E.A. Series………………………………………………………………………</t>
  </si>
  <si>
    <t>State and Local Government Series……………………………..</t>
  </si>
  <si>
    <t>United States Savings Securities…………………………………..</t>
  </si>
  <si>
    <t>Government Account Series………………………………………….</t>
  </si>
  <si>
    <t>Amount Outstanding</t>
  </si>
  <si>
    <t>Intragovernmental</t>
  </si>
  <si>
    <t>Holdings</t>
  </si>
  <si>
    <t>Debt Held</t>
  </si>
  <si>
    <t xml:space="preserve">  Government Account Series - Held By the Public:</t>
  </si>
  <si>
    <t>Total Government Account Series - Held By the Public…………………………………………..</t>
  </si>
  <si>
    <t>Government Account Series - Intragovernmental Holdings:</t>
  </si>
  <si>
    <t>Government Account Series - Intragovernmental Holdings--Contintued:</t>
  </si>
  <si>
    <t>Total Government Account Series………………………………………………………………..</t>
  </si>
  <si>
    <t>Balance of Statutory Debt Limit…………………………………………………………………………………………………………………………………….</t>
  </si>
  <si>
    <t>Other…………………………………………………….</t>
  </si>
  <si>
    <t>Total Treasury Bills……………………………..</t>
  </si>
  <si>
    <t>Total Matured Treasury Bills…………………….</t>
  </si>
  <si>
    <t>Total Treasury Notes…………………………….</t>
  </si>
  <si>
    <t>Total Matured Treasury Bonds……………………</t>
  </si>
  <si>
    <t>Total Treasury Bonds……………………………..</t>
  </si>
  <si>
    <t>Total Treasury Inflation-Indexed Notes....………</t>
  </si>
  <si>
    <t>Total Treasury Inflation-Indexed Bonds...………</t>
  </si>
  <si>
    <t>Federal Financing Bank..............................………</t>
  </si>
  <si>
    <t>Total Matured United States Savings Securities……………..</t>
  </si>
  <si>
    <t>11 e</t>
  </si>
  <si>
    <t>13  e</t>
  </si>
  <si>
    <t>Total United States Savings Securities………………………..</t>
  </si>
  <si>
    <t>Other Debt:</t>
  </si>
  <si>
    <t>Total Other Debt…………………………………………………………………………………………………………………………………..</t>
  </si>
  <si>
    <t>b</t>
  </si>
  <si>
    <t>Issued pursuant to Sec. 832(e), Internal Revenue Code of 1954.</t>
  </si>
  <si>
    <t>TAX STATUS:</t>
  </si>
  <si>
    <t>c</t>
  </si>
  <si>
    <t>The difference between the price paid for a Treasury Bill and the amount received at redemption upon maturity is treated as ordinary income.  If the bill is</t>
  </si>
  <si>
    <t>sold before maturity, part of the difference between the holder's basis (cost) and the gain realized may be treated as capital gain and part may be treated</t>
  </si>
  <si>
    <t>as ordinary income.  Under Section 1281 of the Internal Revenue Code, some holder of Treasury Bills are required to include currently in income a portion</t>
  </si>
  <si>
    <t>of the discount accruing in the taxable year.</t>
  </si>
  <si>
    <t xml:space="preserve"> Income derived from these securities is subject to all taxes now or hereafter imposed under the Internal Revenue Code of 1986, as amended.</t>
  </si>
  <si>
    <t>e</t>
  </si>
  <si>
    <t>These securities are exempt from all taxation now or hereafter imposed on the principal by any state or any possession of the United States or of any</t>
  </si>
  <si>
    <t>local taxing authority.</t>
  </si>
  <si>
    <t>Published on the fourth business day of each month.</t>
  </si>
  <si>
    <t>For sale by the Superintendent of Documents, U.S. Government Printing Office, Washington, D.C.  20402  (202) 512-1800.</t>
  </si>
  <si>
    <t>The subscription price is $25.00 per year (domestic), $31.35 per year (foreign).  No single copies are sold.</t>
  </si>
  <si>
    <t>Endeavor Teacher Fellowship Trust Fund….....................................................................</t>
  </si>
  <si>
    <t>National Gift Fund, National Archives and Records Administration...............................................................…</t>
  </si>
  <si>
    <t>Payments of Alleged Violators of Department of Energy Regulations,</t>
  </si>
  <si>
    <t>Employees' Health Benefits Fund, Office of Personnel Management.......................…</t>
  </si>
  <si>
    <t>OF THE UNITED STATES</t>
  </si>
  <si>
    <t xml:space="preserve"> </t>
  </si>
  <si>
    <t>(Details may not add to totals)</t>
  </si>
  <si>
    <t>Title</t>
  </si>
  <si>
    <t>Outstanding</t>
  </si>
  <si>
    <t>CF8</t>
  </si>
  <si>
    <t>Marketable:</t>
  </si>
  <si>
    <t>Hazardous Substance Superfund............................................................................................................................................</t>
  </si>
  <si>
    <t>Nonmarketable:</t>
  </si>
  <si>
    <t>Environmental Improvement and Restoration Fund…………..............................................</t>
  </si>
  <si>
    <t>EK9</t>
  </si>
  <si>
    <t>EL7</t>
  </si>
  <si>
    <t>January 2001</t>
  </si>
  <si>
    <t>This statement is available at 3 p.m. Eastern time on the 4th</t>
  </si>
  <si>
    <r>
      <t xml:space="preserve">workday of each month, at </t>
    </r>
    <r>
      <rPr>
        <b/>
        <u val="single"/>
        <sz val="22"/>
        <rFont val="Arial"/>
        <family val="2"/>
      </rPr>
      <t>www.publicdebt.treas.gov</t>
    </r>
  </si>
  <si>
    <t>Marketable, Treasury Bonds--Continued:</t>
  </si>
  <si>
    <t>auctions 13-, 26- and 52- week bills.</t>
  </si>
  <si>
    <t>Marketable, Treasury Bonds:</t>
  </si>
  <si>
    <t>Unconditional Gift Fund, State..............................................................................................................................................</t>
  </si>
  <si>
    <t>Custodial Tribal Fund, Office of the Special Trustee for American Indians......................................................................................…</t>
  </si>
  <si>
    <t>Preservation, Birthplace of Abraham Lincoln, National Park Service......................................................................................…</t>
  </si>
  <si>
    <t>Prison Industries Fund, Department of Justice......................................................................................................................…</t>
  </si>
  <si>
    <t>Not Subject to the Statutory Debt Limit:</t>
  </si>
  <si>
    <t>MATURITIES:</t>
  </si>
  <si>
    <t>f</t>
  </si>
  <si>
    <t>EP8</t>
  </si>
  <si>
    <t>South Dakota Terrestrial Wildlife Habitat Restoration Trust Fund............................................……….</t>
  </si>
  <si>
    <t>4-7/8</t>
  </si>
  <si>
    <t>COMPILED AND PUBLISHED BY</t>
  </si>
  <si>
    <t>EN3</t>
  </si>
  <si>
    <t>THE BUREAU OF THE PUBLIC DEBT</t>
  </si>
  <si>
    <t>Issue</t>
  </si>
  <si>
    <t>Payable/</t>
  </si>
  <si>
    <t>Interest</t>
  </si>
  <si>
    <t>Amount in Millions of Dollars</t>
  </si>
  <si>
    <t>Loan Description</t>
  </si>
  <si>
    <t>Date</t>
  </si>
  <si>
    <t>Callable</t>
  </si>
  <si>
    <t>Payable</t>
  </si>
  <si>
    <t>Issued</t>
  </si>
  <si>
    <t>(Retired) / Inflation Adj.</t>
  </si>
  <si>
    <t>a</t>
  </si>
  <si>
    <t>Treasury Bills (Maturity Value):</t>
  </si>
  <si>
    <t>CUSIP:</t>
  </si>
  <si>
    <t>Yield:</t>
  </si>
  <si>
    <t xml:space="preserve"> ...................</t>
  </si>
  <si>
    <t>................</t>
  </si>
  <si>
    <t>..............</t>
  </si>
  <si>
    <t>.............</t>
  </si>
  <si>
    <t>Treasury Notes:</t>
  </si>
  <si>
    <t>Series:</t>
  </si>
  <si>
    <t>Interest Rate:</t>
  </si>
  <si>
    <t>V</t>
  </si>
  <si>
    <t>06/30-12/31</t>
  </si>
  <si>
    <t>5-3/4</t>
  </si>
  <si>
    <t>E</t>
  </si>
  <si>
    <t>6-3/8</t>
  </si>
  <si>
    <t>01/15-07/15</t>
  </si>
  <si>
    <t>J</t>
  </si>
  <si>
    <t>01/31-07/31</t>
  </si>
  <si>
    <t>AB</t>
  </si>
  <si>
    <t>5-7/8</t>
  </si>
  <si>
    <t>A</t>
  </si>
  <si>
    <t>8-7/8</t>
  </si>
  <si>
    <t>02/15-08/15</t>
  </si>
  <si>
    <t>W</t>
  </si>
  <si>
    <t>K</t>
  </si>
  <si>
    <t>5-1/2</t>
  </si>
  <si>
    <t>02/28-08/31</t>
  </si>
  <si>
    <t>AC</t>
  </si>
  <si>
    <t>L</t>
  </si>
  <si>
    <t>03/31-09/30</t>
  </si>
  <si>
    <t>AD</t>
  </si>
  <si>
    <t>6-1/4</t>
  </si>
  <si>
    <t>F</t>
  </si>
  <si>
    <t>7</t>
  </si>
  <si>
    <t>04/15-10/15</t>
  </si>
  <si>
    <t>M</t>
  </si>
  <si>
    <t>6-1/2</t>
  </si>
  <si>
    <t>04/30-10/31</t>
  </si>
  <si>
    <t>AE</t>
  </si>
  <si>
    <t>B</t>
  </si>
  <si>
    <t>9-1/8</t>
  </si>
  <si>
    <t>05/15-11/15</t>
  </si>
  <si>
    <t>X</t>
  </si>
  <si>
    <t>N</t>
  </si>
  <si>
    <t>6-3/4</t>
  </si>
  <si>
    <t>05/31-11/30</t>
  </si>
  <si>
    <t>P</t>
  </si>
  <si>
    <t>6</t>
  </si>
  <si>
    <t>G</t>
  </si>
  <si>
    <t>Q</t>
  </si>
  <si>
    <t>6-7/8</t>
  </si>
  <si>
    <t>C</t>
  </si>
  <si>
    <t>8</t>
  </si>
  <si>
    <t>Y</t>
  </si>
  <si>
    <t>R</t>
  </si>
  <si>
    <t>S</t>
  </si>
  <si>
    <t>7-1/8</t>
  </si>
  <si>
    <t>H</t>
  </si>
  <si>
    <t>T</t>
  </si>
  <si>
    <t>7-1/2</t>
  </si>
  <si>
    <t>5-5/8</t>
  </si>
  <si>
    <t>D</t>
  </si>
  <si>
    <t>7-7/8</t>
  </si>
  <si>
    <t>Z</t>
  </si>
  <si>
    <t>GQ8</t>
  </si>
  <si>
    <t>U</t>
  </si>
  <si>
    <t>5-3/8</t>
  </si>
  <si>
    <t>8-1/2</t>
  </si>
  <si>
    <t>6-1/8</t>
  </si>
  <si>
    <t>8-3/4</t>
  </si>
  <si>
    <t>5-1/4</t>
  </si>
  <si>
    <t>6-5/8</t>
  </si>
  <si>
    <t>4-1/4</t>
  </si>
  <si>
    <t>7-1/4</t>
  </si>
  <si>
    <t>4-3/4</t>
  </si>
  <si>
    <t>11-3/4</t>
  </si>
  <si>
    <t>13-1/8</t>
  </si>
  <si>
    <t>13-3/8</t>
  </si>
  <si>
    <t>15-3/4</t>
  </si>
  <si>
    <t>7-5/8</t>
  </si>
  <si>
    <t>14-1/4</t>
  </si>
  <si>
    <t>11-5/8</t>
  </si>
  <si>
    <t>10-3/4</t>
  </si>
  <si>
    <t>8-3/8</t>
  </si>
  <si>
    <t>11-1/8</t>
  </si>
  <si>
    <t>11-7/8</t>
  </si>
  <si>
    <t>12-3/8</t>
  </si>
  <si>
    <t>13-3/4</t>
  </si>
  <si>
    <t>10-3/8</t>
  </si>
  <si>
    <t>10</t>
  </si>
  <si>
    <t>12</t>
  </si>
  <si>
    <t>12-3/4</t>
  </si>
  <si>
    <t>9-3/8</t>
  </si>
  <si>
    <t>13-7/8</t>
  </si>
  <si>
    <t>14</t>
  </si>
  <si>
    <t>13-1/4</t>
  </si>
  <si>
    <t>12-1/2</t>
  </si>
  <si>
    <t>11-1/4</t>
  </si>
  <si>
    <t>10-5/8</t>
  </si>
  <si>
    <t>9-7/8</t>
  </si>
  <si>
    <t>9-1/4</t>
  </si>
  <si>
    <t>9</t>
  </si>
  <si>
    <r>
      <t xml:space="preserve">Total Marketable  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>……………………………………………………..</t>
    </r>
  </si>
  <si>
    <r>
      <t xml:space="preserve">Total Nonmarketable  </t>
    </r>
    <r>
      <rPr>
        <b/>
        <vertAlign val="superscript"/>
        <sz val="14"/>
        <rFont val="Arial"/>
        <family val="2"/>
      </rPr>
      <t>b</t>
    </r>
    <r>
      <rPr>
        <b/>
        <sz val="14"/>
        <rFont val="Arial"/>
        <family val="2"/>
      </rPr>
      <t>…………………………………………….</t>
    </r>
  </si>
  <si>
    <t>Total Unmatured Treasury Bills....………...................................</t>
  </si>
  <si>
    <t>Total Unmatured Treasury Notes........................…</t>
  </si>
  <si>
    <t>Total Unmatured Treasury Bonds..................................……..</t>
  </si>
  <si>
    <t>Total Unmatured United States Savings Securities....................................................</t>
  </si>
  <si>
    <t>Total Marketable.............................……..</t>
  </si>
  <si>
    <t>These securities are not eligible for stripping and reconstitution, see Table V, "Holdings of Treasury Securities in Stripped Form".</t>
  </si>
  <si>
    <t>The data reported represents a one or two month lag behind the date of the Monthly Statement of Treasury Securities.</t>
  </si>
  <si>
    <t xml:space="preserve">  c   f</t>
  </si>
  <si>
    <r>
      <t xml:space="preserve">Federal Financing Bank  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…………………………………………………..</t>
    </r>
  </si>
  <si>
    <t>8-1/8</t>
  </si>
  <si>
    <t>Treasury Inflation-Indexed Notes:</t>
  </si>
  <si>
    <t>3-5/8</t>
  </si>
  <si>
    <t>3-3/8</t>
  </si>
  <si>
    <t>Treasury Inflation-Indexed Bonds:</t>
  </si>
  <si>
    <t xml:space="preserve"> Various</t>
  </si>
  <si>
    <t>...................</t>
  </si>
  <si>
    <t>Domestic Series:</t>
  </si>
  <si>
    <t>Zero-coupon Treasury bond ........................................</t>
  </si>
  <si>
    <t>Zero-coupon Treasury bond (A).....................................</t>
  </si>
  <si>
    <t>Zero-coupon Treasury bond (B)........................................</t>
  </si>
  <si>
    <t>HA2</t>
  </si>
  <si>
    <t>HC8</t>
  </si>
  <si>
    <t>GP0</t>
  </si>
  <si>
    <t>HD6</t>
  </si>
  <si>
    <t>6Q0</t>
  </si>
  <si>
    <t>5-1/8</t>
  </si>
  <si>
    <t>6R8</t>
  </si>
  <si>
    <t>3-1/2</t>
  </si>
  <si>
    <t>6S6</t>
  </si>
  <si>
    <t>Total Domestic Series....................................................</t>
  </si>
  <si>
    <t>Foreign Series:</t>
  </si>
  <si>
    <t>d</t>
  </si>
  <si>
    <t>Zero-coupon Treasury bond......................................</t>
  </si>
  <si>
    <t>Zero-coupon Treasury bond....................................</t>
  </si>
  <si>
    <t>These long-term marketable securities have been issued to the Civil Service Retirement Fund and are not currently traded in the market.</t>
  </si>
  <si>
    <t>912827 6C1</t>
  </si>
  <si>
    <t xml:space="preserve"> 912810 FE3</t>
  </si>
  <si>
    <t>Zero-coupon Treasury bond.......................................</t>
  </si>
  <si>
    <t>Total Foreign Series....................................................</t>
  </si>
  <si>
    <t>R.E.A. Series:</t>
  </si>
  <si>
    <t>5% Treasury Certificates of</t>
  </si>
  <si>
    <t xml:space="preserve">  Indebtedness................................................................................</t>
  </si>
  <si>
    <t>Semiannually</t>
  </si>
  <si>
    <t>Total R.E.A. Series....................................................</t>
  </si>
  <si>
    <t>State and Local Government Series:</t>
  </si>
  <si>
    <t>Treasury Time Deposit  - Certificates</t>
  </si>
  <si>
    <t xml:space="preserve">  of Indebtedness (Various rates)............................................</t>
  </si>
  <si>
    <t xml:space="preserve"> At maturity</t>
  </si>
  <si>
    <t>Treasury Time Deposit - Notes</t>
  </si>
  <si>
    <t xml:space="preserve">  (Various rates)..............................................</t>
  </si>
  <si>
    <t>Treasury Special Zero's - Notes..................</t>
  </si>
  <si>
    <t>Treasury Time Deposit - Bonds</t>
  </si>
  <si>
    <t>Treasury Demand Deposit.................................</t>
  </si>
  <si>
    <t xml:space="preserve"> Daily</t>
  </si>
  <si>
    <t>Total State and Local Government</t>
  </si>
  <si>
    <t xml:space="preserve">  Series..................................................................</t>
  </si>
  <si>
    <t>United States Savings Securities:</t>
  </si>
  <si>
    <t>United States Savings Bonds:</t>
  </si>
  <si>
    <t xml:space="preserve"> Series E...............................................................</t>
  </si>
  <si>
    <t>On demand</t>
  </si>
  <si>
    <t>At redemption</t>
  </si>
  <si>
    <t xml:space="preserve"> Series EE...........................................................</t>
  </si>
  <si>
    <t xml:space="preserve"> Series E, EE, and I </t>
  </si>
  <si>
    <t xml:space="preserve">  Unclassified................................................</t>
  </si>
  <si>
    <t xml:space="preserve"> Series H..............................................................</t>
  </si>
  <si>
    <t xml:space="preserve"> Series HH..........................................................</t>
  </si>
  <si>
    <t xml:space="preserve"> Series H and HH Unclassified...............................</t>
  </si>
  <si>
    <t xml:space="preserve"> Series I..............................................................</t>
  </si>
  <si>
    <t>Total United States Savings Bonds....................</t>
  </si>
  <si>
    <t>United States Individual Retirement</t>
  </si>
  <si>
    <t xml:space="preserve">  Bonds................................................................</t>
  </si>
  <si>
    <t xml:space="preserve">United States Retirement Plan </t>
  </si>
  <si>
    <t xml:space="preserve">  Bonds........................................................</t>
  </si>
  <si>
    <t>Nonmarketable--Continued:</t>
  </si>
  <si>
    <t>Abandoned Mines Reclamation Fund, Office of Surface Mining Reclamation</t>
  </si>
  <si>
    <t xml:space="preserve">    and Enforcement..................................................................................................................</t>
  </si>
  <si>
    <t>ES2</t>
  </si>
  <si>
    <t>Airport and Airway Trust Fund......................................................................................................................................</t>
  </si>
  <si>
    <t>Albanian Claims Fund, Treasury Department.......................................................................................................................</t>
  </si>
  <si>
    <t>Aquatic Resources Trust Fund.....................................................................................................................................</t>
  </si>
  <si>
    <t>Armed Forces Retirement Home Trust Fund.....................................................................................</t>
  </si>
  <si>
    <t>(Millions of dollars)</t>
  </si>
  <si>
    <t>Total Treasury Securities Outstanding………</t>
  </si>
  <si>
    <t>Amount Outstanding in Thousands</t>
  </si>
  <si>
    <t>GIFTS TO REDUCE DEBT HELD BY THE PUBLIC:</t>
  </si>
  <si>
    <t>Assessment Funds, Office of the Comptroller of the Currency.....................................................................................</t>
  </si>
  <si>
    <t>Assets Forfeiture Fund, Justice......................................................................................................................................</t>
  </si>
  <si>
    <t>Fixed Term certificates</t>
  </si>
  <si>
    <t xml:space="preserve">  (Various interest rates)......................................</t>
  </si>
  <si>
    <t>Various</t>
  </si>
  <si>
    <t>GA9</t>
  </si>
  <si>
    <t>FZ5</t>
  </si>
  <si>
    <t>GB7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</si>
</sst>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</numFmts>
  <fonts count="2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sz val="11"/>
      <name val="Arial"/>
      <family val="0"/>
    </font>
    <font>
      <vertAlign val="superscript"/>
      <sz val="12"/>
      <name val="Arial"/>
      <family val="2"/>
    </font>
    <font>
      <sz val="9"/>
      <name val="Arial"/>
      <family val="0"/>
    </font>
    <font>
      <b/>
      <sz val="30"/>
      <name val="Colonna MT"/>
      <family val="5"/>
    </font>
    <font>
      <b/>
      <sz val="27"/>
      <name val="Colonna MT"/>
      <family val="5"/>
    </font>
    <font>
      <b/>
      <sz val="17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vertAlign val="superscript"/>
      <sz val="13"/>
      <name val="Arial"/>
      <family val="2"/>
    </font>
    <font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22"/>
      <name val="Arial"/>
      <family val="2"/>
    </font>
    <font>
      <sz val="16"/>
      <name val="Arial"/>
      <family val="2"/>
    </font>
    <font>
      <sz val="15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Continuous"/>
    </xf>
    <xf numFmtId="0" fontId="4" fillId="0" borderId="0" xfId="0" applyFont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7" fontId="0" fillId="0" borderId="7" xfId="0" applyNumberFormat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37" fontId="0" fillId="0" borderId="0" xfId="0" applyNumberFormat="1" applyAlignment="1" applyProtection="1">
      <alignment horizontal="centerContinuous"/>
      <protection/>
    </xf>
    <xf numFmtId="37" fontId="0" fillId="0" borderId="6" xfId="0" applyNumberFormat="1" applyBorder="1" applyAlignment="1" applyProtection="1">
      <alignment/>
      <protection/>
    </xf>
    <xf numFmtId="166" fontId="0" fillId="0" borderId="0" xfId="0" applyNumberFormat="1" applyAlignment="1" applyProtection="1">
      <alignment horizontal="centerContinuous"/>
      <protection/>
    </xf>
    <xf numFmtId="0" fontId="1" fillId="0" borderId="0" xfId="0" applyFont="1" applyAlignment="1">
      <alignment/>
    </xf>
    <xf numFmtId="166" fontId="0" fillId="0" borderId="0" xfId="0" applyNumberFormat="1" applyAlignment="1" applyProtection="1">
      <alignment/>
      <protection/>
    </xf>
    <xf numFmtId="0" fontId="0" fillId="0" borderId="9" xfId="0" applyBorder="1" applyAlignment="1">
      <alignment/>
    </xf>
    <xf numFmtId="166" fontId="0" fillId="0" borderId="9" xfId="0" applyNumberFormat="1" applyBorder="1" applyAlignment="1" applyProtection="1">
      <alignment/>
      <protection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166" fontId="0" fillId="0" borderId="6" xfId="0" applyNumberFormat="1" applyBorder="1" applyAlignment="1" applyProtection="1">
      <alignment/>
      <protection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66" fontId="10" fillId="0" borderId="0" xfId="0" applyNumberFormat="1" applyFont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66" fontId="10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 horizontal="right"/>
    </xf>
    <xf numFmtId="10" fontId="0" fillId="0" borderId="0" xfId="0" applyNumberFormat="1" applyAlignment="1" applyProtection="1">
      <alignment/>
      <protection/>
    </xf>
    <xf numFmtId="166" fontId="0" fillId="0" borderId="5" xfId="0" applyNumberFormat="1" applyBorder="1" applyAlignment="1" applyProtection="1">
      <alignment/>
      <protection/>
    </xf>
    <xf numFmtId="166" fontId="0" fillId="0" borderId="5" xfId="0" applyNumberFormat="1" applyBorder="1" applyAlignment="1" applyProtection="1">
      <alignment horizontal="centerContinuous"/>
      <protection/>
    </xf>
    <xf numFmtId="37" fontId="0" fillId="0" borderId="5" xfId="0" applyNumberFormat="1" applyBorder="1" applyAlignment="1" applyProtection="1">
      <alignment horizontal="centerContinuous"/>
      <protection/>
    </xf>
    <xf numFmtId="0" fontId="0" fillId="0" borderId="0" xfId="0" applyAlignment="1">
      <alignment horizontal="center"/>
    </xf>
    <xf numFmtId="166" fontId="9" fillId="0" borderId="5" xfId="0" applyNumberFormat="1" applyFont="1" applyBorder="1" applyAlignment="1" applyProtection="1">
      <alignment horizontal="centerContinuous"/>
      <protection/>
    </xf>
    <xf numFmtId="0" fontId="9" fillId="0" borderId="5" xfId="0" applyFont="1" applyBorder="1" applyAlignment="1">
      <alignment horizontal="center"/>
    </xf>
    <xf numFmtId="37" fontId="0" fillId="0" borderId="5" xfId="0" applyNumberFormat="1" applyBorder="1" applyAlignment="1" applyProtection="1">
      <alignment horizontal="right"/>
      <protection/>
    </xf>
    <xf numFmtId="166" fontId="0" fillId="0" borderId="5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37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169" fontId="6" fillId="0" borderId="0" xfId="0" applyNumberFormat="1" applyFont="1" applyAlignment="1" applyProtection="1">
      <alignment horizontal="centerContinuous"/>
      <protection/>
    </xf>
    <xf numFmtId="169" fontId="6" fillId="0" borderId="0" xfId="0" applyNumberFormat="1" applyFont="1" applyAlignment="1" applyProtection="1">
      <alignment/>
      <protection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6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 horizontal="right"/>
    </xf>
    <xf numFmtId="37" fontId="0" fillId="0" borderId="17" xfId="0" applyNumberFormat="1" applyBorder="1" applyAlignment="1" applyProtection="1">
      <alignment/>
      <protection/>
    </xf>
    <xf numFmtId="0" fontId="0" fillId="0" borderId="18" xfId="0" applyBorder="1" applyAlignment="1">
      <alignment/>
    </xf>
    <xf numFmtId="0" fontId="12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2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166" fontId="0" fillId="0" borderId="5" xfId="0" applyNumberFormat="1" applyBorder="1" applyAlignment="1" applyProtection="1" quotePrefix="1">
      <alignment horizontal="centerContinuous"/>
      <protection/>
    </xf>
    <xf numFmtId="166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Continuous"/>
    </xf>
    <xf numFmtId="37" fontId="0" fillId="0" borderId="14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6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 horizontal="centerContinuous"/>
    </xf>
    <xf numFmtId="169" fontId="6" fillId="0" borderId="0" xfId="0" applyNumberFormat="1" applyFont="1" applyAlignment="1" applyProtection="1">
      <alignment horizontal="right"/>
      <protection/>
    </xf>
    <xf numFmtId="169" fontId="6" fillId="0" borderId="0" xfId="0" applyNumberFormat="1" applyFont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37" fontId="0" fillId="0" borderId="22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 horizontal="centerContinuous"/>
      <protection/>
    </xf>
    <xf numFmtId="0" fontId="4" fillId="0" borderId="18" xfId="0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Continuous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37" fontId="0" fillId="0" borderId="20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right"/>
    </xf>
    <xf numFmtId="37" fontId="0" fillId="0" borderId="5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0" fillId="0" borderId="0" xfId="0" applyFont="1" applyAlignment="1" quotePrefix="1">
      <alignment horizontal="center"/>
    </xf>
    <xf numFmtId="166" fontId="0" fillId="0" borderId="5" xfId="0" applyNumberFormat="1" applyBorder="1" applyAlignment="1" applyProtection="1" quotePrefix="1">
      <alignment horizontal="right"/>
      <protection/>
    </xf>
    <xf numFmtId="14" fontId="0" fillId="0" borderId="5" xfId="0" applyNumberFormat="1" applyFont="1" applyBorder="1" applyAlignment="1">
      <alignment horizontal="center"/>
    </xf>
    <xf numFmtId="14" fontId="0" fillId="0" borderId="5" xfId="0" applyNumberFormat="1" applyFon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Continuous"/>
      <protection/>
    </xf>
    <xf numFmtId="0" fontId="10" fillId="0" borderId="18" xfId="0" applyFont="1" applyBorder="1" applyAlignment="1">
      <alignment/>
    </xf>
    <xf numFmtId="0" fontId="0" fillId="0" borderId="22" xfId="0" applyFont="1" applyBorder="1" applyAlignment="1">
      <alignment/>
    </xf>
    <xf numFmtId="37" fontId="9" fillId="0" borderId="24" xfId="0" applyNumberFormat="1" applyFont="1" applyBorder="1" applyAlignment="1" applyProtection="1">
      <alignment/>
      <protection/>
    </xf>
    <xf numFmtId="0" fontId="0" fillId="0" borderId="0" xfId="0" applyFont="1" applyAlignment="1" quotePrefix="1">
      <alignment horizontal="right"/>
    </xf>
    <xf numFmtId="37" fontId="0" fillId="0" borderId="5" xfId="0" applyNumberFormat="1" applyBorder="1" applyAlignment="1" applyProtection="1">
      <alignment/>
      <protection/>
    </xf>
    <xf numFmtId="0" fontId="9" fillId="0" borderId="0" xfId="0" applyFont="1" applyBorder="1" applyAlignment="1">
      <alignment horizontal="right"/>
    </xf>
    <xf numFmtId="166" fontId="9" fillId="0" borderId="0" xfId="0" applyNumberFormat="1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37" fontId="9" fillId="0" borderId="22" xfId="0" applyNumberFormat="1" applyFont="1" applyBorder="1" applyAlignment="1" applyProtection="1">
      <alignment/>
      <protection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14" fontId="0" fillId="0" borderId="22" xfId="0" applyNumberFormat="1" applyFont="1" applyBorder="1" applyAlignment="1" applyProtection="1">
      <alignment horizontal="center"/>
      <protection/>
    </xf>
    <xf numFmtId="37" fontId="0" fillId="0" borderId="22" xfId="0" applyNumberFormat="1" applyFont="1" applyBorder="1" applyAlignment="1" applyProtection="1">
      <alignment/>
      <protection/>
    </xf>
    <xf numFmtId="166" fontId="0" fillId="0" borderId="5" xfId="0" applyNumberForma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37" fontId="9" fillId="0" borderId="13" xfId="0" applyNumberFormat="1" applyFont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/>
      <protection/>
    </xf>
    <xf numFmtId="37" fontId="0" fillId="0" borderId="27" xfId="0" applyNumberFormat="1" applyFont="1" applyBorder="1" applyAlignment="1" applyProtection="1">
      <alignment/>
      <protection/>
    </xf>
    <xf numFmtId="0" fontId="10" fillId="0" borderId="28" xfId="0" applyFont="1" applyBorder="1" applyAlignment="1">
      <alignment/>
    </xf>
    <xf numFmtId="0" fontId="0" fillId="0" borderId="22" xfId="0" applyBorder="1" applyAlignment="1">
      <alignment horizontal="right"/>
    </xf>
    <xf numFmtId="0" fontId="12" fillId="0" borderId="22" xfId="0" applyFont="1" applyBorder="1" applyAlignment="1">
      <alignment horizontal="left"/>
    </xf>
    <xf numFmtId="0" fontId="0" fillId="0" borderId="22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12" fillId="0" borderId="22" xfId="0" applyFont="1" applyBorder="1" applyAlignment="1">
      <alignment horizontal="centerContinuous"/>
    </xf>
    <xf numFmtId="37" fontId="0" fillId="0" borderId="0" xfId="0" applyNumberFormat="1" applyAlignment="1" applyProtection="1">
      <alignment/>
      <protection/>
    </xf>
    <xf numFmtId="0" fontId="0" fillId="0" borderId="0" xfId="0" applyAlignment="1" quotePrefix="1">
      <alignment horizontal="left"/>
    </xf>
    <xf numFmtId="166" fontId="0" fillId="0" borderId="5" xfId="0" applyNumberFormat="1" applyBorder="1" applyAlignment="1" applyProtection="1">
      <alignment/>
      <protection/>
    </xf>
    <xf numFmtId="166" fontId="0" fillId="0" borderId="5" xfId="0" applyNumberFormat="1" applyBorder="1" applyAlignment="1" applyProtection="1" quotePrefix="1">
      <alignment/>
      <protection/>
    </xf>
    <xf numFmtId="0" fontId="0" fillId="0" borderId="5" xfId="0" applyBorder="1" applyAlignment="1" quotePrefix="1">
      <alignment horizontal="center"/>
    </xf>
    <xf numFmtId="0" fontId="0" fillId="0" borderId="5" xfId="0" applyFont="1" applyBorder="1" applyAlignment="1" quotePrefix="1">
      <alignment horizontal="right"/>
    </xf>
    <xf numFmtId="166" fontId="0" fillId="0" borderId="22" xfId="0" applyNumberFormat="1" applyBorder="1" applyAlignment="1" applyProtection="1">
      <alignment horizontal="center"/>
      <protection/>
    </xf>
    <xf numFmtId="166" fontId="0" fillId="0" borderId="22" xfId="0" applyNumberFormat="1" applyBorder="1" applyAlignment="1" applyProtection="1">
      <alignment horizontal="centerContinuous"/>
      <protection/>
    </xf>
    <xf numFmtId="0" fontId="7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 quotePrefix="1">
      <alignment horizontal="center"/>
    </xf>
    <xf numFmtId="37" fontId="0" fillId="0" borderId="5" xfId="0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37" fontId="0" fillId="0" borderId="29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37" fontId="0" fillId="0" borderId="30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 horizontal="center"/>
      <protection/>
    </xf>
    <xf numFmtId="171" fontId="0" fillId="0" borderId="0" xfId="0" applyNumberFormat="1" applyFont="1" applyAlignment="1">
      <alignment horizontal="center"/>
    </xf>
    <xf numFmtId="0" fontId="0" fillId="0" borderId="14" xfId="0" applyFont="1" applyBorder="1" applyAlignment="1">
      <alignment horizontal="right"/>
    </xf>
    <xf numFmtId="37" fontId="0" fillId="0" borderId="14" xfId="0" applyNumberFormat="1" applyFont="1" applyBorder="1" applyAlignment="1" applyProtection="1">
      <alignment/>
      <protection/>
    </xf>
    <xf numFmtId="0" fontId="0" fillId="0" borderId="22" xfId="0" applyFont="1" applyBorder="1" applyAlignment="1" quotePrefix="1">
      <alignment horizontal="center"/>
    </xf>
    <xf numFmtId="37" fontId="0" fillId="0" borderId="7" xfId="0" applyNumberFormat="1" applyFont="1" applyBorder="1" applyAlignment="1" applyProtection="1">
      <alignment horizontal="left"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49" fontId="0" fillId="0" borderId="16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7" fontId="0" fillId="0" borderId="16" xfId="0" applyNumberFormat="1" applyBorder="1" applyAlignment="1">
      <alignment horizontal="centerContinuous"/>
    </xf>
    <xf numFmtId="7" fontId="0" fillId="0" borderId="18" xfId="0" applyNumberFormat="1" applyBorder="1" applyAlignment="1">
      <alignment horizontal="centerContinuous"/>
    </xf>
    <xf numFmtId="7" fontId="0" fillId="0" borderId="32" xfId="0" applyNumberFormat="1" applyBorder="1" applyAlignment="1">
      <alignment horizontal="centerContinuous"/>
    </xf>
    <xf numFmtId="7" fontId="0" fillId="0" borderId="0" xfId="0" applyNumberFormat="1" applyAlignment="1">
      <alignment horizontal="centerContinuous"/>
    </xf>
    <xf numFmtId="7" fontId="11" fillId="0" borderId="0" xfId="0" applyNumberFormat="1" applyFont="1" applyAlignment="1">
      <alignment horizontal="centerContinuous"/>
    </xf>
    <xf numFmtId="7" fontId="0" fillId="0" borderId="31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14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0" borderId="0" xfId="0" applyNumberFormat="1" applyAlignment="1" applyProtection="1" quotePrefix="1">
      <alignment horizontal="center"/>
      <protection/>
    </xf>
    <xf numFmtId="14" fontId="0" fillId="0" borderId="5" xfId="0" applyNumberFormat="1" applyFont="1" applyBorder="1" applyAlignment="1">
      <alignment/>
    </xf>
    <xf numFmtId="166" fontId="0" fillId="0" borderId="15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Alignment="1" quotePrefix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169" fontId="19" fillId="0" borderId="0" xfId="0" applyNumberFormat="1" applyFont="1" applyAlignment="1" applyProtection="1">
      <alignment horizontal="left" vertical="center"/>
      <protection/>
    </xf>
    <xf numFmtId="0" fontId="0" fillId="0" borderId="20" xfId="0" applyFont="1" applyBorder="1" applyAlignment="1" quotePrefix="1">
      <alignment horizontal="left" vertical="center"/>
    </xf>
    <xf numFmtId="0" fontId="0" fillId="0" borderId="33" xfId="0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5" xfId="0" applyBorder="1" applyAlignment="1">
      <alignment horizontal="right"/>
    </xf>
    <xf numFmtId="0" fontId="0" fillId="0" borderId="34" xfId="0" applyBorder="1" applyAlignment="1">
      <alignment horizontal="centerContinuous"/>
    </xf>
    <xf numFmtId="37" fontId="0" fillId="0" borderId="4" xfId="0" applyNumberFormat="1" applyBorder="1" applyAlignment="1" applyProtection="1">
      <alignment horizontal="centerContinuous"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22" xfId="0" applyBorder="1" applyAlignment="1" quotePrefix="1">
      <alignment horizontal="right"/>
    </xf>
    <xf numFmtId="0" fontId="0" fillId="0" borderId="22" xfId="0" applyBorder="1" applyAlignment="1" quotePrefix="1">
      <alignment horizontal="center"/>
    </xf>
    <xf numFmtId="0" fontId="19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right"/>
    </xf>
    <xf numFmtId="166" fontId="9" fillId="0" borderId="22" xfId="0" applyNumberFormat="1" applyFont="1" applyBorder="1" applyAlignment="1" applyProtection="1">
      <alignment horizontal="centerContinuous"/>
      <protection/>
    </xf>
    <xf numFmtId="0" fontId="8" fillId="0" borderId="22" xfId="0" applyFont="1" applyBorder="1" applyAlignment="1">
      <alignment horizontal="centerContinuous"/>
    </xf>
    <xf numFmtId="0" fontId="9" fillId="0" borderId="22" xfId="0" applyFont="1" applyBorder="1" applyAlignment="1">
      <alignment horizontal="center"/>
    </xf>
    <xf numFmtId="37" fontId="9" fillId="0" borderId="22" xfId="0" applyNumberFormat="1" applyFont="1" applyBorder="1" applyAlignment="1" applyProtection="1">
      <alignment/>
      <protection/>
    </xf>
    <xf numFmtId="37" fontId="6" fillId="0" borderId="22" xfId="0" applyNumberFormat="1" applyFont="1" applyBorder="1" applyAlignment="1" applyProtection="1">
      <alignment/>
      <protection/>
    </xf>
    <xf numFmtId="37" fontId="0" fillId="0" borderId="17" xfId="0" applyNumberFormat="1" applyBorder="1" applyAlignment="1" applyProtection="1">
      <alignment horizontal="right"/>
      <protection/>
    </xf>
    <xf numFmtId="0" fontId="0" fillId="0" borderId="18" xfId="0" applyBorder="1" applyAlignment="1">
      <alignment horizontal="right"/>
    </xf>
    <xf numFmtId="37" fontId="0" fillId="0" borderId="0" xfId="0" applyNumberFormat="1" applyFont="1" applyBorder="1" applyAlignment="1" applyProtection="1">
      <alignment/>
      <protection/>
    </xf>
    <xf numFmtId="11" fontId="0" fillId="0" borderId="0" xfId="0" applyNumberFormat="1" applyFont="1" applyAlignment="1" quotePrefix="1">
      <alignment horizontal="right"/>
    </xf>
    <xf numFmtId="0" fontId="0" fillId="0" borderId="35" xfId="0" applyBorder="1" applyAlignment="1">
      <alignment horizontal="centerContinuous"/>
    </xf>
    <xf numFmtId="0" fontId="0" fillId="0" borderId="0" xfId="0" applyBorder="1" applyAlignment="1">
      <alignment horizontal="right"/>
    </xf>
    <xf numFmtId="37" fontId="0" fillId="0" borderId="14" xfId="0" applyNumberFormat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7" fontId="16" fillId="0" borderId="0" xfId="0" applyNumberFormat="1" applyFont="1" applyBorder="1" applyAlignment="1" applyProtection="1">
      <alignment/>
      <protection/>
    </xf>
    <xf numFmtId="0" fontId="7" fillId="0" borderId="22" xfId="0" applyFont="1" applyBorder="1" applyAlignment="1">
      <alignment horizontal="left"/>
    </xf>
    <xf numFmtId="0" fontId="7" fillId="0" borderId="22" xfId="0" applyFont="1" applyBorder="1" applyAlignment="1">
      <alignment/>
    </xf>
    <xf numFmtId="0" fontId="6" fillId="0" borderId="22" xfId="0" applyFont="1" applyBorder="1" applyAlignment="1">
      <alignment/>
    </xf>
    <xf numFmtId="37" fontId="16" fillId="0" borderId="22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14" fontId="0" fillId="0" borderId="0" xfId="0" applyNumberFormat="1" applyFont="1" applyAlignment="1" quotePrefix="1">
      <alignment horizontal="center"/>
    </xf>
    <xf numFmtId="166" fontId="0" fillId="0" borderId="0" xfId="0" applyNumberFormat="1" applyBorder="1" applyAlignment="1" applyProtection="1">
      <alignment horizontal="centerContinuous"/>
      <protection/>
    </xf>
    <xf numFmtId="177" fontId="0" fillId="0" borderId="5" xfId="0" applyNumberFormat="1" applyFont="1" applyBorder="1" applyAlignment="1">
      <alignment horizontal="center"/>
    </xf>
    <xf numFmtId="177" fontId="0" fillId="0" borderId="14" xfId="0" applyNumberFormat="1" applyBorder="1" applyAlignment="1">
      <alignment/>
    </xf>
    <xf numFmtId="177" fontId="0" fillId="0" borderId="5" xfId="0" applyNumberFormat="1" applyFont="1" applyBorder="1" applyAlignment="1" applyProtection="1">
      <alignment horizontal="center"/>
      <protection/>
    </xf>
    <xf numFmtId="177" fontId="0" fillId="0" borderId="14" xfId="0" applyNumberFormat="1" applyFont="1" applyBorder="1" applyAlignment="1" applyProtection="1">
      <alignment horizontal="center"/>
      <protection/>
    </xf>
    <xf numFmtId="177" fontId="0" fillId="0" borderId="5" xfId="0" applyNumberFormat="1" applyFont="1" applyBorder="1" applyAlignment="1">
      <alignment/>
    </xf>
    <xf numFmtId="166" fontId="0" fillId="0" borderId="36" xfId="0" applyNumberFormat="1" applyBorder="1" applyAlignment="1" applyProtection="1">
      <alignment horizontal="centerContinuous"/>
      <protection/>
    </xf>
    <xf numFmtId="0" fontId="6" fillId="0" borderId="0" xfId="0" applyFont="1" applyAlignment="1">
      <alignment horizontal="right"/>
    </xf>
    <xf numFmtId="0" fontId="0" fillId="0" borderId="4" xfId="0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180" fontId="0" fillId="0" borderId="4" xfId="15" applyNumberFormat="1" applyBorder="1" applyAlignment="1">
      <alignment horizontal="right"/>
    </xf>
    <xf numFmtId="37" fontId="0" fillId="0" borderId="4" xfId="0" applyNumberFormat="1" applyFont="1" applyBorder="1" applyAlignment="1" applyProtection="1">
      <alignment/>
      <protection/>
    </xf>
    <xf numFmtId="180" fontId="6" fillId="0" borderId="4" xfId="15" applyNumberFormat="1" applyFont="1" applyBorder="1" applyAlignment="1">
      <alignment/>
    </xf>
    <xf numFmtId="180" fontId="9" fillId="0" borderId="37" xfId="15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6" xfId="0" applyFont="1" applyBorder="1" applyAlignment="1">
      <alignment/>
    </xf>
    <xf numFmtId="0" fontId="24" fillId="0" borderId="38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17" fillId="0" borderId="0" xfId="0" applyFont="1" applyAlignment="1">
      <alignment/>
    </xf>
    <xf numFmtId="180" fontId="17" fillId="0" borderId="18" xfId="15" applyNumberFormat="1" applyFont="1" applyBorder="1" applyAlignment="1">
      <alignment/>
    </xf>
    <xf numFmtId="180" fontId="17" fillId="0" borderId="17" xfId="15" applyNumberFormat="1" applyFont="1" applyBorder="1" applyAlignment="1">
      <alignment/>
    </xf>
    <xf numFmtId="180" fontId="8" fillId="0" borderId="0" xfId="15" applyNumberFormat="1" applyFont="1" applyBorder="1" applyAlignment="1">
      <alignment horizontal="right"/>
    </xf>
    <xf numFmtId="180" fontId="9" fillId="0" borderId="7" xfId="15" applyNumberFormat="1" applyFont="1" applyBorder="1" applyAlignment="1">
      <alignment/>
    </xf>
    <xf numFmtId="180" fontId="8" fillId="0" borderId="6" xfId="15" applyNumberFormat="1" applyFont="1" applyBorder="1" applyAlignment="1">
      <alignment horizontal="right"/>
    </xf>
    <xf numFmtId="180" fontId="9" fillId="0" borderId="22" xfId="15" applyNumberFormat="1" applyFont="1" applyBorder="1" applyAlignment="1">
      <alignment/>
    </xf>
    <xf numFmtId="180" fontId="8" fillId="0" borderId="5" xfId="15" applyNumberFormat="1" applyFont="1" applyBorder="1" applyAlignment="1">
      <alignment/>
    </xf>
    <xf numFmtId="180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180" fontId="8" fillId="0" borderId="0" xfId="15" applyNumberFormat="1" applyFont="1" applyAlignment="1">
      <alignment/>
    </xf>
    <xf numFmtId="37" fontId="8" fillId="0" borderId="18" xfId="0" applyNumberFormat="1" applyFont="1" applyBorder="1" applyAlignment="1">
      <alignment/>
    </xf>
    <xf numFmtId="180" fontId="8" fillId="0" borderId="28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180" fontId="8" fillId="0" borderId="39" xfId="15" applyNumberFormat="1" applyFont="1" applyBorder="1" applyAlignment="1">
      <alignment/>
    </xf>
    <xf numFmtId="180" fontId="8" fillId="0" borderId="18" xfId="0" applyNumberFormat="1" applyFont="1" applyBorder="1" applyAlignment="1">
      <alignment/>
    </xf>
    <xf numFmtId="180" fontId="17" fillId="0" borderId="22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183" fontId="8" fillId="0" borderId="0" xfId="17" applyNumberFormat="1" applyFont="1" applyBorder="1" applyAlignment="1">
      <alignment/>
    </xf>
    <xf numFmtId="180" fontId="8" fillId="0" borderId="0" xfId="15" applyNumberFormat="1" applyFont="1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 horizontal="centerContinuous"/>
      <protection/>
    </xf>
    <xf numFmtId="37" fontId="0" fillId="0" borderId="12" xfId="0" applyNumberFormat="1" applyBorder="1" applyAlignment="1" applyProtection="1">
      <alignment horizontal="centerContinuous"/>
      <protection/>
    </xf>
    <xf numFmtId="37" fontId="0" fillId="0" borderId="10" xfId="0" applyNumberFormat="1" applyBorder="1" applyAlignment="1" applyProtection="1">
      <alignment horizontal="right"/>
      <protection/>
    </xf>
    <xf numFmtId="37" fontId="0" fillId="0" borderId="10" xfId="0" applyNumberFormat="1" applyBorder="1" applyAlignment="1" applyProtection="1">
      <alignment horizontal="centerContinuous"/>
      <protection/>
    </xf>
    <xf numFmtId="37" fontId="0" fillId="0" borderId="6" xfId="0" applyNumberFormat="1" applyBorder="1" applyAlignment="1" applyProtection="1">
      <alignment horizontal="centerContinuous"/>
      <protection/>
    </xf>
    <xf numFmtId="37" fontId="6" fillId="0" borderId="29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0" fillId="0" borderId="40" xfId="0" applyNumberFormat="1" applyBorder="1" applyAlignment="1" applyProtection="1">
      <alignment/>
      <protection/>
    </xf>
    <xf numFmtId="37" fontId="6" fillId="0" borderId="29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0" fontId="9" fillId="0" borderId="16" xfId="0" applyFont="1" applyBorder="1" applyAlignment="1">
      <alignment horizontal="left"/>
    </xf>
    <xf numFmtId="180" fontId="8" fillId="0" borderId="18" xfId="15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right"/>
    </xf>
    <xf numFmtId="0" fontId="6" fillId="0" borderId="5" xfId="0" applyFont="1" applyBorder="1" applyAlignment="1">
      <alignment horizontal="centerContinuous"/>
    </xf>
    <xf numFmtId="166" fontId="6" fillId="0" borderId="5" xfId="0" applyNumberFormat="1" applyFont="1" applyBorder="1" applyAlignment="1" applyProtection="1">
      <alignment horizontal="centerContinuous"/>
      <protection/>
    </xf>
    <xf numFmtId="0" fontId="6" fillId="0" borderId="5" xfId="0" applyFont="1" applyBorder="1" applyAlignment="1">
      <alignment horizontal="center"/>
    </xf>
    <xf numFmtId="37" fontId="6" fillId="0" borderId="29" xfId="0" applyNumberFormat="1" applyFont="1" applyBorder="1" applyAlignment="1" applyProtection="1">
      <alignment/>
      <protection/>
    </xf>
    <xf numFmtId="37" fontId="6" fillId="0" borderId="41" xfId="0" applyNumberFormat="1" applyFont="1" applyBorder="1" applyAlignment="1" applyProtection="1">
      <alignment horizontal="centerContinuous"/>
      <protection/>
    </xf>
    <xf numFmtId="37" fontId="6" fillId="0" borderId="42" xfId="0" applyNumberFormat="1" applyFont="1" applyBorder="1" applyAlignment="1" applyProtection="1">
      <alignment/>
      <protection/>
    </xf>
    <xf numFmtId="37" fontId="6" fillId="0" borderId="22" xfId="0" applyNumberFormat="1" applyFont="1" applyBorder="1" applyAlignment="1" applyProtection="1">
      <alignment/>
      <protection/>
    </xf>
    <xf numFmtId="37" fontId="6" fillId="0" borderId="42" xfId="0" applyNumberFormat="1" applyFont="1" applyBorder="1" applyAlignment="1" applyProtection="1">
      <alignment horizontal="centerContinuous"/>
      <protection/>
    </xf>
    <xf numFmtId="37" fontId="6" fillId="0" borderId="22" xfId="0" applyNumberFormat="1" applyFont="1" applyBorder="1" applyAlignment="1" applyProtection="1">
      <alignment horizontal="centerContinuous"/>
      <protection/>
    </xf>
    <xf numFmtId="0" fontId="6" fillId="0" borderId="7" xfId="0" applyFont="1" applyBorder="1" applyAlignment="1">
      <alignment/>
    </xf>
    <xf numFmtId="37" fontId="6" fillId="0" borderId="29" xfId="0" applyNumberFormat="1" applyFont="1" applyBorder="1" applyAlignment="1" applyProtection="1">
      <alignment horizontal="right"/>
      <protection/>
    </xf>
    <xf numFmtId="0" fontId="6" fillId="0" borderId="43" xfId="0" applyFont="1" applyBorder="1" applyAlignment="1">
      <alignment horizontal="center"/>
    </xf>
    <xf numFmtId="37" fontId="6" fillId="0" borderId="43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 horizontal="left"/>
      <protection/>
    </xf>
    <xf numFmtId="37" fontId="6" fillId="0" borderId="24" xfId="0" applyNumberFormat="1" applyFont="1" applyBorder="1" applyAlignment="1" applyProtection="1">
      <alignment/>
      <protection/>
    </xf>
    <xf numFmtId="0" fontId="6" fillId="0" borderId="13" xfId="0" applyFont="1" applyBorder="1" applyAlignment="1">
      <alignment/>
    </xf>
    <xf numFmtId="37" fontId="6" fillId="0" borderId="24" xfId="0" applyNumberFormat="1" applyFont="1" applyBorder="1" applyAlignment="1" applyProtection="1">
      <alignment horizontal="right"/>
      <protection/>
    </xf>
    <xf numFmtId="0" fontId="6" fillId="0" borderId="13" xfId="0" applyFont="1" applyBorder="1" applyAlignment="1">
      <alignment horizontal="right"/>
    </xf>
    <xf numFmtId="0" fontId="6" fillId="0" borderId="4" xfId="0" applyFont="1" applyBorder="1" applyAlignment="1">
      <alignment/>
    </xf>
    <xf numFmtId="37" fontId="9" fillId="0" borderId="4" xfId="0" applyNumberFormat="1" applyFont="1" applyBorder="1" applyAlignment="1" applyProtection="1">
      <alignment/>
      <protection/>
    </xf>
    <xf numFmtId="37" fontId="16" fillId="0" borderId="24" xfId="0" applyNumberFormat="1" applyFon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/>
      <protection/>
    </xf>
    <xf numFmtId="0" fontId="24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180" fontId="8" fillId="0" borderId="28" xfId="15" applyNumberFormat="1" applyFont="1" applyBorder="1" applyAlignment="1">
      <alignment/>
    </xf>
    <xf numFmtId="37" fontId="8" fillId="0" borderId="22" xfId="0" applyNumberFormat="1" applyFont="1" applyBorder="1" applyAlignment="1" applyProtection="1">
      <alignment/>
      <protection/>
    </xf>
    <xf numFmtId="0" fontId="24" fillId="0" borderId="1" xfId="0" applyFont="1" applyBorder="1" applyAlignment="1">
      <alignment horizontal="center"/>
    </xf>
    <xf numFmtId="0" fontId="6" fillId="0" borderId="18" xfId="0" applyFont="1" applyBorder="1" applyAlignment="1">
      <alignment/>
    </xf>
    <xf numFmtId="37" fontId="8" fillId="0" borderId="6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37" fontId="8" fillId="0" borderId="5" xfId="0" applyNumberFormat="1" applyFont="1" applyBorder="1" applyAlignment="1">
      <alignment/>
    </xf>
    <xf numFmtId="180" fontId="8" fillId="0" borderId="5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7" fillId="0" borderId="0" xfId="0" applyNumberFormat="1" applyFont="1" applyBorder="1" applyAlignment="1">
      <alignment/>
    </xf>
    <xf numFmtId="180" fontId="9" fillId="0" borderId="5" xfId="15" applyNumberFormat="1" applyFont="1" applyBorder="1" applyAlignment="1">
      <alignment/>
    </xf>
    <xf numFmtId="37" fontId="8" fillId="0" borderId="5" xfId="0" applyNumberFormat="1" applyFont="1" applyBorder="1" applyAlignment="1" applyProtection="1">
      <alignment/>
      <protection/>
    </xf>
    <xf numFmtId="180" fontId="8" fillId="0" borderId="14" xfId="15" applyNumberFormat="1" applyFont="1" applyBorder="1" applyAlignment="1">
      <alignment/>
    </xf>
    <xf numFmtId="180" fontId="8" fillId="0" borderId="21" xfId="0" applyNumberFormat="1" applyFont="1" applyBorder="1" applyAlignment="1">
      <alignment/>
    </xf>
    <xf numFmtId="0" fontId="26" fillId="0" borderId="5" xfId="0" applyFont="1" applyBorder="1" applyAlignment="1" quotePrefix="1">
      <alignment horizontal="right"/>
    </xf>
    <xf numFmtId="0" fontId="26" fillId="0" borderId="5" xfId="0" applyFont="1" applyBorder="1" applyAlignment="1">
      <alignment horizontal="right"/>
    </xf>
    <xf numFmtId="37" fontId="12" fillId="0" borderId="12" xfId="0" applyNumberFormat="1" applyFont="1" applyBorder="1" applyAlignment="1" applyProtection="1">
      <alignment/>
      <protection/>
    </xf>
    <xf numFmtId="0" fontId="17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8" xfId="0" applyFont="1" applyBorder="1" applyAlignment="1">
      <alignment/>
    </xf>
    <xf numFmtId="173" fontId="0" fillId="0" borderId="5" xfId="0" applyNumberFormat="1" applyBorder="1" applyAlignment="1">
      <alignment horizontal="center"/>
    </xf>
    <xf numFmtId="173" fontId="0" fillId="0" borderId="5" xfId="0" applyNumberFormat="1" applyBorder="1" applyAlignment="1" quotePrefix="1">
      <alignment horizontal="center" vertical="center"/>
    </xf>
    <xf numFmtId="173" fontId="0" fillId="0" borderId="5" xfId="0" applyNumberFormat="1" applyBorder="1" applyAlignment="1">
      <alignment horizontal="centerContinuous"/>
    </xf>
    <xf numFmtId="0" fontId="6" fillId="0" borderId="22" xfId="0" applyFont="1" applyBorder="1" applyAlignment="1">
      <alignment/>
    </xf>
    <xf numFmtId="41" fontId="6" fillId="0" borderId="42" xfId="15" applyNumberFormat="1" applyFont="1" applyBorder="1" applyAlignment="1">
      <alignment/>
    </xf>
    <xf numFmtId="41" fontId="0" fillId="0" borderId="10" xfId="15" applyNumberFormat="1" applyFont="1" applyBorder="1" applyAlignment="1">
      <alignment/>
    </xf>
    <xf numFmtId="41" fontId="0" fillId="0" borderId="14" xfId="15" applyNumberFormat="1" applyFont="1" applyBorder="1" applyAlignment="1">
      <alignment/>
    </xf>
    <xf numFmtId="41" fontId="0" fillId="0" borderId="5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6" xfId="15" applyNumberFormat="1" applyFont="1" applyBorder="1" applyAlignment="1">
      <alignment/>
    </xf>
    <xf numFmtId="41" fontId="6" fillId="0" borderId="44" xfId="15" applyNumberFormat="1" applyFont="1" applyBorder="1" applyAlignment="1">
      <alignment/>
    </xf>
    <xf numFmtId="41" fontId="6" fillId="0" borderId="22" xfId="15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37" fontId="6" fillId="0" borderId="45" xfId="0" applyNumberFormat="1" applyFont="1" applyBorder="1" applyAlignment="1" applyProtection="1">
      <alignment horizontal="right"/>
      <protection/>
    </xf>
    <xf numFmtId="37" fontId="6" fillId="0" borderId="28" xfId="0" applyNumberFormat="1" applyFont="1" applyBorder="1" applyAlignment="1" applyProtection="1">
      <alignment/>
      <protection/>
    </xf>
    <xf numFmtId="37" fontId="6" fillId="0" borderId="28" xfId="0" applyNumberFormat="1" applyFont="1" applyBorder="1" applyAlignment="1" applyProtection="1">
      <alignment horizontal="centerContinuous"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9" fillId="0" borderId="22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10" fillId="0" borderId="46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47" xfId="0" applyBorder="1" applyAlignment="1">
      <alignment/>
    </xf>
    <xf numFmtId="0" fontId="13" fillId="0" borderId="46" xfId="0" applyFont="1" applyBorder="1" applyAlignment="1">
      <alignment/>
    </xf>
    <xf numFmtId="14" fontId="0" fillId="0" borderId="16" xfId="0" applyNumberFormat="1" applyBorder="1" applyAlignment="1">
      <alignment horizontal="centerContinuous"/>
    </xf>
    <xf numFmtId="166" fontId="0" fillId="0" borderId="4" xfId="0" applyNumberFormat="1" applyBorder="1" applyAlignment="1" applyProtection="1">
      <alignment horizontal="centerContinuous"/>
      <protection/>
    </xf>
    <xf numFmtId="0" fontId="0" fillId="0" borderId="0" xfId="0" applyFont="1" applyAlignment="1" quotePrefix="1">
      <alignment horizontal="right"/>
    </xf>
    <xf numFmtId="37" fontId="0" fillId="0" borderId="14" xfId="0" applyNumberFormat="1" applyBorder="1" applyAlignment="1" applyProtection="1">
      <alignment horizontal="centerContinuous"/>
      <protection/>
    </xf>
    <xf numFmtId="37" fontId="0" fillId="0" borderId="14" xfId="0" applyNumberFormat="1" applyBorder="1" applyAlignment="1">
      <alignment/>
    </xf>
    <xf numFmtId="37" fontId="6" fillId="0" borderId="13" xfId="0" applyNumberFormat="1" applyFont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 horizontal="centerContinuous"/>
      <protection/>
    </xf>
    <xf numFmtId="37" fontId="0" fillId="0" borderId="2" xfId="0" applyNumberForma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/>
      <protection/>
    </xf>
    <xf numFmtId="37" fontId="6" fillId="0" borderId="6" xfId="0" applyNumberFormat="1" applyFont="1" applyBorder="1" applyAlignment="1" applyProtection="1">
      <alignment/>
      <protection/>
    </xf>
    <xf numFmtId="37" fontId="6" fillId="0" borderId="6" xfId="0" applyNumberFormat="1" applyFont="1" applyBorder="1" applyAlignment="1" applyProtection="1">
      <alignment horizontal="centerContinuous"/>
      <protection/>
    </xf>
    <xf numFmtId="37" fontId="0" fillId="0" borderId="0" xfId="0" applyNumberFormat="1" applyFont="1" applyAlignment="1">
      <alignment/>
    </xf>
    <xf numFmtId="166" fontId="0" fillId="0" borderId="0" xfId="0" applyNumberFormat="1" applyBorder="1" applyAlignment="1" applyProtection="1">
      <alignment horizontal="center"/>
      <protection/>
    </xf>
    <xf numFmtId="166" fontId="0" fillId="0" borderId="14" xfId="0" applyNumberFormat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0" fontId="0" fillId="0" borderId="48" xfId="0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49" fontId="15" fillId="0" borderId="0" xfId="0" applyNumberFormat="1" applyFont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24" fillId="0" borderId="4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3" fillId="0" borderId="4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61"/>
  <sheetViews>
    <sheetView tabSelected="1" view="pageBreakPreview" zoomScale="65" zoomScaleNormal="65" zoomScaleSheetLayoutView="65" workbookViewId="0" topLeftCell="A40">
      <selection activeCell="G43" sqref="G43"/>
    </sheetView>
  </sheetViews>
  <sheetFormatPr defaultColWidth="8.88671875" defaultRowHeight="15"/>
  <cols>
    <col min="1" max="3" width="2.77734375" style="0" customWidth="1"/>
    <col min="4" max="4" width="40.88671875" style="0" customWidth="1"/>
    <col min="5" max="5" width="4.88671875" style="0" customWidth="1"/>
    <col min="6" max="6" width="15.77734375" style="0" customWidth="1"/>
    <col min="7" max="7" width="4.88671875" style="0" customWidth="1"/>
    <col min="8" max="8" width="4.99609375" style="0" customWidth="1"/>
    <col min="9" max="9" width="14.99609375" style="0" customWidth="1"/>
    <col min="10" max="10" width="4.99609375" style="0" customWidth="1"/>
    <col min="11" max="11" width="4.88671875" style="0" customWidth="1"/>
    <col min="12" max="12" width="15.4453125" style="0" customWidth="1"/>
    <col min="13" max="13" width="4.77734375" style="0" customWidth="1"/>
  </cols>
  <sheetData>
    <row r="1" spans="1:235" ht="37.5">
      <c r="A1" s="438" t="s">
        <v>52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40.5" customHeight="1">
      <c r="A2" s="438" t="s">
        <v>671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4" spans="1:235" ht="32.25" customHeight="1">
      <c r="A4" s="440" t="s">
        <v>198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</row>
    <row r="5" spans="1:235" ht="20.25" customHeight="1" thickBot="1">
      <c r="A5" s="441" t="s">
        <v>673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</row>
    <row r="6" spans="1:235" ht="16.5" customHeight="1" thickTop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</row>
    <row r="7" spans="1:13" ht="23.25">
      <c r="A7" s="463" t="s">
        <v>199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</row>
    <row r="8" spans="1:11" ht="8.25" customHeight="1">
      <c r="A8" s="5"/>
      <c r="B8" s="6"/>
      <c r="C8" s="6"/>
      <c r="D8" s="6"/>
      <c r="E8" s="6"/>
      <c r="F8" s="3"/>
      <c r="G8" s="3"/>
      <c r="H8" s="3"/>
      <c r="I8" s="3"/>
      <c r="J8" s="3"/>
      <c r="K8" s="3"/>
    </row>
    <row r="9" spans="1:13" ht="16.5" customHeight="1">
      <c r="A9" s="436" t="s">
        <v>898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</row>
    <row r="10" spans="1:13" ht="20.25">
      <c r="A10" s="297"/>
      <c r="B10" s="297"/>
      <c r="C10" s="297"/>
      <c r="D10" s="297"/>
      <c r="E10" s="443" t="s">
        <v>627</v>
      </c>
      <c r="F10" s="444"/>
      <c r="G10" s="444"/>
      <c r="H10" s="445"/>
      <c r="I10" s="445"/>
      <c r="J10" s="446"/>
      <c r="K10" s="370"/>
      <c r="L10" s="373"/>
      <c r="M10" s="373"/>
    </row>
    <row r="11" spans="1:13" ht="20.25">
      <c r="A11" s="464" t="s">
        <v>674</v>
      </c>
      <c r="B11" s="464"/>
      <c r="C11" s="464"/>
      <c r="D11" s="451"/>
      <c r="E11" s="447" t="s">
        <v>630</v>
      </c>
      <c r="F11" s="450"/>
      <c r="G11" s="451"/>
      <c r="H11" s="447" t="s">
        <v>628</v>
      </c>
      <c r="I11" s="450"/>
      <c r="J11" s="451"/>
      <c r="K11" s="447" t="s">
        <v>613</v>
      </c>
      <c r="L11" s="448"/>
      <c r="M11" s="448"/>
    </row>
    <row r="12" spans="1:13" ht="20.25">
      <c r="A12" s="298"/>
      <c r="B12" s="298"/>
      <c r="C12" s="298"/>
      <c r="D12" s="299"/>
      <c r="E12" s="452" t="s">
        <v>112</v>
      </c>
      <c r="F12" s="453"/>
      <c r="G12" s="454"/>
      <c r="H12" s="452" t="s">
        <v>629</v>
      </c>
      <c r="I12" s="453"/>
      <c r="J12" s="454"/>
      <c r="K12" s="300"/>
      <c r="L12" s="301"/>
      <c r="M12" s="84"/>
    </row>
    <row r="13" spans="1:12" ht="18">
      <c r="A13" s="135" t="s">
        <v>677</v>
      </c>
      <c r="D13" s="13"/>
      <c r="E13" s="11"/>
      <c r="F13" s="12"/>
      <c r="G13" s="13"/>
      <c r="H13" s="11"/>
      <c r="J13" s="13"/>
      <c r="K13" s="11"/>
      <c r="L13" s="12"/>
    </row>
    <row r="14" spans="2:12" ht="19.5" customHeight="1">
      <c r="B14" s="135" t="s">
        <v>616</v>
      </c>
      <c r="D14" s="26"/>
      <c r="E14" s="246" t="s">
        <v>672</v>
      </c>
      <c r="F14" s="305">
        <f>SUM(Marketable!O57)</f>
        <v>680658.697</v>
      </c>
      <c r="G14" s="293"/>
      <c r="H14" s="246"/>
      <c r="I14" s="154">
        <v>0</v>
      </c>
      <c r="J14" s="286"/>
      <c r="K14" s="309"/>
      <c r="L14" s="326">
        <f>Marketable!O57</f>
        <v>680658.697</v>
      </c>
    </row>
    <row r="15" spans="2:12" ht="19.5" customHeight="1">
      <c r="B15" s="135" t="s">
        <v>617</v>
      </c>
      <c r="D15" s="26"/>
      <c r="E15" s="383" t="s">
        <v>672</v>
      </c>
      <c r="F15" s="305">
        <f>SUM(Marketable!O162)-I15</f>
        <v>1534890.031000001</v>
      </c>
      <c r="G15" s="293"/>
      <c r="H15" s="246"/>
      <c r="I15" s="154">
        <v>1</v>
      </c>
      <c r="J15" s="286"/>
      <c r="K15" s="309"/>
      <c r="L15" s="326">
        <f>Marketable!O162</f>
        <v>1534891.031000001</v>
      </c>
    </row>
    <row r="16" spans="2:12" ht="19.5" customHeight="1">
      <c r="B16" s="135" t="s">
        <v>618</v>
      </c>
      <c r="D16" s="26"/>
      <c r="E16" s="246" t="s">
        <v>672</v>
      </c>
      <c r="F16" s="305">
        <f>SUM(Marketable!O290)-I16+1</f>
        <v>631024.3849999999</v>
      </c>
      <c r="G16" s="293"/>
      <c r="H16" s="246"/>
      <c r="I16" s="154">
        <f>459.321</f>
        <v>459.321</v>
      </c>
      <c r="J16" s="286"/>
      <c r="K16" s="309"/>
      <c r="L16" s="326">
        <f>Marketable!O290</f>
        <v>631482.7059999999</v>
      </c>
    </row>
    <row r="17" spans="2:12" ht="19.5" customHeight="1">
      <c r="B17" s="135" t="s">
        <v>619</v>
      </c>
      <c r="D17" s="26"/>
      <c r="E17" s="246" t="s">
        <v>672</v>
      </c>
      <c r="F17" s="305">
        <f>SUM(Marketable!O300)</f>
        <v>88266.989</v>
      </c>
      <c r="G17" s="293"/>
      <c r="H17" s="246"/>
      <c r="I17" s="154">
        <v>0</v>
      </c>
      <c r="J17" s="286"/>
      <c r="K17" s="309"/>
      <c r="L17" s="326">
        <f>Marketable!O300</f>
        <v>88266.989</v>
      </c>
    </row>
    <row r="18" spans="2:12" ht="19.5" customHeight="1">
      <c r="B18" s="135" t="s">
        <v>620</v>
      </c>
      <c r="D18" s="26"/>
      <c r="E18" s="246" t="s">
        <v>672</v>
      </c>
      <c r="F18" s="305">
        <f>SUM(Marketable!O306)</f>
        <v>38957.954</v>
      </c>
      <c r="G18" s="293"/>
      <c r="H18" s="246"/>
      <c r="I18" s="154">
        <v>0</v>
      </c>
      <c r="J18" s="286"/>
      <c r="K18" s="309"/>
      <c r="L18" s="326">
        <f>Marketable!O306</f>
        <v>38957.954</v>
      </c>
    </row>
    <row r="19" spans="2:12" ht="19.5" customHeight="1">
      <c r="B19" s="135" t="s">
        <v>825</v>
      </c>
      <c r="D19" s="26"/>
      <c r="E19" s="246" t="s">
        <v>672</v>
      </c>
      <c r="F19" s="154">
        <v>0</v>
      </c>
      <c r="G19" s="294"/>
      <c r="H19" s="246"/>
      <c r="I19" s="339">
        <f>SUM(Marketable!O308)</f>
        <v>14999.99</v>
      </c>
      <c r="J19" s="286"/>
      <c r="K19" s="309"/>
      <c r="L19" s="326">
        <f>Marketable!O308</f>
        <v>14999.99</v>
      </c>
    </row>
    <row r="20" spans="1:12" s="86" customFormat="1" ht="21.75" thickBot="1">
      <c r="A20" s="224" t="s">
        <v>815</v>
      </c>
      <c r="D20" s="287"/>
      <c r="E20" s="291" t="s">
        <v>672</v>
      </c>
      <c r="F20" s="306">
        <f>SUM(F14:F19)-1</f>
        <v>2973797.056000001</v>
      </c>
      <c r="G20" s="295"/>
      <c r="H20" s="382">
        <v>2</v>
      </c>
      <c r="I20" s="308">
        <f>SUM(I14:I19)</f>
        <v>15460.311</v>
      </c>
      <c r="J20" s="287"/>
      <c r="K20" s="378"/>
      <c r="L20" s="306">
        <f>Marketable!O310</f>
        <v>2989258.3570000012</v>
      </c>
    </row>
    <row r="21" spans="4:12" ht="15.75" thickTop="1">
      <c r="D21" s="26"/>
      <c r="E21" s="15"/>
      <c r="F21" s="74"/>
      <c r="G21" s="26"/>
      <c r="H21" s="15"/>
      <c r="J21" s="26"/>
      <c r="K21" s="15"/>
      <c r="L21" s="74"/>
    </row>
    <row r="22" spans="1:12" ht="18">
      <c r="A22" s="135" t="s">
        <v>679</v>
      </c>
      <c r="D22" s="26"/>
      <c r="E22" s="15"/>
      <c r="F22" s="74"/>
      <c r="G22" s="26"/>
      <c r="H22" s="15"/>
      <c r="J22" s="26"/>
      <c r="K22" s="15"/>
      <c r="L22" s="74"/>
    </row>
    <row r="23" spans="2:12" ht="19.5" customHeight="1">
      <c r="B23" s="135" t="s">
        <v>621</v>
      </c>
      <c r="D23" s="26"/>
      <c r="E23" s="246" t="s">
        <v>672</v>
      </c>
      <c r="F23" s="305">
        <f>Nonmarketable!O20</f>
        <v>29995.778</v>
      </c>
      <c r="G23" s="293"/>
      <c r="H23" s="246"/>
      <c r="I23" s="154">
        <v>0</v>
      </c>
      <c r="J23" s="286"/>
      <c r="K23" s="309"/>
      <c r="L23" s="326">
        <f>Nonmarketable!O20</f>
        <v>29995.778</v>
      </c>
    </row>
    <row r="24" spans="2:12" ht="19.5" customHeight="1">
      <c r="B24" s="135" t="s">
        <v>622</v>
      </c>
      <c r="D24" s="26"/>
      <c r="E24" s="246" t="s">
        <v>672</v>
      </c>
      <c r="F24" s="305">
        <f>Nonmarketable!O41</f>
        <v>24936.228</v>
      </c>
      <c r="G24" s="293"/>
      <c r="H24" s="246"/>
      <c r="I24" s="154">
        <v>0</v>
      </c>
      <c r="J24" s="286"/>
      <c r="K24" s="309"/>
      <c r="L24" s="326">
        <f>Nonmarketable!O41</f>
        <v>24936.228</v>
      </c>
    </row>
    <row r="25" spans="2:12" ht="19.5" customHeight="1">
      <c r="B25" s="135" t="s">
        <v>623</v>
      </c>
      <c r="D25" s="26"/>
      <c r="E25" s="246" t="s">
        <v>672</v>
      </c>
      <c r="F25" s="305">
        <f>SUM(Nonmarketable!O46)</f>
        <v>1.0529999999999973</v>
      </c>
      <c r="G25" s="293"/>
      <c r="H25" s="246"/>
      <c r="I25" s="154">
        <v>0</v>
      </c>
      <c r="J25" s="286"/>
      <c r="K25" s="309"/>
      <c r="L25" s="326">
        <f>Nonmarketable!O46</f>
        <v>1.0529999999999973</v>
      </c>
    </row>
    <row r="26" spans="2:12" ht="19.5" customHeight="1">
      <c r="B26" s="135" t="s">
        <v>624</v>
      </c>
      <c r="D26" s="26"/>
      <c r="E26" s="246" t="s">
        <v>672</v>
      </c>
      <c r="F26" s="305">
        <f>SUM(Nonmarketable!O58)</f>
        <v>149903.954</v>
      </c>
      <c r="G26" s="293"/>
      <c r="H26" s="246"/>
      <c r="I26" s="154">
        <v>0</v>
      </c>
      <c r="J26" s="286"/>
      <c r="K26" s="309"/>
      <c r="L26" s="326">
        <f>Nonmarketable!O58</f>
        <v>149903.954</v>
      </c>
    </row>
    <row r="27" spans="2:12" ht="19.5" customHeight="1">
      <c r="B27" s="135" t="s">
        <v>625</v>
      </c>
      <c r="D27" s="26"/>
      <c r="E27" s="246" t="s">
        <v>672</v>
      </c>
      <c r="F27" s="305">
        <f>Nonmarketable!O77</f>
        <v>184692.62000000014</v>
      </c>
      <c r="G27" s="293"/>
      <c r="H27" s="246"/>
      <c r="I27" s="154">
        <v>0</v>
      </c>
      <c r="J27" s="286"/>
      <c r="K27" s="309"/>
      <c r="L27" s="326">
        <f>Nonmarketable!O77</f>
        <v>184692.62000000014</v>
      </c>
    </row>
    <row r="28" spans="2:12" ht="19.5" customHeight="1">
      <c r="B28" s="135" t="s">
        <v>626</v>
      </c>
      <c r="D28" s="26"/>
      <c r="E28" s="246" t="s">
        <v>672</v>
      </c>
      <c r="F28" s="305">
        <f>GAS!L35</f>
        <v>36337.788</v>
      </c>
      <c r="G28" s="293"/>
      <c r="H28" s="383"/>
      <c r="I28" s="154">
        <f>GAS!L243</f>
        <v>2317661.024999999</v>
      </c>
      <c r="J28" s="286"/>
      <c r="K28" s="309"/>
      <c r="L28" s="326">
        <f>GAS!L246</f>
        <v>2353999.812999999</v>
      </c>
    </row>
    <row r="29" spans="2:12" ht="19.5" customHeight="1">
      <c r="B29" s="135" t="s">
        <v>637</v>
      </c>
      <c r="D29" s="26"/>
      <c r="E29" s="246" t="s">
        <v>672</v>
      </c>
      <c r="F29" s="307">
        <f>SUM(GAS!L261)</f>
        <v>3072.503</v>
      </c>
      <c r="G29" s="293"/>
      <c r="H29" s="246"/>
      <c r="I29" s="155">
        <v>0</v>
      </c>
      <c r="J29" s="286"/>
      <c r="K29" s="379"/>
      <c r="L29" s="372">
        <f>GAS!L261</f>
        <v>3072.503</v>
      </c>
    </row>
    <row r="30" spans="1:12" s="86" customFormat="1" ht="21.75" thickBot="1">
      <c r="A30" s="224" t="s">
        <v>816</v>
      </c>
      <c r="D30" s="287"/>
      <c r="E30" s="291" t="s">
        <v>672</v>
      </c>
      <c r="F30" s="306">
        <f>SUM(F23:F29)</f>
        <v>428939.9240000002</v>
      </c>
      <c r="G30" s="295"/>
      <c r="H30" s="289"/>
      <c r="I30" s="364">
        <f>SUM(I23:I29)</f>
        <v>2317661.024999999</v>
      </c>
      <c r="J30" s="287"/>
      <c r="K30" s="378"/>
      <c r="L30" s="306">
        <f>GAS!L263</f>
        <v>2746601.948999999</v>
      </c>
    </row>
    <row r="31" spans="4:12" ht="15.75" thickTop="1">
      <c r="D31" s="26"/>
      <c r="E31" s="15"/>
      <c r="F31" s="74"/>
      <c r="G31" s="26"/>
      <c r="H31" s="15"/>
      <c r="J31" s="26"/>
      <c r="K31" s="15"/>
      <c r="L31" s="74"/>
    </row>
    <row r="32" spans="1:13" s="86" customFormat="1" ht="20.25">
      <c r="A32" s="385" t="s">
        <v>899</v>
      </c>
      <c r="B32" s="386"/>
      <c r="C32" s="386"/>
      <c r="D32" s="387"/>
      <c r="E32" s="292" t="s">
        <v>672</v>
      </c>
      <c r="F32" s="303">
        <f>F20+F30+1</f>
        <v>3402737.980000001</v>
      </c>
      <c r="G32" s="296"/>
      <c r="H32" s="290"/>
      <c r="I32" s="303">
        <f>+I20+I30+1</f>
        <v>2333122.335999999</v>
      </c>
      <c r="J32" s="288"/>
      <c r="K32" s="304"/>
      <c r="L32" s="303">
        <f>GAS!L265</f>
        <v>5735859.306</v>
      </c>
      <c r="M32" s="371"/>
    </row>
    <row r="33" spans="1:13" ht="46.5" customHeight="1">
      <c r="A33" s="449" t="s">
        <v>200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</row>
    <row r="34" spans="1:13" ht="17.25" customHeight="1">
      <c r="A34" s="456" t="s">
        <v>898</v>
      </c>
      <c r="B34" s="457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</row>
    <row r="35" spans="1:13" ht="20.25">
      <c r="A35" s="297"/>
      <c r="B35" s="297"/>
      <c r="C35" s="297"/>
      <c r="D35" s="297"/>
      <c r="E35" s="458" t="s">
        <v>627</v>
      </c>
      <c r="F35" s="459"/>
      <c r="G35" s="459"/>
      <c r="H35" s="460"/>
      <c r="I35" s="460"/>
      <c r="J35" s="435"/>
      <c r="K35" s="365"/>
      <c r="L35" s="365"/>
      <c r="M35" s="74"/>
    </row>
    <row r="36" spans="1:13" ht="20.25">
      <c r="A36" s="464"/>
      <c r="B36" s="464"/>
      <c r="C36" s="464"/>
      <c r="D36" s="451"/>
      <c r="E36" s="447" t="s">
        <v>630</v>
      </c>
      <c r="F36" s="450"/>
      <c r="G36" s="451"/>
      <c r="H36" s="447" t="s">
        <v>628</v>
      </c>
      <c r="I36" s="450"/>
      <c r="J36" s="451"/>
      <c r="K36" s="447" t="s">
        <v>613</v>
      </c>
      <c r="L36" s="439"/>
      <c r="M36" s="439"/>
    </row>
    <row r="37" spans="1:13" ht="20.25">
      <c r="A37" s="320"/>
      <c r="B37" s="320"/>
      <c r="C37" s="320"/>
      <c r="D37" s="321"/>
      <c r="E37" s="452" t="s">
        <v>112</v>
      </c>
      <c r="F37" s="453"/>
      <c r="G37" s="454"/>
      <c r="H37" s="452" t="s">
        <v>629</v>
      </c>
      <c r="I37" s="453"/>
      <c r="J37" s="454"/>
      <c r="K37" s="301"/>
      <c r="L37" s="301"/>
      <c r="M37" s="84"/>
    </row>
    <row r="38" spans="1:10" ht="18">
      <c r="A38" s="135" t="s">
        <v>57</v>
      </c>
      <c r="B38" s="135"/>
      <c r="C38" s="135"/>
      <c r="D38" s="74"/>
      <c r="E38" s="366"/>
      <c r="F38" s="136"/>
      <c r="G38" s="367"/>
      <c r="H38" s="323"/>
      <c r="I38" s="323"/>
      <c r="J38" s="367"/>
    </row>
    <row r="39" spans="1:12" ht="19.5" customHeight="1">
      <c r="A39" s="135"/>
      <c r="B39" s="135" t="s">
        <v>16</v>
      </c>
      <c r="C39" s="135"/>
      <c r="D39" s="74"/>
      <c r="E39" s="322" t="s">
        <v>672</v>
      </c>
      <c r="F39" s="325">
        <f>+F32</f>
        <v>3402737.980000001</v>
      </c>
      <c r="G39" s="324"/>
      <c r="H39" s="323"/>
      <c r="I39" s="325">
        <f>+I32</f>
        <v>2333122.335999999</v>
      </c>
      <c r="J39" s="324"/>
      <c r="K39" s="310"/>
      <c r="L39" s="310">
        <f>+L32</f>
        <v>5735859.306</v>
      </c>
    </row>
    <row r="40" spans="1:12" ht="19.5" customHeight="1">
      <c r="A40" s="135"/>
      <c r="B40" s="135" t="s">
        <v>615</v>
      </c>
      <c r="C40" s="135"/>
      <c r="D40" s="74"/>
      <c r="E40" s="322"/>
      <c r="F40" s="326"/>
      <c r="G40" s="324"/>
      <c r="H40" s="323"/>
      <c r="I40" s="326"/>
      <c r="J40" s="324"/>
      <c r="K40" s="135"/>
      <c r="L40" s="135"/>
    </row>
    <row r="41" spans="1:12" ht="19.5" customHeight="1">
      <c r="A41" s="135"/>
      <c r="B41" s="135"/>
      <c r="C41" s="135" t="s">
        <v>15</v>
      </c>
      <c r="D41" s="74"/>
      <c r="E41" s="322" t="s">
        <v>672</v>
      </c>
      <c r="F41" s="326">
        <f>+GAS!L254</f>
        <v>524.663</v>
      </c>
      <c r="G41" s="324"/>
      <c r="H41" s="323"/>
      <c r="I41" s="154">
        <v>0</v>
      </c>
      <c r="J41" s="324"/>
      <c r="K41" s="311"/>
      <c r="L41" s="311">
        <f>SUM(GAS!L254)</f>
        <v>524.663</v>
      </c>
    </row>
    <row r="42" spans="1:12" ht="19.5" customHeight="1">
      <c r="A42" s="135"/>
      <c r="B42" s="135"/>
      <c r="C42" s="135" t="s">
        <v>14</v>
      </c>
      <c r="D42" s="74"/>
      <c r="E42" s="322" t="s">
        <v>672</v>
      </c>
      <c r="F42" s="326">
        <v>49667.937</v>
      </c>
      <c r="G42" s="324"/>
      <c r="H42" s="323"/>
      <c r="I42" s="326">
        <v>14912.498</v>
      </c>
      <c r="J42" s="324"/>
      <c r="K42" s="326"/>
      <c r="L42" s="312">
        <f>F42+I42</f>
        <v>64580.435</v>
      </c>
    </row>
    <row r="43" spans="1:12" ht="19.5" customHeight="1">
      <c r="A43" s="135"/>
      <c r="B43" s="135"/>
      <c r="C43" s="135" t="s">
        <v>13</v>
      </c>
      <c r="D43" s="74"/>
      <c r="E43" s="322" t="s">
        <v>672</v>
      </c>
      <c r="F43" s="155">
        <f>+F19</f>
        <v>0</v>
      </c>
      <c r="G43" s="324"/>
      <c r="H43" s="323"/>
      <c r="I43" s="339">
        <f>+I19</f>
        <v>14999.99</v>
      </c>
      <c r="J43" s="324"/>
      <c r="K43" s="374"/>
      <c r="L43" s="313">
        <f>SUM(Marketable!K308)</f>
        <v>14999.99</v>
      </c>
    </row>
    <row r="44" spans="1:12" ht="19.5" customHeight="1" thickBot="1">
      <c r="A44" s="135"/>
      <c r="B44" s="135" t="s">
        <v>12</v>
      </c>
      <c r="C44" s="135"/>
      <c r="D44" s="74"/>
      <c r="E44" s="322" t="s">
        <v>672</v>
      </c>
      <c r="F44" s="368">
        <f>+F39-F41-F42-F43</f>
        <v>3352545.380000001</v>
      </c>
      <c r="G44" s="324"/>
      <c r="H44" s="323"/>
      <c r="I44" s="368">
        <f>+I39-I41-I42-I43-1</f>
        <v>2303208.847999999</v>
      </c>
      <c r="J44" s="324"/>
      <c r="K44" s="375"/>
      <c r="L44" s="314">
        <f>SUM(L39-L41-L42-L43)</f>
        <v>5655754.218</v>
      </c>
    </row>
    <row r="45" spans="1:11" ht="18.75" thickTop="1">
      <c r="A45" s="135"/>
      <c r="B45" s="135"/>
      <c r="C45" s="135"/>
      <c r="D45" s="74"/>
      <c r="E45" s="322"/>
      <c r="F45" s="326"/>
      <c r="G45" s="324"/>
      <c r="H45" s="323"/>
      <c r="I45" s="326"/>
      <c r="J45" s="324"/>
      <c r="K45" s="323"/>
    </row>
    <row r="46" spans="1:11" ht="18">
      <c r="A46" s="135"/>
      <c r="B46" s="135" t="s">
        <v>614</v>
      </c>
      <c r="C46" s="135"/>
      <c r="D46" s="74"/>
      <c r="E46" s="322"/>
      <c r="F46" s="326"/>
      <c r="G46" s="324"/>
      <c r="H46" s="323"/>
      <c r="I46" s="326"/>
      <c r="J46" s="324"/>
      <c r="K46" s="323"/>
    </row>
    <row r="47" spans="1:12" ht="21" customHeight="1" thickBot="1">
      <c r="A47" s="135"/>
      <c r="B47" s="135"/>
      <c r="C47" s="135" t="s">
        <v>18</v>
      </c>
      <c r="D47" s="74"/>
      <c r="E47" s="322" t="s">
        <v>672</v>
      </c>
      <c r="F47" s="369">
        <v>140</v>
      </c>
      <c r="G47" s="324"/>
      <c r="H47" s="323"/>
      <c r="I47" s="369">
        <v>0</v>
      </c>
      <c r="J47" s="324"/>
      <c r="K47" s="376"/>
      <c r="L47" s="315">
        <f>SUM(F47,I47)</f>
        <v>140</v>
      </c>
    </row>
    <row r="48" spans="1:12" ht="18.75" thickTop="1">
      <c r="A48" s="135"/>
      <c r="B48" s="135"/>
      <c r="C48" s="135"/>
      <c r="D48" s="74"/>
      <c r="E48" s="322"/>
      <c r="F48" s="326"/>
      <c r="G48" s="324"/>
      <c r="H48" s="323"/>
      <c r="I48" s="326"/>
      <c r="J48" s="324"/>
      <c r="K48" s="323"/>
      <c r="L48" s="135"/>
    </row>
    <row r="49" spans="1:12" ht="21" thickBot="1">
      <c r="A49" s="297"/>
      <c r="B49" s="302" t="s">
        <v>17</v>
      </c>
      <c r="C49" s="297"/>
      <c r="D49" s="320"/>
      <c r="E49" s="322" t="s">
        <v>672</v>
      </c>
      <c r="F49" s="308">
        <f>+F44+F47</f>
        <v>3352685.380000001</v>
      </c>
      <c r="G49" s="324"/>
      <c r="H49" s="323"/>
      <c r="I49" s="308">
        <f>+I44+I47</f>
        <v>2303208.847999999</v>
      </c>
      <c r="J49" s="324"/>
      <c r="K49" s="377"/>
      <c r="L49" s="318">
        <f>SUM(L44+L47)+1</f>
        <v>5655895.218</v>
      </c>
    </row>
    <row r="50" spans="2:12" ht="22.5" thickBot="1" thickTop="1">
      <c r="B50" s="135" t="s">
        <v>19</v>
      </c>
      <c r="K50" s="380" t="s">
        <v>672</v>
      </c>
      <c r="L50" s="316">
        <v>5950000</v>
      </c>
    </row>
    <row r="51" spans="1:13" ht="18.75" thickTop="1">
      <c r="A51" s="84"/>
      <c r="B51" s="319" t="s">
        <v>636</v>
      </c>
      <c r="C51" s="84"/>
      <c r="D51" s="84"/>
      <c r="E51" s="84"/>
      <c r="F51" s="84"/>
      <c r="G51" s="84"/>
      <c r="H51" s="84"/>
      <c r="I51" s="84"/>
      <c r="J51" s="84"/>
      <c r="K51" s="381" t="s">
        <v>672</v>
      </c>
      <c r="L51" s="317">
        <f>SUM(L50-L49)</f>
        <v>294104.78199999966</v>
      </c>
      <c r="M51" s="84"/>
    </row>
    <row r="56" spans="1:13" ht="26.25" customHeight="1">
      <c r="A56" s="455" t="s">
        <v>684</v>
      </c>
      <c r="B56" s="439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</row>
    <row r="57" spans="1:13" ht="26.25" customHeight="1">
      <c r="A57" s="455" t="s">
        <v>685</v>
      </c>
      <c r="B57" s="439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</row>
    <row r="60" spans="1:13" ht="15.75">
      <c r="A60" s="461" t="s">
        <v>699</v>
      </c>
      <c r="B60" s="439"/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</row>
    <row r="61" spans="1:13" ht="18">
      <c r="A61" s="462" t="s">
        <v>701</v>
      </c>
      <c r="B61" s="439"/>
      <c r="C61" s="439"/>
      <c r="D61" s="439"/>
      <c r="E61" s="439"/>
      <c r="F61" s="439"/>
      <c r="G61" s="439"/>
      <c r="H61" s="439"/>
      <c r="I61" s="439"/>
      <c r="J61" s="439"/>
      <c r="K61" s="439"/>
      <c r="L61" s="439"/>
      <c r="M61" s="439"/>
    </row>
  </sheetData>
  <mergeCells count="26">
    <mergeCell ref="A60:M60"/>
    <mergeCell ref="A61:M61"/>
    <mergeCell ref="A7:M7"/>
    <mergeCell ref="E11:G11"/>
    <mergeCell ref="E12:G12"/>
    <mergeCell ref="A11:D11"/>
    <mergeCell ref="A36:D36"/>
    <mergeCell ref="H36:J36"/>
    <mergeCell ref="E37:G37"/>
    <mergeCell ref="H37:J37"/>
    <mergeCell ref="A57:M57"/>
    <mergeCell ref="K36:M36"/>
    <mergeCell ref="A34:M34"/>
    <mergeCell ref="A56:M56"/>
    <mergeCell ref="E35:J35"/>
    <mergeCell ref="E36:G36"/>
    <mergeCell ref="E10:J10"/>
    <mergeCell ref="K11:M11"/>
    <mergeCell ref="A33:M33"/>
    <mergeCell ref="H11:J11"/>
    <mergeCell ref="H12:J12"/>
    <mergeCell ref="A9:M9"/>
    <mergeCell ref="A1:M1"/>
    <mergeCell ref="A2:M2"/>
    <mergeCell ref="A4:M4"/>
    <mergeCell ref="A5:M5"/>
  </mergeCells>
  <printOptions horizontalCentered="1" verticalCentered="1"/>
  <pageMargins left="0.25" right="0.25" top="0.4" bottom="0.3" header="0" footer="0"/>
  <pageSetup horizontalDpi="600" verticalDpi="600" orientation="portrait" scale="59" r:id="rId1"/>
  <rowBreaks count="1" manualBreakCount="1">
    <brk id="61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366"/>
  <sheetViews>
    <sheetView showGridLines="0" view="pageBreakPreview" zoomScale="75" zoomScaleNormal="75" zoomScaleSheetLayoutView="75" workbookViewId="0" topLeftCell="G72">
      <selection activeCell="K98" sqref="K98"/>
    </sheetView>
  </sheetViews>
  <sheetFormatPr defaultColWidth="9.77734375" defaultRowHeight="15"/>
  <cols>
    <col min="1" max="2" width="2.77734375" style="0" customWidth="1"/>
    <col min="3" max="3" width="12.77734375" style="0" customWidth="1"/>
    <col min="4" max="4" width="7.77734375" style="0" customWidth="1"/>
    <col min="5" max="5" width="8.77734375" style="0" customWidth="1"/>
    <col min="6" max="6" width="3.445312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1.77734375" style="49" customWidth="1"/>
    <col min="11" max="11" width="13.886718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7.21484375" style="0" customWidth="1"/>
    <col min="17" max="17" width="0.44140625" style="0" customWidth="1"/>
    <col min="18" max="18" width="1.66796875" style="0" customWidth="1"/>
    <col min="19" max="19" width="2.21484375" style="0" customWidth="1"/>
    <col min="21" max="21" width="16.88671875" style="0" customWidth="1"/>
  </cols>
  <sheetData>
    <row r="1" spans="1:16" ht="16.5" customHeight="1">
      <c r="A1" s="7">
        <v>2</v>
      </c>
      <c r="B1" s="2" t="s">
        <v>204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97"/>
    </row>
    <row r="2" spans="1:16" ht="10.5" customHeight="1" thickBot="1">
      <c r="A2" s="31"/>
      <c r="B2" s="31"/>
      <c r="C2" s="31"/>
      <c r="I2" s="32"/>
      <c r="P2" s="7"/>
    </row>
    <row r="3" spans="1:16" ht="15.75" thickTop="1">
      <c r="A3" s="33"/>
      <c r="B3" s="33"/>
      <c r="C3" s="33"/>
      <c r="D3" s="33"/>
      <c r="E3" s="33"/>
      <c r="F3" s="33"/>
      <c r="G3" s="27"/>
      <c r="H3" s="27"/>
      <c r="I3" s="34"/>
      <c r="J3" s="78"/>
      <c r="K3" s="27"/>
      <c r="L3" s="33"/>
      <c r="M3" s="33"/>
      <c r="N3" s="33"/>
      <c r="O3" s="33"/>
      <c r="P3" s="33"/>
    </row>
    <row r="4" spans="3:16" ht="15.75" customHeight="1">
      <c r="C4" s="101"/>
      <c r="G4" s="17" t="s">
        <v>702</v>
      </c>
      <c r="H4" s="17" t="s">
        <v>703</v>
      </c>
      <c r="I4" s="30"/>
      <c r="J4" s="35" t="s">
        <v>704</v>
      </c>
      <c r="K4" s="17" t="s">
        <v>705</v>
      </c>
      <c r="L4" s="3"/>
      <c r="M4" s="3"/>
      <c r="N4" s="3"/>
      <c r="O4" s="3"/>
      <c r="P4" s="3"/>
    </row>
    <row r="5" spans="1:11" ht="15.75" customHeight="1">
      <c r="A5" s="3" t="s">
        <v>706</v>
      </c>
      <c r="B5" s="3"/>
      <c r="C5" s="3"/>
      <c r="D5" s="3"/>
      <c r="E5" s="3"/>
      <c r="F5" s="3"/>
      <c r="G5" s="17" t="s">
        <v>707</v>
      </c>
      <c r="H5" s="17" t="s">
        <v>708</v>
      </c>
      <c r="I5" s="30"/>
      <c r="J5" s="35" t="s">
        <v>709</v>
      </c>
      <c r="K5" s="15"/>
    </row>
    <row r="6" spans="1:16" ht="16.5" customHeight="1">
      <c r="A6" s="16"/>
      <c r="B6" s="16"/>
      <c r="C6" s="16"/>
      <c r="D6" s="16"/>
      <c r="E6" s="16"/>
      <c r="F6" s="16"/>
      <c r="G6" s="36"/>
      <c r="H6" s="36"/>
      <c r="I6" s="37"/>
      <c r="J6" s="71"/>
      <c r="K6" s="38" t="s">
        <v>710</v>
      </c>
      <c r="L6" s="39"/>
      <c r="M6" s="38" t="s">
        <v>711</v>
      </c>
      <c r="N6" s="39"/>
      <c r="O6" s="38" t="s">
        <v>675</v>
      </c>
      <c r="P6" s="39"/>
    </row>
    <row r="7" spans="1:16" ht="15.75" customHeight="1">
      <c r="A7" s="74"/>
      <c r="B7" s="74"/>
      <c r="C7" s="74"/>
      <c r="D7" s="74"/>
      <c r="E7" s="74"/>
      <c r="F7" s="74"/>
      <c r="G7" s="15"/>
      <c r="H7" s="15"/>
      <c r="I7" s="109"/>
      <c r="J7" s="35"/>
      <c r="K7" s="17"/>
      <c r="L7" s="110"/>
      <c r="M7" s="17"/>
      <c r="N7" s="110"/>
      <c r="O7" s="17"/>
      <c r="P7" s="110"/>
    </row>
    <row r="8" spans="1:16" ht="18">
      <c r="A8" s="24" t="s">
        <v>677</v>
      </c>
      <c r="B8" s="24"/>
      <c r="C8" s="23"/>
      <c r="G8" s="19"/>
      <c r="H8" s="19"/>
      <c r="I8" s="40"/>
      <c r="J8" s="79"/>
      <c r="K8" s="41"/>
      <c r="L8" s="22"/>
      <c r="M8" s="15"/>
      <c r="O8" s="41"/>
      <c r="P8" s="42"/>
    </row>
    <row r="9" spans="2:16" ht="19.5">
      <c r="B9" s="10" t="s">
        <v>713</v>
      </c>
      <c r="F9" s="232" t="s">
        <v>20</v>
      </c>
      <c r="G9" s="19"/>
      <c r="H9" s="19"/>
      <c r="I9" s="40"/>
      <c r="J9" s="79"/>
      <c r="K9" s="15"/>
      <c r="M9" s="15"/>
      <c r="O9" s="48"/>
      <c r="P9" s="22"/>
    </row>
    <row r="10" spans="2:16" ht="17.25" customHeight="1">
      <c r="B10" s="10" t="s">
        <v>714</v>
      </c>
      <c r="E10" s="10" t="s">
        <v>715</v>
      </c>
      <c r="F10" s="10"/>
      <c r="G10" s="19"/>
      <c r="H10" s="19"/>
      <c r="I10" s="40"/>
      <c r="J10" s="79"/>
      <c r="K10" s="15"/>
      <c r="M10" s="15"/>
      <c r="O10" s="48"/>
      <c r="P10" s="22"/>
    </row>
    <row r="11" spans="3:16" ht="15.75" customHeight="1">
      <c r="C11" s="44" t="s">
        <v>210</v>
      </c>
      <c r="D11" s="45"/>
      <c r="E11" s="169">
        <v>5.84</v>
      </c>
      <c r="G11" s="229">
        <v>36587</v>
      </c>
      <c r="H11" s="168">
        <v>36951</v>
      </c>
      <c r="I11" s="225"/>
      <c r="J11" s="47">
        <v>36951</v>
      </c>
      <c r="K11" s="41">
        <v>15615.733</v>
      </c>
      <c r="L11" s="22"/>
      <c r="M11" s="48" t="s">
        <v>716</v>
      </c>
      <c r="N11" s="28"/>
      <c r="O11" s="41">
        <f>K11+K12+K13</f>
        <v>39115.027</v>
      </c>
      <c r="P11" s="22"/>
    </row>
    <row r="12" spans="3:16" ht="15.75" customHeight="1">
      <c r="C12" s="100"/>
      <c r="D12" s="45"/>
      <c r="E12" s="169">
        <v>6.1</v>
      </c>
      <c r="G12" s="229">
        <v>36769</v>
      </c>
      <c r="H12" s="168"/>
      <c r="I12" s="225"/>
      <c r="J12" s="47"/>
      <c r="K12" s="41">
        <v>9557.525</v>
      </c>
      <c r="L12" s="22"/>
      <c r="M12" s="48"/>
      <c r="N12" s="28"/>
      <c r="O12" s="41"/>
      <c r="P12" s="22"/>
    </row>
    <row r="13" spans="3:16" ht="15.75" customHeight="1">
      <c r="C13" s="100"/>
      <c r="D13" s="45"/>
      <c r="E13" s="169">
        <v>6.16</v>
      </c>
      <c r="G13" s="229">
        <v>36860</v>
      </c>
      <c r="H13" s="168"/>
      <c r="I13" s="225"/>
      <c r="J13" s="47"/>
      <c r="K13" s="41">
        <v>13941.769</v>
      </c>
      <c r="L13" s="22"/>
      <c r="M13" s="48"/>
      <c r="N13" s="28"/>
      <c r="O13" s="41"/>
      <c r="P13" s="22"/>
    </row>
    <row r="14" spans="3:16" ht="15.75" customHeight="1">
      <c r="C14" s="100" t="s">
        <v>220</v>
      </c>
      <c r="D14" s="45"/>
      <c r="E14" s="169">
        <v>6.03</v>
      </c>
      <c r="G14" s="229">
        <v>36776</v>
      </c>
      <c r="H14" s="168">
        <v>36958</v>
      </c>
      <c r="I14" s="225"/>
      <c r="J14" s="284">
        <v>36958</v>
      </c>
      <c r="K14" s="41">
        <v>12632.634</v>
      </c>
      <c r="L14" s="22"/>
      <c r="M14" s="48" t="s">
        <v>716</v>
      </c>
      <c r="N14" s="28"/>
      <c r="O14" s="41">
        <f>K14+K15</f>
        <v>31399.930999999997</v>
      </c>
      <c r="P14" s="22"/>
    </row>
    <row r="15" spans="3:16" ht="15.75" customHeight="1">
      <c r="C15" s="100"/>
      <c r="D15" s="45"/>
      <c r="E15" s="169">
        <v>5.96</v>
      </c>
      <c r="G15" s="229">
        <v>36867</v>
      </c>
      <c r="H15" s="168"/>
      <c r="I15" s="225"/>
      <c r="J15" s="284"/>
      <c r="K15" s="41">
        <v>18767.297</v>
      </c>
      <c r="L15" s="22"/>
      <c r="M15" s="48"/>
      <c r="N15" s="28"/>
      <c r="O15" s="41"/>
      <c r="P15" s="22"/>
    </row>
    <row r="16" spans="3:16" ht="15.75" customHeight="1">
      <c r="C16" s="100" t="s">
        <v>221</v>
      </c>
      <c r="D16" s="45"/>
      <c r="E16" s="169">
        <v>5.955</v>
      </c>
      <c r="G16" s="229">
        <v>36783</v>
      </c>
      <c r="H16" s="168">
        <v>36965</v>
      </c>
      <c r="I16" s="225"/>
      <c r="J16" s="284">
        <v>36965</v>
      </c>
      <c r="K16" s="41">
        <v>13090.282</v>
      </c>
      <c r="L16" s="22"/>
      <c r="M16" s="48" t="s">
        <v>716</v>
      </c>
      <c r="N16" s="28"/>
      <c r="O16" s="41">
        <f>K16+K17</f>
        <v>29867.400999999998</v>
      </c>
      <c r="P16" s="22"/>
    </row>
    <row r="17" spans="3:16" ht="15.75" customHeight="1">
      <c r="C17" s="44" t="s">
        <v>672</v>
      </c>
      <c r="D17" s="45"/>
      <c r="E17" s="169">
        <v>5.9</v>
      </c>
      <c r="G17" s="229">
        <v>36874</v>
      </c>
      <c r="H17" s="168" t="s">
        <v>672</v>
      </c>
      <c r="I17" s="225"/>
      <c r="J17" s="284" t="s">
        <v>672</v>
      </c>
      <c r="K17" s="41">
        <v>16777.119</v>
      </c>
      <c r="L17" s="22"/>
      <c r="M17" s="48" t="s">
        <v>672</v>
      </c>
      <c r="N17" s="28"/>
      <c r="O17" s="41" t="s">
        <v>672</v>
      </c>
      <c r="P17" s="22"/>
    </row>
    <row r="18" spans="3:16" ht="15.75" customHeight="1">
      <c r="C18" s="100" t="s">
        <v>222</v>
      </c>
      <c r="D18" s="45"/>
      <c r="E18" s="169">
        <v>5.935</v>
      </c>
      <c r="G18" s="229">
        <v>36790</v>
      </c>
      <c r="H18" s="168">
        <v>36972</v>
      </c>
      <c r="I18" s="225" t="s">
        <v>672</v>
      </c>
      <c r="J18" s="284">
        <v>36972</v>
      </c>
      <c r="K18" s="41">
        <v>12792.51</v>
      </c>
      <c r="L18" s="22"/>
      <c r="M18" s="48" t="s">
        <v>716</v>
      </c>
      <c r="N18" s="28"/>
      <c r="O18" s="41">
        <f>K18+K19</f>
        <v>29267.317000000003</v>
      </c>
      <c r="P18" s="22"/>
    </row>
    <row r="19" spans="3:16" ht="15.75" customHeight="1">
      <c r="C19" s="44" t="s">
        <v>672</v>
      </c>
      <c r="D19" s="45"/>
      <c r="E19" s="169">
        <v>5.77</v>
      </c>
      <c r="G19" s="229">
        <v>36881</v>
      </c>
      <c r="H19" s="168" t="s">
        <v>672</v>
      </c>
      <c r="I19" s="225"/>
      <c r="J19" s="47" t="s">
        <v>672</v>
      </c>
      <c r="K19" s="41">
        <v>16474.807</v>
      </c>
      <c r="L19" s="22"/>
      <c r="M19" s="48" t="s">
        <v>716</v>
      </c>
      <c r="N19" s="28"/>
      <c r="O19" s="41" t="s">
        <v>672</v>
      </c>
      <c r="P19" s="22"/>
    </row>
    <row r="20" spans="3:16" ht="15.75" customHeight="1">
      <c r="C20" s="100" t="s">
        <v>223</v>
      </c>
      <c r="D20" s="45"/>
      <c r="E20" s="169">
        <v>5.985</v>
      </c>
      <c r="G20" s="229">
        <v>36797</v>
      </c>
      <c r="H20" s="168">
        <v>36979</v>
      </c>
      <c r="I20" s="225"/>
      <c r="J20" s="47">
        <v>36979</v>
      </c>
      <c r="K20" s="41">
        <v>13134.159</v>
      </c>
      <c r="L20" s="22"/>
      <c r="M20" s="48" t="s">
        <v>716</v>
      </c>
      <c r="N20" s="28"/>
      <c r="O20" s="41">
        <f>K20+K21</f>
        <v>29818.98</v>
      </c>
      <c r="P20" s="22"/>
    </row>
    <row r="21" spans="3:16" ht="15.75" customHeight="1">
      <c r="C21" s="100"/>
      <c r="D21" s="45"/>
      <c r="E21" s="169">
        <v>5.7</v>
      </c>
      <c r="G21" s="229">
        <v>36888</v>
      </c>
      <c r="H21" s="168" t="s">
        <v>672</v>
      </c>
      <c r="I21" s="225"/>
      <c r="J21" s="47"/>
      <c r="K21" s="41">
        <v>16684.821</v>
      </c>
      <c r="L21" s="22"/>
      <c r="M21" s="48"/>
      <c r="N21" s="28"/>
      <c r="O21" s="41"/>
      <c r="P21" s="22"/>
    </row>
    <row r="22" spans="3:16" ht="15.75" customHeight="1">
      <c r="C22" s="100" t="s">
        <v>224</v>
      </c>
      <c r="D22" s="45"/>
      <c r="E22" s="169">
        <v>6.04</v>
      </c>
      <c r="G22" s="229">
        <v>36804</v>
      </c>
      <c r="H22" s="168">
        <v>36986</v>
      </c>
      <c r="I22" s="225"/>
      <c r="J22" s="47">
        <v>36986</v>
      </c>
      <c r="K22" s="41">
        <v>13756.782</v>
      </c>
      <c r="L22" s="22"/>
      <c r="M22" s="48" t="s">
        <v>716</v>
      </c>
      <c r="N22" s="28"/>
      <c r="O22" s="41">
        <f>K22+K23</f>
        <v>33502.062999999995</v>
      </c>
      <c r="P22" s="22"/>
    </row>
    <row r="23" spans="3:16" ht="15.75" customHeight="1">
      <c r="C23" s="100"/>
      <c r="D23" s="45"/>
      <c r="E23" s="169">
        <v>5.7</v>
      </c>
      <c r="G23" s="229">
        <v>36895</v>
      </c>
      <c r="H23" s="168" t="s">
        <v>672</v>
      </c>
      <c r="I23" s="225"/>
      <c r="J23" s="47"/>
      <c r="K23" s="41">
        <v>19745.281</v>
      </c>
      <c r="L23" s="22"/>
      <c r="M23" s="48"/>
      <c r="N23" s="28"/>
      <c r="O23" s="41"/>
      <c r="P23" s="22"/>
    </row>
    <row r="24" spans="3:16" ht="15.75" customHeight="1">
      <c r="C24" s="100" t="s">
        <v>225</v>
      </c>
      <c r="D24" s="45"/>
      <c r="E24" s="169">
        <v>6.055</v>
      </c>
      <c r="G24" s="229">
        <v>36811</v>
      </c>
      <c r="H24" s="168">
        <v>36993</v>
      </c>
      <c r="I24" s="225"/>
      <c r="J24" s="47">
        <v>36993</v>
      </c>
      <c r="K24" s="41">
        <v>16044.66</v>
      </c>
      <c r="L24" s="22"/>
      <c r="M24" s="48" t="s">
        <v>716</v>
      </c>
      <c r="N24" s="28"/>
      <c r="O24" s="41">
        <f>K24+K25</f>
        <v>33698.203</v>
      </c>
      <c r="P24" s="22"/>
    </row>
    <row r="25" spans="3:16" ht="15.75" customHeight="1">
      <c r="C25" s="100"/>
      <c r="D25" s="45"/>
      <c r="E25" s="169">
        <v>5.05</v>
      </c>
      <c r="G25" s="229">
        <v>36902</v>
      </c>
      <c r="H25" s="168" t="s">
        <v>672</v>
      </c>
      <c r="I25" s="225"/>
      <c r="J25" s="47"/>
      <c r="K25" s="41">
        <v>17653.543</v>
      </c>
      <c r="L25" s="22"/>
      <c r="M25" s="48"/>
      <c r="N25" s="28"/>
      <c r="O25" s="41"/>
      <c r="P25" s="22"/>
    </row>
    <row r="26" spans="3:16" ht="15.75" customHeight="1">
      <c r="C26" s="100" t="s">
        <v>226</v>
      </c>
      <c r="D26" s="45"/>
      <c r="E26" s="169">
        <v>5.99</v>
      </c>
      <c r="G26" s="229">
        <v>36818</v>
      </c>
      <c r="H26" s="168">
        <v>37000</v>
      </c>
      <c r="I26" s="225"/>
      <c r="J26" s="47">
        <v>37000</v>
      </c>
      <c r="K26" s="41">
        <v>14610.677</v>
      </c>
      <c r="L26" s="22"/>
      <c r="M26" s="48" t="s">
        <v>716</v>
      </c>
      <c r="N26" s="28"/>
      <c r="O26" s="41">
        <f>K26+K27+K28</f>
        <v>60012.189</v>
      </c>
      <c r="P26" s="22"/>
    </row>
    <row r="27" spans="3:16" ht="15.75" customHeight="1">
      <c r="C27" s="100"/>
      <c r="D27" s="45"/>
      <c r="E27" s="169">
        <v>5.22</v>
      </c>
      <c r="G27" s="229">
        <v>36909</v>
      </c>
      <c r="H27" s="168" t="s">
        <v>672</v>
      </c>
      <c r="I27" s="225"/>
      <c r="J27" s="47"/>
      <c r="K27" s="41">
        <v>17365.512</v>
      </c>
      <c r="L27" s="22"/>
      <c r="M27" s="48"/>
      <c r="N27" s="28"/>
      <c r="O27" s="41"/>
      <c r="P27" s="22"/>
    </row>
    <row r="28" spans="3:16" ht="15.75" customHeight="1">
      <c r="C28" s="100"/>
      <c r="D28" s="45"/>
      <c r="E28" s="169">
        <v>4.95</v>
      </c>
      <c r="G28" s="229">
        <v>36950</v>
      </c>
      <c r="H28" s="168"/>
      <c r="I28" s="225"/>
      <c r="J28" s="47"/>
      <c r="K28" s="41">
        <v>28036</v>
      </c>
      <c r="L28" s="22"/>
      <c r="M28" s="48"/>
      <c r="N28" s="28"/>
      <c r="O28" s="41"/>
      <c r="P28" s="22"/>
    </row>
    <row r="29" spans="3:16" ht="15.75" customHeight="1">
      <c r="C29" s="100" t="s">
        <v>227</v>
      </c>
      <c r="D29" s="45"/>
      <c r="E29" s="169">
        <v>6.05</v>
      </c>
      <c r="G29" s="229">
        <v>36825</v>
      </c>
      <c r="H29" s="168">
        <v>37007</v>
      </c>
      <c r="I29" s="225"/>
      <c r="J29" s="47">
        <v>37007</v>
      </c>
      <c r="K29" s="41">
        <v>14658.012</v>
      </c>
      <c r="L29" s="22"/>
      <c r="M29" s="48" t="s">
        <v>716</v>
      </c>
      <c r="N29" s="28"/>
      <c r="O29" s="41">
        <f>K29+K30</f>
        <v>32099.331</v>
      </c>
      <c r="P29" s="22"/>
    </row>
    <row r="30" spans="3:16" ht="15.75" customHeight="1">
      <c r="C30" s="100"/>
      <c r="D30" s="45"/>
      <c r="E30" s="169">
        <v>5.09</v>
      </c>
      <c r="G30" s="229">
        <v>36916</v>
      </c>
      <c r="H30" s="168" t="s">
        <v>672</v>
      </c>
      <c r="I30" s="225"/>
      <c r="J30" s="47"/>
      <c r="K30" s="41">
        <v>17441.319</v>
      </c>
      <c r="L30" s="22"/>
      <c r="M30" s="48"/>
      <c r="N30" s="28"/>
      <c r="O30" s="41"/>
      <c r="P30" s="22"/>
    </row>
    <row r="31" spans="3:16" ht="15.75" customHeight="1">
      <c r="C31" s="100" t="s">
        <v>228</v>
      </c>
      <c r="D31" s="45"/>
      <c r="E31" s="169">
        <v>6.075</v>
      </c>
      <c r="G31" s="229">
        <v>36832</v>
      </c>
      <c r="H31" s="168">
        <v>37014</v>
      </c>
      <c r="I31" s="225"/>
      <c r="J31" s="47">
        <v>37014</v>
      </c>
      <c r="K31" s="41">
        <v>14541.656</v>
      </c>
      <c r="L31" s="22"/>
      <c r="M31" s="48" t="s">
        <v>716</v>
      </c>
      <c r="N31" s="28"/>
      <c r="O31" s="41">
        <f>K31+K32</f>
        <v>34827.32</v>
      </c>
      <c r="P31" s="22"/>
    </row>
    <row r="32" spans="3:16" ht="15.75" customHeight="1">
      <c r="C32" s="100"/>
      <c r="D32" s="45"/>
      <c r="E32" s="169">
        <v>4.98</v>
      </c>
      <c r="G32" s="229">
        <v>36923</v>
      </c>
      <c r="H32" s="168"/>
      <c r="I32" s="225"/>
      <c r="J32" s="47"/>
      <c r="K32" s="41">
        <v>20285.664</v>
      </c>
      <c r="L32" s="22"/>
      <c r="M32" s="48"/>
      <c r="N32" s="28"/>
      <c r="O32" s="41"/>
      <c r="P32" s="22"/>
    </row>
    <row r="33" spans="3:16" ht="15.75" customHeight="1">
      <c r="C33" s="100" t="s">
        <v>229</v>
      </c>
      <c r="D33" s="45"/>
      <c r="E33" s="169">
        <v>6.105</v>
      </c>
      <c r="G33" s="229">
        <v>36839</v>
      </c>
      <c r="H33" s="168">
        <v>37021</v>
      </c>
      <c r="I33" s="225"/>
      <c r="J33" s="47">
        <v>37021</v>
      </c>
      <c r="K33" s="41">
        <v>16188.302</v>
      </c>
      <c r="L33" s="22"/>
      <c r="M33" s="48" t="s">
        <v>716</v>
      </c>
      <c r="N33" s="28"/>
      <c r="O33" s="41">
        <f>K33+K34</f>
        <v>34023.642</v>
      </c>
      <c r="P33" s="22"/>
    </row>
    <row r="34" spans="3:16" ht="15.75" customHeight="1">
      <c r="C34" s="100"/>
      <c r="D34" s="45"/>
      <c r="E34" s="169">
        <v>4.92</v>
      </c>
      <c r="G34" s="229">
        <v>36930</v>
      </c>
      <c r="H34" s="168"/>
      <c r="I34" s="225"/>
      <c r="J34" s="47"/>
      <c r="K34" s="41">
        <v>17835.34</v>
      </c>
      <c r="L34" s="22"/>
      <c r="M34" s="48"/>
      <c r="N34" s="28"/>
      <c r="O34" s="41"/>
      <c r="P34" s="22"/>
    </row>
    <row r="35" spans="3:16" ht="15.75" customHeight="1">
      <c r="C35" s="100" t="s">
        <v>230</v>
      </c>
      <c r="D35" s="45"/>
      <c r="E35" s="169">
        <v>6.07</v>
      </c>
      <c r="G35" s="229">
        <v>36846</v>
      </c>
      <c r="H35" s="168">
        <v>37028</v>
      </c>
      <c r="I35" s="225"/>
      <c r="J35" s="47">
        <v>37028</v>
      </c>
      <c r="K35" s="41">
        <v>14594.366</v>
      </c>
      <c r="L35" s="22"/>
      <c r="M35" s="48" t="s">
        <v>716</v>
      </c>
      <c r="N35" s="28"/>
      <c r="O35" s="41">
        <f>K35+K36</f>
        <v>30323.956</v>
      </c>
      <c r="P35" s="22"/>
    </row>
    <row r="36" spans="3:16" ht="15.75" customHeight="1">
      <c r="C36" s="100"/>
      <c r="D36" s="45"/>
      <c r="E36" s="169">
        <v>4.9</v>
      </c>
      <c r="G36" s="229">
        <v>36937</v>
      </c>
      <c r="H36" s="168"/>
      <c r="I36" s="225"/>
      <c r="J36" s="47"/>
      <c r="K36" s="41">
        <v>15729.59</v>
      </c>
      <c r="L36" s="22"/>
      <c r="M36" s="48"/>
      <c r="N36" s="28"/>
      <c r="O36" s="41"/>
      <c r="P36" s="22"/>
    </row>
    <row r="37" spans="3:16" ht="15.75" customHeight="1">
      <c r="C37" s="100" t="s">
        <v>231</v>
      </c>
      <c r="D37" s="45"/>
      <c r="E37" s="169">
        <v>6.05</v>
      </c>
      <c r="G37" s="229">
        <v>36854</v>
      </c>
      <c r="H37" s="168">
        <v>37035</v>
      </c>
      <c r="I37" s="225"/>
      <c r="J37" s="47">
        <v>37035</v>
      </c>
      <c r="K37" s="41">
        <v>14927.037</v>
      </c>
      <c r="L37" s="22"/>
      <c r="M37" s="48" t="s">
        <v>716</v>
      </c>
      <c r="N37" s="28"/>
      <c r="O37" s="41">
        <f>K37+K38</f>
        <v>29701.498</v>
      </c>
      <c r="P37" s="22"/>
    </row>
    <row r="38" spans="3:16" ht="15.75" customHeight="1">
      <c r="C38" s="100"/>
      <c r="D38" s="45"/>
      <c r="E38" s="169">
        <v>4.905</v>
      </c>
      <c r="G38" s="229">
        <v>36944</v>
      </c>
      <c r="H38" s="168"/>
      <c r="I38" s="225"/>
      <c r="J38" s="47"/>
      <c r="K38" s="41">
        <v>14774.461</v>
      </c>
      <c r="L38" s="22"/>
      <c r="M38" s="48"/>
      <c r="N38" s="28"/>
      <c r="O38" s="41"/>
      <c r="P38" s="22"/>
    </row>
    <row r="39" spans="3:16" ht="15.75" customHeight="1">
      <c r="C39" s="100" t="s">
        <v>232</v>
      </c>
      <c r="D39" s="45"/>
      <c r="E39" s="169">
        <v>6</v>
      </c>
      <c r="G39" s="229">
        <v>36678</v>
      </c>
      <c r="H39" s="168">
        <v>37042</v>
      </c>
      <c r="I39" s="225"/>
      <c r="J39" s="47">
        <v>37042</v>
      </c>
      <c r="K39" s="41">
        <v>13615.949</v>
      </c>
      <c r="L39" s="22"/>
      <c r="M39" s="48" t="s">
        <v>716</v>
      </c>
      <c r="N39" s="28"/>
      <c r="O39" s="41">
        <f>K39+K40</f>
        <v>24639.034</v>
      </c>
      <c r="P39" s="22"/>
    </row>
    <row r="40" spans="3:16" ht="15.75" customHeight="1">
      <c r="C40" s="100"/>
      <c r="D40" s="45"/>
      <c r="E40" s="169">
        <v>6.045</v>
      </c>
      <c r="G40" s="229">
        <v>36860</v>
      </c>
      <c r="H40" s="168"/>
      <c r="I40" s="417"/>
      <c r="J40" s="418"/>
      <c r="K40" s="41">
        <v>11023.085</v>
      </c>
      <c r="L40" s="22"/>
      <c r="M40" s="48"/>
      <c r="N40" s="28"/>
      <c r="O40" s="41"/>
      <c r="P40" s="22"/>
    </row>
    <row r="41" spans="3:16" ht="15.75" customHeight="1">
      <c r="C41" s="419" t="s">
        <v>233</v>
      </c>
      <c r="D41" s="45"/>
      <c r="E41" s="169">
        <v>5.84</v>
      </c>
      <c r="G41" s="229">
        <v>36867</v>
      </c>
      <c r="H41" s="168">
        <v>37049</v>
      </c>
      <c r="I41" s="225"/>
      <c r="J41" s="47">
        <v>37049</v>
      </c>
      <c r="K41" s="41">
        <v>15395.924</v>
      </c>
      <c r="L41" s="22"/>
      <c r="M41" s="48" t="s">
        <v>716</v>
      </c>
      <c r="N41" s="28"/>
      <c r="O41" s="41">
        <f>K41</f>
        <v>15395.924</v>
      </c>
      <c r="P41" s="22"/>
    </row>
    <row r="42" spans="3:16" ht="15.75" customHeight="1">
      <c r="C42" s="100" t="s">
        <v>234</v>
      </c>
      <c r="D42" s="45"/>
      <c r="E42" s="169">
        <v>5.79</v>
      </c>
      <c r="G42" s="229">
        <v>36874</v>
      </c>
      <c r="H42" s="168">
        <v>37056</v>
      </c>
      <c r="I42" s="225"/>
      <c r="J42" s="47">
        <v>37056</v>
      </c>
      <c r="K42" s="41">
        <v>14566.751</v>
      </c>
      <c r="L42" s="22"/>
      <c r="M42" s="48" t="s">
        <v>716</v>
      </c>
      <c r="N42" s="28"/>
      <c r="O42" s="41">
        <f>K42</f>
        <v>14566.751</v>
      </c>
      <c r="P42" s="22"/>
    </row>
    <row r="43" spans="3:16" ht="15.75" customHeight="1">
      <c r="C43" s="100" t="s">
        <v>235</v>
      </c>
      <c r="D43" s="45"/>
      <c r="E43" s="169">
        <v>5.66</v>
      </c>
      <c r="G43" s="229">
        <v>36881</v>
      </c>
      <c r="H43" s="168">
        <v>37063</v>
      </c>
      <c r="I43" s="225"/>
      <c r="J43" s="47">
        <v>37063</v>
      </c>
      <c r="K43" s="41">
        <v>14381.784</v>
      </c>
      <c r="L43" s="22"/>
      <c r="M43" s="48" t="s">
        <v>716</v>
      </c>
      <c r="N43" s="28"/>
      <c r="O43" s="41">
        <f>K43</f>
        <v>14381.784</v>
      </c>
      <c r="P43" s="22"/>
    </row>
    <row r="44" spans="3:16" ht="15.75" customHeight="1">
      <c r="C44" s="100" t="s">
        <v>236</v>
      </c>
      <c r="D44" s="45"/>
      <c r="E44" s="169">
        <v>5.5</v>
      </c>
      <c r="G44" s="229">
        <v>36888</v>
      </c>
      <c r="H44" s="168">
        <v>37070</v>
      </c>
      <c r="I44" s="225"/>
      <c r="J44" s="47">
        <v>37070</v>
      </c>
      <c r="K44" s="41">
        <v>14511.239</v>
      </c>
      <c r="L44" s="22"/>
      <c r="M44" s="48" t="s">
        <v>716</v>
      </c>
      <c r="N44" s="28"/>
      <c r="O44" s="41">
        <f>K44</f>
        <v>14511.239</v>
      </c>
      <c r="P44" s="22"/>
    </row>
    <row r="45" spans="3:16" ht="15.75" customHeight="1">
      <c r="C45" s="44" t="s">
        <v>837</v>
      </c>
      <c r="D45" s="45"/>
      <c r="E45" s="169">
        <v>5.36</v>
      </c>
      <c r="G45" s="229">
        <v>36895</v>
      </c>
      <c r="H45" s="168">
        <v>37077</v>
      </c>
      <c r="I45" s="225"/>
      <c r="J45" s="47">
        <v>37077</v>
      </c>
      <c r="K45" s="41">
        <v>16169.117</v>
      </c>
      <c r="L45" s="22"/>
      <c r="M45" s="48" t="s">
        <v>716</v>
      </c>
      <c r="N45" s="28"/>
      <c r="O45" s="41">
        <f aca="true" t="shared" si="0" ref="O45:O50">K45</f>
        <v>16169.117</v>
      </c>
      <c r="P45" s="22"/>
    </row>
    <row r="46" spans="3:16" ht="15.75" customHeight="1">
      <c r="C46" s="44" t="s">
        <v>838</v>
      </c>
      <c r="D46" s="45"/>
      <c r="E46" s="169">
        <v>4.825</v>
      </c>
      <c r="G46" s="229">
        <v>36902</v>
      </c>
      <c r="H46" s="168">
        <v>37084</v>
      </c>
      <c r="I46" s="225"/>
      <c r="J46" s="47">
        <v>37084</v>
      </c>
      <c r="K46" s="41">
        <v>15428.23</v>
      </c>
      <c r="L46" s="22"/>
      <c r="M46" s="48" t="s">
        <v>716</v>
      </c>
      <c r="N46" s="28"/>
      <c r="O46" s="41">
        <f t="shared" si="0"/>
        <v>15428.23</v>
      </c>
      <c r="P46" s="22"/>
    </row>
    <row r="47" spans="3:16" ht="15.75" customHeight="1">
      <c r="C47" s="44" t="s">
        <v>839</v>
      </c>
      <c r="D47" s="45"/>
      <c r="E47" s="169">
        <v>5.055</v>
      </c>
      <c r="G47" s="229">
        <v>36909</v>
      </c>
      <c r="H47" s="168">
        <v>37091</v>
      </c>
      <c r="I47" s="225"/>
      <c r="J47" s="47">
        <v>37091</v>
      </c>
      <c r="K47" s="41">
        <v>15518.276</v>
      </c>
      <c r="L47" s="22"/>
      <c r="M47" s="48" t="s">
        <v>716</v>
      </c>
      <c r="N47" s="28"/>
      <c r="O47" s="41">
        <f t="shared" si="0"/>
        <v>15518.276</v>
      </c>
      <c r="P47" s="22"/>
    </row>
    <row r="48" spans="3:16" ht="15.75" customHeight="1">
      <c r="C48" s="44" t="s">
        <v>840</v>
      </c>
      <c r="D48" s="45"/>
      <c r="E48" s="169">
        <v>4.92</v>
      </c>
      <c r="G48" s="229">
        <v>36916</v>
      </c>
      <c r="H48" s="168">
        <v>37098</v>
      </c>
      <c r="I48" s="225"/>
      <c r="J48" s="47">
        <v>37098</v>
      </c>
      <c r="K48" s="41">
        <v>15568.68</v>
      </c>
      <c r="L48" s="22"/>
      <c r="M48" s="48" t="s">
        <v>716</v>
      </c>
      <c r="N48" s="28"/>
      <c r="O48" s="41">
        <f t="shared" si="0"/>
        <v>15568.68</v>
      </c>
      <c r="P48" s="22"/>
    </row>
    <row r="49" spans="3:16" ht="15.75" customHeight="1">
      <c r="C49" s="44" t="s">
        <v>212</v>
      </c>
      <c r="D49" s="45"/>
      <c r="E49" s="169">
        <v>4.84</v>
      </c>
      <c r="G49" s="229">
        <v>36923</v>
      </c>
      <c r="H49" s="168">
        <v>37105</v>
      </c>
      <c r="I49" s="225"/>
      <c r="J49" s="53">
        <v>37105</v>
      </c>
      <c r="K49" s="41">
        <v>16934.001</v>
      </c>
      <c r="L49" s="22"/>
      <c r="M49" s="48" t="s">
        <v>716</v>
      </c>
      <c r="N49" s="28"/>
      <c r="O49" s="41">
        <f t="shared" si="0"/>
        <v>16934.001</v>
      </c>
      <c r="P49" s="22"/>
    </row>
    <row r="50" spans="3:16" ht="15.75" customHeight="1">
      <c r="C50" s="44" t="s">
        <v>211</v>
      </c>
      <c r="D50" s="45"/>
      <c r="E50" s="169">
        <v>4.755</v>
      </c>
      <c r="G50" s="229">
        <v>36930</v>
      </c>
      <c r="H50" s="168">
        <v>37112</v>
      </c>
      <c r="I50" s="225"/>
      <c r="J50" s="53">
        <v>37112</v>
      </c>
      <c r="K50" s="41">
        <v>15000.432</v>
      </c>
      <c r="L50" s="22"/>
      <c r="M50" s="48" t="s">
        <v>716</v>
      </c>
      <c r="N50" s="28"/>
      <c r="O50" s="41">
        <f t="shared" si="0"/>
        <v>15000.432</v>
      </c>
      <c r="P50" s="22"/>
    </row>
    <row r="51" spans="3:16" ht="15.75" customHeight="1">
      <c r="C51" s="44" t="s">
        <v>777</v>
      </c>
      <c r="D51" s="45"/>
      <c r="E51" s="169">
        <v>4.745</v>
      </c>
      <c r="G51" s="229">
        <v>36937</v>
      </c>
      <c r="H51" s="168">
        <v>37119</v>
      </c>
      <c r="I51" s="225"/>
      <c r="J51" s="53">
        <v>37119</v>
      </c>
      <c r="K51" s="41">
        <v>14473.743</v>
      </c>
      <c r="L51" s="22"/>
      <c r="M51" s="48" t="s">
        <v>716</v>
      </c>
      <c r="N51" s="28"/>
      <c r="O51" s="41">
        <f>+K51</f>
        <v>14473.743</v>
      </c>
      <c r="P51" s="22"/>
    </row>
    <row r="52" spans="3:16" ht="15.75" customHeight="1">
      <c r="C52" s="44" t="s">
        <v>31</v>
      </c>
      <c r="D52" s="45"/>
      <c r="E52" s="169">
        <v>4.77</v>
      </c>
      <c r="G52" s="229">
        <v>36944</v>
      </c>
      <c r="H52" s="433">
        <v>37126</v>
      </c>
      <c r="I52" s="417"/>
      <c r="J52" s="432">
        <v>37126</v>
      </c>
      <c r="K52" s="41">
        <v>14863.674</v>
      </c>
      <c r="L52" s="22"/>
      <c r="M52" s="48" t="s">
        <v>716</v>
      </c>
      <c r="N52" s="28"/>
      <c r="O52" s="41">
        <f>+K52</f>
        <v>14863.674</v>
      </c>
      <c r="P52" s="22"/>
    </row>
    <row r="53" spans="3:16" ht="15.75" customHeight="1">
      <c r="C53" s="100" t="s">
        <v>237</v>
      </c>
      <c r="D53" s="45"/>
      <c r="E53" s="169">
        <v>5.88</v>
      </c>
      <c r="G53" s="229">
        <v>36769</v>
      </c>
      <c r="H53" s="168">
        <v>37133</v>
      </c>
      <c r="I53" s="417"/>
      <c r="J53" s="418">
        <v>37133</v>
      </c>
      <c r="K53" s="41">
        <v>13032.987</v>
      </c>
      <c r="L53" s="22"/>
      <c r="M53" s="48" t="s">
        <v>716</v>
      </c>
      <c r="N53" s="28"/>
      <c r="O53" s="41">
        <f>K53</f>
        <v>13032.987</v>
      </c>
      <c r="P53" s="22"/>
    </row>
    <row r="54" spans="3:16" ht="15.75" customHeight="1">
      <c r="C54" s="100" t="s">
        <v>238</v>
      </c>
      <c r="D54" s="45"/>
      <c r="E54" s="169">
        <v>5.71</v>
      </c>
      <c r="G54" s="229">
        <v>36860</v>
      </c>
      <c r="H54" s="168">
        <v>37224</v>
      </c>
      <c r="I54" s="417"/>
      <c r="J54" s="278">
        <v>37225</v>
      </c>
      <c r="K54" s="41">
        <v>12517.493</v>
      </c>
      <c r="L54" s="22"/>
      <c r="M54" s="48" t="s">
        <v>716</v>
      </c>
      <c r="N54" s="28"/>
      <c r="O54" s="41">
        <f>K54</f>
        <v>12517.493</v>
      </c>
      <c r="P54" s="22"/>
    </row>
    <row r="55" spans="2:16" ht="21" customHeight="1">
      <c r="B55" s="10" t="s">
        <v>817</v>
      </c>
      <c r="G55" s="17" t="s">
        <v>717</v>
      </c>
      <c r="H55" s="47" t="s">
        <v>718</v>
      </c>
      <c r="I55" s="3"/>
      <c r="J55" s="35" t="s">
        <v>719</v>
      </c>
      <c r="K55" s="57">
        <f>SUM(K11:K54)</f>
        <v>680658.2230000001</v>
      </c>
      <c r="L55" s="327"/>
      <c r="M55" s="328" t="s">
        <v>716</v>
      </c>
      <c r="N55" s="329"/>
      <c r="O55" s="57">
        <f>SUM(O11:O54)</f>
        <v>680658.223</v>
      </c>
      <c r="P55" s="327"/>
    </row>
    <row r="56" spans="2:16" ht="15.75" customHeight="1">
      <c r="B56" t="s">
        <v>639</v>
      </c>
      <c r="G56" s="17" t="s">
        <v>717</v>
      </c>
      <c r="H56" s="47" t="s">
        <v>718</v>
      </c>
      <c r="I56" s="3"/>
      <c r="J56" s="35" t="s">
        <v>719</v>
      </c>
      <c r="K56" s="330" t="s">
        <v>3</v>
      </c>
      <c r="L56" s="29"/>
      <c r="M56" s="331" t="s">
        <v>716</v>
      </c>
      <c r="N56" s="332"/>
      <c r="O56" s="330" t="str">
        <f>K56</f>
        <v>*  </v>
      </c>
      <c r="P56" s="29"/>
    </row>
    <row r="57" spans="2:16" ht="15.75" customHeight="1" thickBot="1">
      <c r="B57" s="86" t="s">
        <v>638</v>
      </c>
      <c r="G57" s="17" t="s">
        <v>717</v>
      </c>
      <c r="H57" s="47" t="s">
        <v>718</v>
      </c>
      <c r="I57" s="3"/>
      <c r="J57" s="35" t="s">
        <v>719</v>
      </c>
      <c r="K57" s="333">
        <f>+K55+0.464</f>
        <v>680658.6870000002</v>
      </c>
      <c r="L57" s="334"/>
      <c r="M57" s="333"/>
      <c r="N57" s="334"/>
      <c r="O57" s="333">
        <f>+O55+0.474</f>
        <v>680658.697</v>
      </c>
      <c r="P57" s="25"/>
    </row>
    <row r="58" spans="7:16" ht="15.75" customHeight="1" thickTop="1">
      <c r="G58" s="15"/>
      <c r="H58" s="46"/>
      <c r="J58" s="35"/>
      <c r="K58" s="41"/>
      <c r="L58" s="22"/>
      <c r="M58" s="41"/>
      <c r="N58" s="22"/>
      <c r="O58" s="41"/>
      <c r="P58" s="22"/>
    </row>
    <row r="59" spans="2:16" ht="21" customHeight="1">
      <c r="B59" s="10" t="s">
        <v>720</v>
      </c>
      <c r="D59" s="233" t="s">
        <v>21</v>
      </c>
      <c r="F59" s="20"/>
      <c r="G59" s="19"/>
      <c r="H59" s="19"/>
      <c r="I59" s="40"/>
      <c r="J59" s="79"/>
      <c r="K59" s="15"/>
      <c r="M59" s="15"/>
      <c r="O59" s="41"/>
      <c r="P59" s="22"/>
    </row>
    <row r="60" spans="2:16" ht="17.25" customHeight="1">
      <c r="B60" s="10" t="s">
        <v>714</v>
      </c>
      <c r="D60" s="3" t="s">
        <v>721</v>
      </c>
      <c r="E60" s="3" t="s">
        <v>722</v>
      </c>
      <c r="F60" s="3"/>
      <c r="G60" s="80"/>
      <c r="H60" s="80"/>
      <c r="I60" s="43"/>
      <c r="J60" s="79"/>
      <c r="K60" s="15"/>
      <c r="M60" s="15"/>
      <c r="O60" s="41"/>
      <c r="P60" s="22"/>
    </row>
    <row r="61" spans="3:16" ht="15.75" customHeight="1">
      <c r="C61" s="44" t="s">
        <v>213</v>
      </c>
      <c r="D61" s="49" t="s">
        <v>761</v>
      </c>
      <c r="E61" s="226" t="s">
        <v>727</v>
      </c>
      <c r="F61" s="232"/>
      <c r="G61" s="53">
        <v>35165</v>
      </c>
      <c r="H61" s="47">
        <v>36981</v>
      </c>
      <c r="I61" s="3"/>
      <c r="J61" s="35" t="s">
        <v>742</v>
      </c>
      <c r="K61" s="41">
        <v>14180.74</v>
      </c>
      <c r="L61" s="22"/>
      <c r="M61" s="48" t="s">
        <v>716</v>
      </c>
      <c r="N61" s="28"/>
      <c r="O61" s="41">
        <f aca="true" t="shared" si="1" ref="O61:O83">K61-M61</f>
        <v>14180.74</v>
      </c>
      <c r="P61" s="22"/>
    </row>
    <row r="62" spans="3:16" ht="15.75" customHeight="1">
      <c r="C62" s="100" t="s">
        <v>239</v>
      </c>
      <c r="D62" s="49" t="s">
        <v>736</v>
      </c>
      <c r="E62" s="192" t="s">
        <v>698</v>
      </c>
      <c r="F62" s="232"/>
      <c r="G62" s="53">
        <v>36250</v>
      </c>
      <c r="H62" s="47">
        <v>36981</v>
      </c>
      <c r="I62" s="3"/>
      <c r="J62" s="35" t="s">
        <v>742</v>
      </c>
      <c r="K62" s="41">
        <v>21605.352</v>
      </c>
      <c r="L62" s="22"/>
      <c r="M62" s="48" t="s">
        <v>716</v>
      </c>
      <c r="N62" s="28"/>
      <c r="O62" s="41">
        <f t="shared" si="1"/>
        <v>21605.352</v>
      </c>
      <c r="P62" s="22"/>
    </row>
    <row r="63" spans="3:16" ht="15.75" customHeight="1">
      <c r="C63" s="44" t="s">
        <v>240</v>
      </c>
      <c r="D63" s="49" t="s">
        <v>770</v>
      </c>
      <c r="E63" s="49" t="s">
        <v>744</v>
      </c>
      <c r="F63" s="232"/>
      <c r="G63" s="53">
        <v>35185</v>
      </c>
      <c r="H63" s="47">
        <v>37011</v>
      </c>
      <c r="I63" s="3"/>
      <c r="J63" s="35" t="s">
        <v>750</v>
      </c>
      <c r="K63" s="41">
        <v>13780.47</v>
      </c>
      <c r="L63" s="22"/>
      <c r="M63" s="48" t="s">
        <v>716</v>
      </c>
      <c r="N63" s="28"/>
      <c r="O63" s="41">
        <f t="shared" si="1"/>
        <v>13780.47</v>
      </c>
      <c r="P63" s="22"/>
    </row>
    <row r="64" spans="3:16" ht="15.75" customHeight="1">
      <c r="C64" s="100" t="s">
        <v>241</v>
      </c>
      <c r="D64" s="49" t="s">
        <v>755</v>
      </c>
      <c r="E64" s="49">
        <v>5</v>
      </c>
      <c r="F64" s="232"/>
      <c r="G64" s="53">
        <v>36280</v>
      </c>
      <c r="H64" s="47">
        <v>37011</v>
      </c>
      <c r="I64" s="3"/>
      <c r="J64" s="35" t="s">
        <v>750</v>
      </c>
      <c r="K64" s="41">
        <v>21033.523</v>
      </c>
      <c r="L64" s="22"/>
      <c r="M64" s="48" t="s">
        <v>716</v>
      </c>
      <c r="N64" s="28"/>
      <c r="O64" s="41">
        <f t="shared" si="1"/>
        <v>21033.523</v>
      </c>
      <c r="P64" s="22"/>
    </row>
    <row r="65" spans="3:16" ht="15.75" customHeight="1">
      <c r="C65" s="100" t="s">
        <v>242</v>
      </c>
      <c r="D65" s="49" t="s">
        <v>752</v>
      </c>
      <c r="E65" s="49" t="s">
        <v>765</v>
      </c>
      <c r="F65" s="232"/>
      <c r="G65" s="53">
        <v>33373</v>
      </c>
      <c r="H65" s="47">
        <v>37026</v>
      </c>
      <c r="I65" s="3"/>
      <c r="J65" s="35" t="s">
        <v>754</v>
      </c>
      <c r="K65" s="41">
        <v>12398.083</v>
      </c>
      <c r="L65" s="22"/>
      <c r="M65" s="48" t="s">
        <v>716</v>
      </c>
      <c r="N65" s="28"/>
      <c r="O65" s="41">
        <f t="shared" si="1"/>
        <v>12398.083</v>
      </c>
      <c r="P65" s="22"/>
    </row>
    <row r="66" spans="3:16" ht="15.75" customHeight="1">
      <c r="C66" s="100" t="s">
        <v>243</v>
      </c>
      <c r="D66" s="49" t="s">
        <v>771</v>
      </c>
      <c r="E66" s="49" t="s">
        <v>773</v>
      </c>
      <c r="F66" s="232"/>
      <c r="G66" s="53">
        <v>35930</v>
      </c>
      <c r="H66" s="47">
        <v>37026</v>
      </c>
      <c r="I66" s="3"/>
      <c r="J66" s="35" t="s">
        <v>754</v>
      </c>
      <c r="K66" s="41">
        <v>12873.752</v>
      </c>
      <c r="L66" s="22"/>
      <c r="M66" s="48" t="s">
        <v>716</v>
      </c>
      <c r="N66" s="28"/>
      <c r="O66" s="41">
        <f t="shared" si="1"/>
        <v>12873.752</v>
      </c>
      <c r="P66" s="22"/>
    </row>
    <row r="67" spans="3:16" ht="15.75" customHeight="1">
      <c r="C67" s="44" t="s">
        <v>244</v>
      </c>
      <c r="D67" s="49" t="s">
        <v>729</v>
      </c>
      <c r="E67" s="49" t="s">
        <v>749</v>
      </c>
      <c r="F67" s="232"/>
      <c r="G67" s="53">
        <v>35216</v>
      </c>
      <c r="H67" s="47">
        <v>37042</v>
      </c>
      <c r="I67" s="3"/>
      <c r="J67" s="35" t="s">
        <v>758</v>
      </c>
      <c r="K67" s="41">
        <v>13721.702</v>
      </c>
      <c r="L67" s="22"/>
      <c r="M67" s="48" t="s">
        <v>716</v>
      </c>
      <c r="N67" s="28"/>
      <c r="O67" s="41">
        <f t="shared" si="1"/>
        <v>13721.702</v>
      </c>
      <c r="P67" s="22"/>
    </row>
    <row r="68" spans="3:16" ht="15.75" customHeight="1">
      <c r="C68" s="100" t="s">
        <v>245</v>
      </c>
      <c r="D68" s="49" t="s">
        <v>766</v>
      </c>
      <c r="E68" s="49" t="s">
        <v>783</v>
      </c>
      <c r="F68" s="232"/>
      <c r="G68" s="53">
        <v>36312</v>
      </c>
      <c r="H68" s="47">
        <v>37042</v>
      </c>
      <c r="I68" s="3"/>
      <c r="J68" s="35" t="s">
        <v>758</v>
      </c>
      <c r="K68" s="41">
        <v>19885.985</v>
      </c>
      <c r="L68" s="22"/>
      <c r="M68" s="48" t="s">
        <v>716</v>
      </c>
      <c r="N68" s="28"/>
      <c r="O68" s="41">
        <f t="shared" si="1"/>
        <v>19885.985</v>
      </c>
      <c r="P68" s="22"/>
    </row>
    <row r="69" spans="3:16" ht="15.75" customHeight="1">
      <c r="C69" s="100" t="s">
        <v>246</v>
      </c>
      <c r="D69" s="49" t="s">
        <v>737</v>
      </c>
      <c r="E69" s="49" t="s">
        <v>784</v>
      </c>
      <c r="F69" s="232"/>
      <c r="G69" s="53">
        <v>35247</v>
      </c>
      <c r="H69" s="47">
        <v>37072</v>
      </c>
      <c r="I69" s="3"/>
      <c r="J69" s="35" t="s">
        <v>724</v>
      </c>
      <c r="K69" s="41">
        <v>14282.24</v>
      </c>
      <c r="L69" s="22"/>
      <c r="M69" s="48" t="s">
        <v>716</v>
      </c>
      <c r="N69" s="28"/>
      <c r="O69" s="41">
        <f t="shared" si="1"/>
        <v>14282.24</v>
      </c>
      <c r="P69" s="22"/>
    </row>
    <row r="70" spans="3:16" ht="15.75" customHeight="1">
      <c r="C70" s="100" t="s">
        <v>247</v>
      </c>
      <c r="D70" s="49" t="s">
        <v>776</v>
      </c>
      <c r="E70" s="49" t="s">
        <v>725</v>
      </c>
      <c r="F70" s="232"/>
      <c r="G70" s="53">
        <v>36341</v>
      </c>
      <c r="H70" s="47">
        <v>37072</v>
      </c>
      <c r="I70" s="3"/>
      <c r="J70" s="35" t="s">
        <v>724</v>
      </c>
      <c r="K70" s="41">
        <v>19001.309</v>
      </c>
      <c r="L70" s="22"/>
      <c r="M70" s="48" t="s">
        <v>716</v>
      </c>
      <c r="N70" s="28"/>
      <c r="O70" s="41">
        <f t="shared" si="1"/>
        <v>19001.309</v>
      </c>
      <c r="P70" s="22"/>
    </row>
    <row r="71" spans="3:16" ht="15.75" customHeight="1">
      <c r="C71" s="100" t="s">
        <v>248</v>
      </c>
      <c r="D71" s="49" t="s">
        <v>741</v>
      </c>
      <c r="E71" s="49" t="s">
        <v>784</v>
      </c>
      <c r="F71" s="232"/>
      <c r="G71" s="53">
        <v>35277</v>
      </c>
      <c r="H71" s="47">
        <v>37103</v>
      </c>
      <c r="I71" s="3"/>
      <c r="J71" s="35" t="s">
        <v>730</v>
      </c>
      <c r="K71" s="41">
        <v>14136.833</v>
      </c>
      <c r="L71" s="22"/>
      <c r="M71" s="48" t="s">
        <v>716</v>
      </c>
      <c r="N71" s="28"/>
      <c r="O71" s="41">
        <f t="shared" si="1"/>
        <v>14136.833</v>
      </c>
      <c r="P71" s="22"/>
    </row>
    <row r="72" spans="3:16" ht="15.75" customHeight="1">
      <c r="C72" s="44" t="s">
        <v>249</v>
      </c>
      <c r="D72" s="49" t="s">
        <v>731</v>
      </c>
      <c r="E72" s="230" t="s">
        <v>738</v>
      </c>
      <c r="F72" s="232"/>
      <c r="G72" s="53">
        <v>36374</v>
      </c>
      <c r="H72" s="47">
        <v>37103</v>
      </c>
      <c r="I72" s="3"/>
      <c r="J72" s="35" t="s">
        <v>730</v>
      </c>
      <c r="K72" s="41">
        <v>20541.318</v>
      </c>
      <c r="L72" s="22"/>
      <c r="M72" s="48" t="s">
        <v>716</v>
      </c>
      <c r="N72" s="28"/>
      <c r="O72" s="41">
        <f t="shared" si="1"/>
        <v>20541.318</v>
      </c>
      <c r="P72" s="22"/>
    </row>
    <row r="73" spans="3:16" ht="15.75" customHeight="1">
      <c r="C73" s="44" t="s">
        <v>250</v>
      </c>
      <c r="D73" s="49" t="s">
        <v>764</v>
      </c>
      <c r="E73" s="49" t="s">
        <v>775</v>
      </c>
      <c r="F73" s="232"/>
      <c r="G73" s="53">
        <v>33465</v>
      </c>
      <c r="H73" s="47">
        <v>37118</v>
      </c>
      <c r="I73" s="3"/>
      <c r="J73" s="35" t="s">
        <v>735</v>
      </c>
      <c r="K73" s="41">
        <v>12339.185</v>
      </c>
      <c r="L73" s="22"/>
      <c r="M73" s="48" t="s">
        <v>716</v>
      </c>
      <c r="N73" s="28"/>
      <c r="O73" s="41">
        <f t="shared" si="1"/>
        <v>12339.185</v>
      </c>
      <c r="P73" s="22"/>
    </row>
    <row r="74" spans="3:16" ht="15.75" customHeight="1">
      <c r="C74" s="44" t="s">
        <v>251</v>
      </c>
      <c r="D74" s="49" t="s">
        <v>748</v>
      </c>
      <c r="E74" s="49" t="s">
        <v>749</v>
      </c>
      <c r="F74" s="232"/>
      <c r="G74" s="53">
        <v>35338</v>
      </c>
      <c r="H74" s="102">
        <v>37134</v>
      </c>
      <c r="I74" s="3"/>
      <c r="J74" s="35" t="s">
        <v>739</v>
      </c>
      <c r="K74" s="41">
        <v>14000.224</v>
      </c>
      <c r="L74" s="22"/>
      <c r="M74" s="48" t="s">
        <v>716</v>
      </c>
      <c r="N74" s="28"/>
      <c r="O74" s="41">
        <f t="shared" si="1"/>
        <v>14000.224</v>
      </c>
      <c r="P74" s="22"/>
    </row>
    <row r="75" spans="3:16" ht="15.75" customHeight="1">
      <c r="C75" s="44" t="s">
        <v>252</v>
      </c>
      <c r="D75" s="49" t="s">
        <v>740</v>
      </c>
      <c r="E75" s="230" t="s">
        <v>738</v>
      </c>
      <c r="F75" s="232"/>
      <c r="G75" s="53">
        <v>36403</v>
      </c>
      <c r="H75" s="102">
        <v>37134</v>
      </c>
      <c r="I75" s="3"/>
      <c r="J75" s="35" t="s">
        <v>739</v>
      </c>
      <c r="K75" s="41">
        <v>20118.595</v>
      </c>
      <c r="L75" s="22"/>
      <c r="M75" s="48" t="s">
        <v>716</v>
      </c>
      <c r="N75" s="28"/>
      <c r="O75" s="41">
        <f t="shared" si="1"/>
        <v>20118.595</v>
      </c>
      <c r="P75" s="22"/>
    </row>
    <row r="76" spans="3:16" ht="15.75" customHeight="1">
      <c r="C76" s="44" t="s">
        <v>253</v>
      </c>
      <c r="D76" s="49" t="s">
        <v>756</v>
      </c>
      <c r="E76" s="49" t="s">
        <v>727</v>
      </c>
      <c r="F76" s="232"/>
      <c r="G76" s="53">
        <v>35338</v>
      </c>
      <c r="H76" s="102">
        <v>37164</v>
      </c>
      <c r="I76" s="3"/>
      <c r="J76" s="35" t="s">
        <v>742</v>
      </c>
      <c r="K76" s="41">
        <v>14518.514</v>
      </c>
      <c r="L76" s="22"/>
      <c r="M76" s="48" t="s">
        <v>716</v>
      </c>
      <c r="N76" s="28"/>
      <c r="O76" s="41">
        <f t="shared" si="1"/>
        <v>14518.514</v>
      </c>
      <c r="P76" s="22"/>
    </row>
    <row r="77" spans="3:16" ht="15.75" customHeight="1">
      <c r="C77" s="44" t="s">
        <v>254</v>
      </c>
      <c r="D77" s="49" t="s">
        <v>743</v>
      </c>
      <c r="E77" s="49" t="s">
        <v>773</v>
      </c>
      <c r="F77" s="232"/>
      <c r="G77" s="53">
        <v>36433</v>
      </c>
      <c r="H77" s="102">
        <v>37164</v>
      </c>
      <c r="I77" s="3"/>
      <c r="J77" s="35" t="s">
        <v>742</v>
      </c>
      <c r="K77" s="41">
        <v>18797.828</v>
      </c>
      <c r="L77" s="22"/>
      <c r="M77" s="48" t="s">
        <v>716</v>
      </c>
      <c r="N77" s="28"/>
      <c r="O77" s="41">
        <f t="shared" si="1"/>
        <v>18797.828</v>
      </c>
      <c r="P77" s="22"/>
    </row>
    <row r="78" spans="3:16" ht="15.75" customHeight="1">
      <c r="C78" s="44" t="s">
        <v>255</v>
      </c>
      <c r="D78" s="49" t="s">
        <v>759</v>
      </c>
      <c r="E78" s="49" t="s">
        <v>744</v>
      </c>
      <c r="F78" s="232"/>
      <c r="G78" s="53">
        <v>35369</v>
      </c>
      <c r="H78" s="102">
        <v>37195</v>
      </c>
      <c r="I78" s="3"/>
      <c r="J78" s="35" t="s">
        <v>750</v>
      </c>
      <c r="K78" s="41">
        <v>14639.843</v>
      </c>
      <c r="L78" s="22"/>
      <c r="M78" s="48" t="s">
        <v>716</v>
      </c>
      <c r="N78" s="28"/>
      <c r="O78" s="41">
        <f t="shared" si="1"/>
        <v>14639.843</v>
      </c>
      <c r="P78" s="22"/>
    </row>
    <row r="79" spans="3:16" ht="15.75" customHeight="1">
      <c r="C79" s="44" t="s">
        <v>256</v>
      </c>
      <c r="D79" s="49" t="s">
        <v>751</v>
      </c>
      <c r="E79" s="49" t="s">
        <v>732</v>
      </c>
      <c r="F79" s="232"/>
      <c r="G79" s="53">
        <v>36465</v>
      </c>
      <c r="H79" s="102">
        <v>37195</v>
      </c>
      <c r="I79" s="3"/>
      <c r="J79" s="35" t="s">
        <v>750</v>
      </c>
      <c r="K79" s="41">
        <v>19196.002</v>
      </c>
      <c r="L79" s="22"/>
      <c r="M79" s="48" t="s">
        <v>716</v>
      </c>
      <c r="N79" s="28"/>
      <c r="O79" s="41">
        <f t="shared" si="1"/>
        <v>19196.002</v>
      </c>
      <c r="P79" s="22"/>
    </row>
    <row r="80" spans="3:16" ht="15.75" customHeight="1">
      <c r="C80" s="44" t="s">
        <v>257</v>
      </c>
      <c r="D80" s="49" t="s">
        <v>774</v>
      </c>
      <c r="E80" s="49" t="s">
        <v>772</v>
      </c>
      <c r="F80" s="232"/>
      <c r="G80" s="53">
        <v>33557</v>
      </c>
      <c r="H80" s="47">
        <v>37210</v>
      </c>
      <c r="I80" s="3"/>
      <c r="J80" s="35" t="s">
        <v>754</v>
      </c>
      <c r="K80" s="41">
        <v>24226.102</v>
      </c>
      <c r="L80" s="22"/>
      <c r="M80" s="48" t="s">
        <v>716</v>
      </c>
      <c r="N80" s="28"/>
      <c r="O80" s="41">
        <f t="shared" si="1"/>
        <v>24226.102</v>
      </c>
      <c r="P80" s="22"/>
    </row>
    <row r="81" spans="3:16" ht="15.75" customHeight="1">
      <c r="C81" s="100" t="s">
        <v>258</v>
      </c>
      <c r="D81" s="49" t="s">
        <v>762</v>
      </c>
      <c r="E81" s="49" t="s">
        <v>732</v>
      </c>
      <c r="F81" s="232"/>
      <c r="G81" s="53">
        <v>35401</v>
      </c>
      <c r="H81" s="102">
        <v>37225</v>
      </c>
      <c r="I81" s="3"/>
      <c r="J81" s="35" t="s">
        <v>758</v>
      </c>
      <c r="K81" s="41">
        <v>33504.627</v>
      </c>
      <c r="L81" s="22"/>
      <c r="M81" s="48" t="s">
        <v>716</v>
      </c>
      <c r="N81" s="28"/>
      <c r="O81" s="41">
        <f t="shared" si="1"/>
        <v>33504.627</v>
      </c>
      <c r="P81" s="22"/>
    </row>
    <row r="82" spans="3:16" ht="15.75" customHeight="1">
      <c r="C82" s="100" t="s">
        <v>259</v>
      </c>
      <c r="D82" s="49" t="s">
        <v>767</v>
      </c>
      <c r="E82" s="49" t="s">
        <v>781</v>
      </c>
      <c r="F82" s="232"/>
      <c r="G82" s="53">
        <v>35430</v>
      </c>
      <c r="H82" s="102">
        <v>37256</v>
      </c>
      <c r="I82" s="3"/>
      <c r="J82" s="35" t="s">
        <v>724</v>
      </c>
      <c r="K82" s="41">
        <v>31166.321</v>
      </c>
      <c r="L82" s="22"/>
      <c r="M82" s="48" t="s">
        <v>716</v>
      </c>
      <c r="N82" s="28"/>
      <c r="O82" s="41">
        <f t="shared" si="1"/>
        <v>31166.321</v>
      </c>
      <c r="P82" s="22"/>
    </row>
    <row r="83" spans="3:17" ht="15.75" customHeight="1">
      <c r="C83" s="100" t="s">
        <v>260</v>
      </c>
      <c r="D83" s="49" t="s">
        <v>764</v>
      </c>
      <c r="E83" s="49" t="s">
        <v>744</v>
      </c>
      <c r="F83" s="232"/>
      <c r="G83" s="53">
        <v>35461</v>
      </c>
      <c r="H83" s="102">
        <v>37287</v>
      </c>
      <c r="I83" s="3"/>
      <c r="J83" s="35" t="s">
        <v>730</v>
      </c>
      <c r="K83" s="41">
        <v>13453.346</v>
      </c>
      <c r="L83" s="22"/>
      <c r="M83" s="48" t="s">
        <v>716</v>
      </c>
      <c r="N83" s="28"/>
      <c r="O83" s="41">
        <f t="shared" si="1"/>
        <v>13453.346</v>
      </c>
      <c r="P83" s="22"/>
      <c r="Q83" s="22"/>
    </row>
    <row r="84" spans="3:17" ht="15.75" customHeight="1">
      <c r="C84" s="100" t="s">
        <v>261</v>
      </c>
      <c r="D84" s="49" t="s">
        <v>767</v>
      </c>
      <c r="E84" s="192" t="s">
        <v>727</v>
      </c>
      <c r="F84" s="232"/>
      <c r="G84" s="53">
        <v>36556</v>
      </c>
      <c r="H84" s="102">
        <v>37287</v>
      </c>
      <c r="I84" s="3"/>
      <c r="J84" s="35" t="s">
        <v>730</v>
      </c>
      <c r="K84" s="41">
        <v>19381.251</v>
      </c>
      <c r="L84" s="22"/>
      <c r="M84" s="48" t="s">
        <v>716</v>
      </c>
      <c r="N84" s="28"/>
      <c r="O84" s="41">
        <f aca="true" t="shared" si="2" ref="O84:O89">K84-M84</f>
        <v>19381.251</v>
      </c>
      <c r="P84" s="22"/>
      <c r="Q84" s="22"/>
    </row>
    <row r="85" spans="3:17" ht="15.75" customHeight="1">
      <c r="C85" s="44" t="s">
        <v>262</v>
      </c>
      <c r="D85" s="49" t="s">
        <v>774</v>
      </c>
      <c r="E85" s="49" t="s">
        <v>744</v>
      </c>
      <c r="F85" s="232"/>
      <c r="G85" s="53">
        <v>35489</v>
      </c>
      <c r="H85" s="102">
        <v>37315</v>
      </c>
      <c r="I85" s="3"/>
      <c r="J85" s="35" t="s">
        <v>739</v>
      </c>
      <c r="K85" s="41">
        <v>13799.902</v>
      </c>
      <c r="L85" s="22"/>
      <c r="M85" s="48" t="s">
        <v>716</v>
      </c>
      <c r="N85" s="28"/>
      <c r="O85" s="41">
        <f t="shared" si="2"/>
        <v>13799.902</v>
      </c>
      <c r="P85" s="22"/>
      <c r="Q85" s="22"/>
    </row>
    <row r="86" spans="3:17" ht="15.75" customHeight="1">
      <c r="C86" s="100" t="s">
        <v>263</v>
      </c>
      <c r="D86" s="49" t="s">
        <v>768</v>
      </c>
      <c r="E86" s="49" t="s">
        <v>749</v>
      </c>
      <c r="F86" s="232"/>
      <c r="G86" s="53">
        <v>36585</v>
      </c>
      <c r="H86" s="102">
        <v>37315</v>
      </c>
      <c r="I86" s="3"/>
      <c r="J86" s="35" t="s">
        <v>739</v>
      </c>
      <c r="K86" s="41">
        <v>16563.375</v>
      </c>
      <c r="L86" s="22"/>
      <c r="M86" s="48" t="s">
        <v>716</v>
      </c>
      <c r="N86" s="28"/>
      <c r="O86" s="41">
        <f t="shared" si="2"/>
        <v>16563.375</v>
      </c>
      <c r="P86" s="22"/>
      <c r="Q86" s="22"/>
    </row>
    <row r="87" spans="3:17" ht="15.75" customHeight="1">
      <c r="C87" s="100" t="s">
        <v>264</v>
      </c>
      <c r="D87" s="49" t="s">
        <v>726</v>
      </c>
      <c r="E87" s="49" t="s">
        <v>784</v>
      </c>
      <c r="F87" s="232"/>
      <c r="G87" s="53">
        <v>35520</v>
      </c>
      <c r="H87" s="102">
        <v>37346</v>
      </c>
      <c r="I87" s="3"/>
      <c r="J87" s="35" t="s">
        <v>742</v>
      </c>
      <c r="K87" s="41">
        <v>14301.31</v>
      </c>
      <c r="L87" s="22"/>
      <c r="M87" s="48" t="s">
        <v>716</v>
      </c>
      <c r="N87" s="28"/>
      <c r="O87" s="41">
        <f t="shared" si="2"/>
        <v>14301.31</v>
      </c>
      <c r="P87" s="22"/>
      <c r="Q87" s="22"/>
    </row>
    <row r="88" spans="3:17" ht="15.75" customHeight="1">
      <c r="C88" s="100" t="s">
        <v>265</v>
      </c>
      <c r="D88" s="49" t="s">
        <v>771</v>
      </c>
      <c r="E88" s="49" t="s">
        <v>749</v>
      </c>
      <c r="F88" s="232"/>
      <c r="G88" s="53">
        <v>36616</v>
      </c>
      <c r="H88" s="102">
        <v>37346</v>
      </c>
      <c r="I88" s="3"/>
      <c r="J88" s="35" t="s">
        <v>742</v>
      </c>
      <c r="K88" s="41">
        <v>17237.943</v>
      </c>
      <c r="L88" s="22"/>
      <c r="M88" s="48" t="s">
        <v>716</v>
      </c>
      <c r="N88" s="28"/>
      <c r="O88" s="41">
        <f t="shared" si="2"/>
        <v>17237.943</v>
      </c>
      <c r="P88" s="22" t="s">
        <v>672</v>
      </c>
      <c r="Q88" s="22"/>
    </row>
    <row r="89" spans="3:17" ht="15.75" customHeight="1">
      <c r="C89" s="100" t="s">
        <v>266</v>
      </c>
      <c r="D89" s="49" t="s">
        <v>745</v>
      </c>
      <c r="E89" s="49" t="s">
        <v>784</v>
      </c>
      <c r="F89" s="232"/>
      <c r="G89" s="53">
        <v>35550</v>
      </c>
      <c r="H89" s="102">
        <v>37376</v>
      </c>
      <c r="I89" s="3"/>
      <c r="J89" s="35" t="s">
        <v>750</v>
      </c>
      <c r="K89" s="41">
        <v>14474.673</v>
      </c>
      <c r="L89" s="22"/>
      <c r="M89" s="48" t="s">
        <v>716</v>
      </c>
      <c r="N89" s="28"/>
      <c r="O89" s="41">
        <f t="shared" si="2"/>
        <v>14474.673</v>
      </c>
      <c r="P89" s="22"/>
      <c r="Q89" s="22"/>
    </row>
    <row r="90" spans="1:16" ht="15.75" thickBot="1">
      <c r="A90" s="113"/>
      <c r="B90" s="113"/>
      <c r="C90" s="113"/>
      <c r="D90" s="113"/>
      <c r="E90" s="113"/>
      <c r="F90" s="113"/>
      <c r="G90" s="113"/>
      <c r="H90" s="113"/>
      <c r="I90" s="113"/>
      <c r="J90" s="114"/>
      <c r="K90" s="113"/>
      <c r="L90" s="113"/>
      <c r="M90" s="113"/>
      <c r="N90" s="113"/>
      <c r="O90" s="113"/>
      <c r="P90" s="113"/>
    </row>
    <row r="91" spans="1:16" ht="16.5" thickTop="1">
      <c r="A91" s="107"/>
      <c r="B91" s="2" t="s">
        <v>205</v>
      </c>
      <c r="C91" s="2"/>
      <c r="D91" s="3"/>
      <c r="E91" s="3"/>
      <c r="F91" s="3"/>
      <c r="G91" s="3"/>
      <c r="H91" s="3"/>
      <c r="I91" s="30"/>
      <c r="J91" s="3"/>
      <c r="K91" s="3"/>
      <c r="L91" s="3"/>
      <c r="M91" s="3"/>
      <c r="N91" s="3"/>
      <c r="O91" s="3"/>
      <c r="P91" s="108">
        <v>3</v>
      </c>
    </row>
    <row r="92" spans="1:16" ht="10.5" customHeight="1" thickBot="1">
      <c r="A92" s="2"/>
      <c r="B92" s="2"/>
      <c r="C92" s="2"/>
      <c r="D92" s="3"/>
      <c r="E92" s="3"/>
      <c r="F92" s="3"/>
      <c r="G92" s="3"/>
      <c r="H92" s="3"/>
      <c r="I92" s="30"/>
      <c r="K92" s="3"/>
      <c r="L92" s="3"/>
      <c r="M92" s="3"/>
      <c r="N92" s="3"/>
      <c r="O92" s="3"/>
      <c r="P92" s="2"/>
    </row>
    <row r="93" spans="1:16" ht="15.75" customHeight="1" thickTop="1">
      <c r="A93" s="33"/>
      <c r="B93" s="33"/>
      <c r="C93" s="33"/>
      <c r="D93" s="33"/>
      <c r="E93" s="33"/>
      <c r="F93" s="33"/>
      <c r="G93" s="27"/>
      <c r="H93" s="27"/>
      <c r="I93" s="34"/>
      <c r="J93" s="78"/>
      <c r="K93" s="27"/>
      <c r="L93" s="33"/>
      <c r="M93" s="33"/>
      <c r="N93" s="33"/>
      <c r="O93" s="33"/>
      <c r="P93" s="33"/>
    </row>
    <row r="94" spans="3:16" ht="15.75" customHeight="1">
      <c r="C94" s="49"/>
      <c r="G94" s="17" t="s">
        <v>702</v>
      </c>
      <c r="H94" s="17" t="s">
        <v>703</v>
      </c>
      <c r="I94" s="30"/>
      <c r="J94" s="35" t="s">
        <v>704</v>
      </c>
      <c r="K94" s="17" t="s">
        <v>705</v>
      </c>
      <c r="L94" s="3"/>
      <c r="M94" s="3"/>
      <c r="N94" s="3"/>
      <c r="O94" s="3"/>
      <c r="P94" s="3"/>
    </row>
    <row r="95" spans="1:11" ht="15.75" customHeight="1">
      <c r="A95" s="3" t="s">
        <v>706</v>
      </c>
      <c r="B95" s="3"/>
      <c r="C95" s="3"/>
      <c r="D95" s="3"/>
      <c r="E95" s="3"/>
      <c r="F95" s="3"/>
      <c r="G95" s="17" t="s">
        <v>707</v>
      </c>
      <c r="H95" s="17" t="s">
        <v>708</v>
      </c>
      <c r="I95" s="30"/>
      <c r="J95" s="35" t="s">
        <v>709</v>
      </c>
      <c r="K95" s="15"/>
    </row>
    <row r="96" spans="1:16" ht="16.5" customHeight="1">
      <c r="A96" s="16"/>
      <c r="B96" s="16"/>
      <c r="C96" s="16"/>
      <c r="D96" s="16"/>
      <c r="E96" s="16"/>
      <c r="F96" s="16"/>
      <c r="G96" s="36"/>
      <c r="H96" s="36"/>
      <c r="I96" s="37"/>
      <c r="J96" s="71"/>
      <c r="K96" s="38" t="s">
        <v>710</v>
      </c>
      <c r="L96" s="39"/>
      <c r="M96" s="38" t="s">
        <v>711</v>
      </c>
      <c r="N96" s="39"/>
      <c r="O96" s="38" t="s">
        <v>675</v>
      </c>
      <c r="P96" s="39"/>
    </row>
    <row r="97" spans="7:15" ht="15.75" customHeight="1">
      <c r="G97" s="15"/>
      <c r="H97" s="15"/>
      <c r="I97" s="32"/>
      <c r="J97" s="35"/>
      <c r="K97" s="15"/>
      <c r="M97" s="15"/>
      <c r="O97" s="15"/>
    </row>
    <row r="98" spans="1:16" ht="18" customHeight="1">
      <c r="A98" s="64" t="s">
        <v>600</v>
      </c>
      <c r="B98" s="64"/>
      <c r="G98" s="19"/>
      <c r="H98" s="19"/>
      <c r="I98" s="40"/>
      <c r="J98" s="79"/>
      <c r="K98" s="15"/>
      <c r="M98" s="15"/>
      <c r="O98" s="41"/>
      <c r="P98" s="22"/>
    </row>
    <row r="99" spans="2:16" ht="17.25" customHeight="1">
      <c r="B99" s="10" t="s">
        <v>714</v>
      </c>
      <c r="D99" s="3" t="s">
        <v>721</v>
      </c>
      <c r="E99" s="3" t="s">
        <v>722</v>
      </c>
      <c r="F99" s="3"/>
      <c r="G99" s="81"/>
      <c r="I99" s="43"/>
      <c r="J99" s="79"/>
      <c r="K99" s="15"/>
      <c r="M99" s="15"/>
      <c r="O99" s="41"/>
      <c r="P99" s="22"/>
    </row>
    <row r="100" spans="3:17" ht="15.75" customHeight="1">
      <c r="C100" s="44" t="s">
        <v>852</v>
      </c>
      <c r="D100" s="49" t="s">
        <v>778</v>
      </c>
      <c r="E100" s="192" t="s">
        <v>727</v>
      </c>
      <c r="F100" s="232"/>
      <c r="G100" s="53">
        <v>36647</v>
      </c>
      <c r="H100" s="102">
        <v>37376</v>
      </c>
      <c r="I100" s="3"/>
      <c r="J100" s="35" t="s">
        <v>750</v>
      </c>
      <c r="K100" s="41">
        <v>17390.9</v>
      </c>
      <c r="L100" s="22"/>
      <c r="M100" s="48" t="s">
        <v>716</v>
      </c>
      <c r="N100" s="28"/>
      <c r="O100" s="41">
        <f aca="true" t="shared" si="3" ref="O100:O105">K100-M100</f>
        <v>17390.9</v>
      </c>
      <c r="P100" s="22"/>
      <c r="Q100" s="22"/>
    </row>
    <row r="101" spans="3:17" ht="15.75" customHeight="1">
      <c r="C101" s="44" t="s">
        <v>320</v>
      </c>
      <c r="D101" s="49" t="s">
        <v>733</v>
      </c>
      <c r="E101" s="49" t="s">
        <v>772</v>
      </c>
      <c r="F101" s="232"/>
      <c r="G101" s="53">
        <v>33739</v>
      </c>
      <c r="H101" s="47">
        <v>37391</v>
      </c>
      <c r="I101" s="3"/>
      <c r="J101" s="35" t="s">
        <v>754</v>
      </c>
      <c r="K101" s="41">
        <v>11714.397</v>
      </c>
      <c r="L101" s="22"/>
      <c r="M101" s="48" t="s">
        <v>716</v>
      </c>
      <c r="N101" s="28"/>
      <c r="O101" s="41">
        <f t="shared" si="3"/>
        <v>11714.397</v>
      </c>
      <c r="P101" s="22"/>
      <c r="Q101" s="22"/>
    </row>
    <row r="102" spans="3:17" ht="15.75" customHeight="1">
      <c r="C102" s="44" t="s">
        <v>268</v>
      </c>
      <c r="D102" s="49" t="s">
        <v>761</v>
      </c>
      <c r="E102" s="49" t="s">
        <v>749</v>
      </c>
      <c r="F102" s="232"/>
      <c r="G102" s="53">
        <v>35583</v>
      </c>
      <c r="H102" s="47">
        <v>37407</v>
      </c>
      <c r="I102" s="3"/>
      <c r="J102" s="35" t="s">
        <v>758</v>
      </c>
      <c r="K102" s="41">
        <v>13503.89</v>
      </c>
      <c r="L102" s="22"/>
      <c r="M102" s="48" t="s">
        <v>716</v>
      </c>
      <c r="N102" s="28"/>
      <c r="O102" s="41">
        <f t="shared" si="3"/>
        <v>13503.89</v>
      </c>
      <c r="P102" s="22"/>
      <c r="Q102" s="22"/>
    </row>
    <row r="103" spans="3:17" ht="15.75" customHeight="1">
      <c r="C103" s="100" t="s">
        <v>269</v>
      </c>
      <c r="D103" s="49" t="s">
        <v>723</v>
      </c>
      <c r="E103" s="49" t="s">
        <v>784</v>
      </c>
      <c r="F103" s="232"/>
      <c r="G103" s="53">
        <v>36677</v>
      </c>
      <c r="H103" s="47">
        <v>37407</v>
      </c>
      <c r="I103" s="3"/>
      <c r="J103" s="35" t="s">
        <v>758</v>
      </c>
      <c r="K103" s="41">
        <v>14871.823</v>
      </c>
      <c r="L103" s="22"/>
      <c r="M103" s="48" t="s">
        <v>716</v>
      </c>
      <c r="N103" s="28"/>
      <c r="O103" s="41">
        <f t="shared" si="3"/>
        <v>14871.823</v>
      </c>
      <c r="P103" s="22"/>
      <c r="Q103" s="22"/>
    </row>
    <row r="104" spans="3:17" ht="15.75" customHeight="1">
      <c r="C104" s="100" t="s">
        <v>270</v>
      </c>
      <c r="D104" s="49" t="s">
        <v>770</v>
      </c>
      <c r="E104" s="49" t="s">
        <v>744</v>
      </c>
      <c r="F104" s="232"/>
      <c r="G104" s="53">
        <v>35611</v>
      </c>
      <c r="H104" s="47">
        <v>37437</v>
      </c>
      <c r="I104" s="3"/>
      <c r="J104" s="35" t="s">
        <v>724</v>
      </c>
      <c r="K104" s="41">
        <v>13058.694</v>
      </c>
      <c r="L104" s="22"/>
      <c r="M104" s="48" t="s">
        <v>716</v>
      </c>
      <c r="N104" s="28"/>
      <c r="O104" s="41">
        <f t="shared" si="3"/>
        <v>13058.694</v>
      </c>
      <c r="P104" s="22"/>
      <c r="Q104" s="22"/>
    </row>
    <row r="105" spans="3:17" ht="15.75" customHeight="1">
      <c r="C105" s="100" t="s">
        <v>271</v>
      </c>
      <c r="D105" s="49" t="s">
        <v>736</v>
      </c>
      <c r="E105" s="49" t="s">
        <v>727</v>
      </c>
      <c r="F105" s="232"/>
      <c r="G105" s="53">
        <v>36707</v>
      </c>
      <c r="H105" s="47">
        <v>37437</v>
      </c>
      <c r="I105" s="3"/>
      <c r="J105" s="35" t="s">
        <v>724</v>
      </c>
      <c r="K105" s="41">
        <v>14320.609</v>
      </c>
      <c r="L105" s="22"/>
      <c r="M105" s="48" t="s">
        <v>716</v>
      </c>
      <c r="N105" s="28"/>
      <c r="O105" s="41">
        <f t="shared" si="3"/>
        <v>14320.609</v>
      </c>
      <c r="P105" s="22"/>
      <c r="Q105" s="22"/>
    </row>
    <row r="106" spans="3:17" ht="15.75" customHeight="1">
      <c r="C106" s="44" t="s">
        <v>432</v>
      </c>
      <c r="D106" s="49" t="s">
        <v>737</v>
      </c>
      <c r="E106" s="101" t="s">
        <v>760</v>
      </c>
      <c r="F106" s="232"/>
      <c r="G106" s="53">
        <v>35642</v>
      </c>
      <c r="H106" s="47">
        <v>37468</v>
      </c>
      <c r="I106" s="3"/>
      <c r="J106" s="35" t="s">
        <v>730</v>
      </c>
      <c r="K106" s="41">
        <v>12231.057</v>
      </c>
      <c r="L106" s="22"/>
      <c r="M106" s="48" t="s">
        <v>716</v>
      </c>
      <c r="N106" s="28"/>
      <c r="O106" s="41">
        <f aca="true" t="shared" si="4" ref="O106:O144">K106-M106</f>
        <v>12231.057</v>
      </c>
      <c r="P106" s="22"/>
      <c r="Q106" s="22"/>
    </row>
    <row r="107" spans="3:17" ht="15.75" customHeight="1">
      <c r="C107" s="100" t="s">
        <v>272</v>
      </c>
      <c r="D107" s="49" t="s">
        <v>755</v>
      </c>
      <c r="E107" s="101" t="s">
        <v>78</v>
      </c>
      <c r="F107" s="232"/>
      <c r="G107" s="53">
        <v>36738</v>
      </c>
      <c r="H107" s="47">
        <v>37468</v>
      </c>
      <c r="I107" s="3"/>
      <c r="J107" s="35" t="s">
        <v>730</v>
      </c>
      <c r="K107" s="41">
        <v>15057.9</v>
      </c>
      <c r="L107" s="22"/>
      <c r="M107" s="48" t="s">
        <v>716</v>
      </c>
      <c r="N107" s="28"/>
      <c r="O107" s="41">
        <f>K107-M107</f>
        <v>15057.9</v>
      </c>
      <c r="P107" s="22"/>
      <c r="Q107" s="22"/>
    </row>
    <row r="108" spans="3:17" ht="15.75" customHeight="1">
      <c r="C108" s="44" t="s">
        <v>273</v>
      </c>
      <c r="D108" s="49" t="s">
        <v>752</v>
      </c>
      <c r="E108" s="49" t="s">
        <v>727</v>
      </c>
      <c r="F108" s="232"/>
      <c r="G108" s="53">
        <v>33833</v>
      </c>
      <c r="H108" s="47">
        <v>37483</v>
      </c>
      <c r="I108" s="3"/>
      <c r="J108" s="35" t="s">
        <v>735</v>
      </c>
      <c r="K108" s="41">
        <v>23859.015</v>
      </c>
      <c r="L108" s="22"/>
      <c r="M108" s="48" t="s">
        <v>716</v>
      </c>
      <c r="N108" s="28"/>
      <c r="O108" s="41">
        <f t="shared" si="4"/>
        <v>23859.015</v>
      </c>
      <c r="P108" s="22"/>
      <c r="Q108" s="22"/>
    </row>
    <row r="109" spans="3:17" ht="15.75" customHeight="1">
      <c r="C109" s="44" t="s">
        <v>274</v>
      </c>
      <c r="D109" s="49" t="s">
        <v>741</v>
      </c>
      <c r="E109" s="49" t="s">
        <v>744</v>
      </c>
      <c r="F109" s="232"/>
      <c r="G109" s="53">
        <v>35675</v>
      </c>
      <c r="H109" s="47">
        <v>37499</v>
      </c>
      <c r="I109" s="3"/>
      <c r="J109" s="35" t="s">
        <v>739</v>
      </c>
      <c r="K109" s="41">
        <v>12731.742</v>
      </c>
      <c r="L109" s="22"/>
      <c r="M109" s="48" t="s">
        <v>716</v>
      </c>
      <c r="N109" s="28"/>
      <c r="O109" s="41">
        <f t="shared" si="4"/>
        <v>12731.742</v>
      </c>
      <c r="P109" s="22"/>
      <c r="Q109" s="22"/>
    </row>
    <row r="110" spans="3:17" ht="15.75" customHeight="1">
      <c r="C110" s="100" t="s">
        <v>275</v>
      </c>
      <c r="D110" s="49" t="s">
        <v>766</v>
      </c>
      <c r="E110" s="49" t="s">
        <v>781</v>
      </c>
      <c r="F110" s="232"/>
      <c r="G110" s="53">
        <v>36769</v>
      </c>
      <c r="H110" s="47">
        <v>37499</v>
      </c>
      <c r="I110" s="3"/>
      <c r="J110" s="35" t="s">
        <v>739</v>
      </c>
      <c r="K110" s="41">
        <v>15072.214</v>
      </c>
      <c r="L110" s="22"/>
      <c r="M110" s="48" t="s">
        <v>716</v>
      </c>
      <c r="N110" s="28"/>
      <c r="O110" s="41">
        <f t="shared" si="4"/>
        <v>15072.214</v>
      </c>
      <c r="P110" s="22"/>
      <c r="Q110" s="22"/>
    </row>
    <row r="111" spans="3:17" ht="15.75" customHeight="1">
      <c r="C111" s="44" t="s">
        <v>276</v>
      </c>
      <c r="D111" s="49" t="s">
        <v>748</v>
      </c>
      <c r="E111" s="49" t="s">
        <v>732</v>
      </c>
      <c r="F111" s="232"/>
      <c r="G111" s="53">
        <v>35703</v>
      </c>
      <c r="H111" s="47">
        <v>37529</v>
      </c>
      <c r="I111" s="3"/>
      <c r="J111" s="35" t="s">
        <v>742</v>
      </c>
      <c r="K111" s="41">
        <v>12806.814</v>
      </c>
      <c r="L111" s="22"/>
      <c r="M111" s="48" t="s">
        <v>716</v>
      </c>
      <c r="N111" s="28"/>
      <c r="O111" s="41">
        <f>K111-M111</f>
        <v>12806.814</v>
      </c>
      <c r="P111" s="22"/>
      <c r="Q111" s="22"/>
    </row>
    <row r="112" spans="3:17" ht="15.75" customHeight="1">
      <c r="C112" s="44" t="s">
        <v>277</v>
      </c>
      <c r="D112" s="49" t="s">
        <v>776</v>
      </c>
      <c r="E112" s="49">
        <v>6</v>
      </c>
      <c r="F112" s="232"/>
      <c r="G112" s="53">
        <v>36801</v>
      </c>
      <c r="H112" s="47">
        <v>37529</v>
      </c>
      <c r="I112" s="3"/>
      <c r="J112" s="35" t="s">
        <v>742</v>
      </c>
      <c r="K112" s="41">
        <v>15144.115</v>
      </c>
      <c r="L112" s="22"/>
      <c r="M112" s="48" t="s">
        <v>716</v>
      </c>
      <c r="N112" s="28"/>
      <c r="O112" s="41">
        <f>K112-M112</f>
        <v>15144.115</v>
      </c>
      <c r="P112" s="22"/>
      <c r="Q112" s="22"/>
    </row>
    <row r="113" spans="3:17" ht="15.75" customHeight="1">
      <c r="C113" s="44" t="s">
        <v>278</v>
      </c>
      <c r="D113" s="49" t="s">
        <v>756</v>
      </c>
      <c r="E113" s="49" t="s">
        <v>725</v>
      </c>
      <c r="F113" s="232"/>
      <c r="G113" s="53">
        <v>35734</v>
      </c>
      <c r="H113" s="47">
        <v>37560</v>
      </c>
      <c r="I113" s="3"/>
      <c r="J113" s="35" t="s">
        <v>750</v>
      </c>
      <c r="K113" s="41">
        <v>26593.882</v>
      </c>
      <c r="L113" s="22"/>
      <c r="M113" s="48" t="s">
        <v>716</v>
      </c>
      <c r="N113" s="28"/>
      <c r="O113" s="41">
        <f>K113-M113</f>
        <v>26593.882</v>
      </c>
      <c r="P113" s="22"/>
      <c r="Q113" s="22"/>
    </row>
    <row r="114" spans="3:17" ht="15.75" customHeight="1">
      <c r="C114" s="44" t="s">
        <v>279</v>
      </c>
      <c r="D114" s="49" t="s">
        <v>759</v>
      </c>
      <c r="E114" s="49" t="s">
        <v>725</v>
      </c>
      <c r="F114" s="232"/>
      <c r="G114" s="53">
        <v>35765</v>
      </c>
      <c r="H114" s="47">
        <v>37590</v>
      </c>
      <c r="I114" s="3"/>
      <c r="J114" s="35" t="s">
        <v>758</v>
      </c>
      <c r="K114" s="41">
        <v>12120.58</v>
      </c>
      <c r="L114" s="22"/>
      <c r="M114" s="48" t="s">
        <v>716</v>
      </c>
      <c r="N114" s="28"/>
      <c r="O114" s="41">
        <f t="shared" si="4"/>
        <v>12120.58</v>
      </c>
      <c r="P114" s="22"/>
      <c r="Q114" s="22"/>
    </row>
    <row r="115" spans="3:17" ht="15.75" customHeight="1">
      <c r="C115" s="44" t="s">
        <v>280</v>
      </c>
      <c r="D115" s="49" t="s">
        <v>740</v>
      </c>
      <c r="E115" s="49" t="s">
        <v>773</v>
      </c>
      <c r="F115" s="232"/>
      <c r="G115" s="53">
        <v>36860</v>
      </c>
      <c r="H115" s="47">
        <v>37590</v>
      </c>
      <c r="I115" s="3"/>
      <c r="J115" s="35" t="s">
        <v>758</v>
      </c>
      <c r="K115" s="41">
        <v>15058.723</v>
      </c>
      <c r="L115" s="22"/>
      <c r="M115" s="48" t="s">
        <v>716</v>
      </c>
      <c r="N115" s="28"/>
      <c r="O115" s="41">
        <f t="shared" si="4"/>
        <v>15058.723</v>
      </c>
      <c r="P115" s="22"/>
      <c r="Q115" s="22"/>
    </row>
    <row r="116" spans="3:17" ht="15.75" customHeight="1">
      <c r="C116" s="44" t="s">
        <v>281</v>
      </c>
      <c r="D116" s="49" t="s">
        <v>762</v>
      </c>
      <c r="E116" s="49" t="s">
        <v>773</v>
      </c>
      <c r="F116" s="232"/>
      <c r="G116" s="53">
        <v>35795</v>
      </c>
      <c r="H116" s="47">
        <v>37621</v>
      </c>
      <c r="I116" s="3"/>
      <c r="J116" s="35" t="s">
        <v>724</v>
      </c>
      <c r="K116" s="41">
        <v>12052.433</v>
      </c>
      <c r="L116" s="22"/>
      <c r="M116" s="48" t="s">
        <v>716</v>
      </c>
      <c r="N116" s="28"/>
      <c r="O116" s="41">
        <f t="shared" si="4"/>
        <v>12052.433</v>
      </c>
      <c r="P116" s="22"/>
      <c r="Q116" s="22"/>
    </row>
    <row r="117" spans="3:17" ht="15.75" customHeight="1">
      <c r="C117" s="44" t="s">
        <v>841</v>
      </c>
      <c r="D117" s="49" t="s">
        <v>743</v>
      </c>
      <c r="E117" s="192" t="s">
        <v>842</v>
      </c>
      <c r="F117" s="232"/>
      <c r="G117" s="53">
        <v>36893</v>
      </c>
      <c r="H117" s="47">
        <v>37621</v>
      </c>
      <c r="I117" s="3"/>
      <c r="J117" s="183" t="s">
        <v>724</v>
      </c>
      <c r="K117" s="41">
        <v>14821.852</v>
      </c>
      <c r="L117" s="22"/>
      <c r="M117" s="48" t="s">
        <v>716</v>
      </c>
      <c r="N117" s="28"/>
      <c r="O117" s="41">
        <f>K117-M117</f>
        <v>14821.852</v>
      </c>
      <c r="P117" s="22"/>
      <c r="Q117" s="22"/>
    </row>
    <row r="118" spans="3:17" ht="15.75" customHeight="1">
      <c r="C118" s="44" t="s">
        <v>282</v>
      </c>
      <c r="D118" s="49" t="s">
        <v>764</v>
      </c>
      <c r="E118" s="101" t="s">
        <v>738</v>
      </c>
      <c r="F118" s="232"/>
      <c r="G118" s="53">
        <v>35828</v>
      </c>
      <c r="H118" s="47">
        <v>37652</v>
      </c>
      <c r="I118" s="3"/>
      <c r="J118" s="35" t="s">
        <v>730</v>
      </c>
      <c r="K118" s="41">
        <v>13100.64</v>
      </c>
      <c r="L118" s="22"/>
      <c r="M118" s="48" t="s">
        <v>716</v>
      </c>
      <c r="N118" s="28"/>
      <c r="O118" s="41">
        <f t="shared" si="4"/>
        <v>13100.64</v>
      </c>
      <c r="P118" s="22"/>
      <c r="Q118" s="22"/>
    </row>
    <row r="119" spans="3:17" ht="15.75" customHeight="1">
      <c r="C119" s="44" t="s">
        <v>845</v>
      </c>
      <c r="D119" s="49" t="s">
        <v>741</v>
      </c>
      <c r="E119" s="101" t="s">
        <v>787</v>
      </c>
      <c r="F119" s="232"/>
      <c r="G119" s="53">
        <v>36922</v>
      </c>
      <c r="H119" s="47">
        <v>37652</v>
      </c>
      <c r="I119" s="3"/>
      <c r="J119" s="183" t="s">
        <v>730</v>
      </c>
      <c r="K119" s="41">
        <v>15452.421</v>
      </c>
      <c r="L119" s="22"/>
      <c r="M119" s="48" t="s">
        <v>716</v>
      </c>
      <c r="N119" s="28"/>
      <c r="O119" s="41">
        <f>K119-M119</f>
        <v>15452.421</v>
      </c>
      <c r="P119" s="22"/>
      <c r="Q119" s="22"/>
    </row>
    <row r="120" spans="3:17" ht="15.75" customHeight="1">
      <c r="C120" s="44" t="s">
        <v>283</v>
      </c>
      <c r="D120" s="49" t="s">
        <v>733</v>
      </c>
      <c r="E120" s="49" t="s">
        <v>744</v>
      </c>
      <c r="F120" s="232"/>
      <c r="G120" s="53">
        <v>34016</v>
      </c>
      <c r="H120" s="47">
        <v>37667</v>
      </c>
      <c r="I120" s="3"/>
      <c r="J120" s="35" t="s">
        <v>735</v>
      </c>
      <c r="K120" s="41">
        <v>23562.691</v>
      </c>
      <c r="L120" s="22"/>
      <c r="M120" s="48" t="s">
        <v>716</v>
      </c>
      <c r="N120" s="28"/>
      <c r="O120" s="41">
        <f t="shared" si="4"/>
        <v>23562.691</v>
      </c>
      <c r="P120" s="22"/>
      <c r="Q120" s="22"/>
    </row>
    <row r="121" spans="3:17" ht="15.75" customHeight="1">
      <c r="C121" s="44" t="s">
        <v>284</v>
      </c>
      <c r="D121" s="49" t="s">
        <v>774</v>
      </c>
      <c r="E121" s="101" t="s">
        <v>738</v>
      </c>
      <c r="F121" s="232"/>
      <c r="G121" s="53">
        <v>35856</v>
      </c>
      <c r="H121" s="47">
        <v>37680</v>
      </c>
      <c r="I121" s="3"/>
      <c r="J121" s="35" t="s">
        <v>739</v>
      </c>
      <c r="K121" s="41">
        <v>13670.354</v>
      </c>
      <c r="L121" s="22"/>
      <c r="M121" s="48" t="s">
        <v>716</v>
      </c>
      <c r="N121" s="28"/>
      <c r="O121" s="41">
        <f t="shared" si="4"/>
        <v>13670.354</v>
      </c>
      <c r="P121" s="22"/>
      <c r="Q121" s="22"/>
    </row>
    <row r="122" spans="3:17" ht="15.75" customHeight="1">
      <c r="C122" s="44" t="s">
        <v>149</v>
      </c>
      <c r="D122" s="49" t="s">
        <v>748</v>
      </c>
      <c r="E122" s="192" t="s">
        <v>181</v>
      </c>
      <c r="F122" s="232"/>
      <c r="G122" s="53">
        <v>36950</v>
      </c>
      <c r="H122" s="47">
        <v>37680</v>
      </c>
      <c r="I122" s="3"/>
      <c r="J122" s="35" t="s">
        <v>739</v>
      </c>
      <c r="K122" s="41">
        <v>14686.746</v>
      </c>
      <c r="L122" s="22"/>
      <c r="M122" s="48" t="s">
        <v>716</v>
      </c>
      <c r="N122" s="28"/>
      <c r="O122" s="41">
        <f t="shared" si="4"/>
        <v>14686.746</v>
      </c>
      <c r="P122" s="22"/>
      <c r="Q122" s="22"/>
    </row>
    <row r="123" spans="3:17" ht="15.75" customHeight="1">
      <c r="C123" s="44" t="s">
        <v>285</v>
      </c>
      <c r="D123" s="49" t="s">
        <v>726</v>
      </c>
      <c r="E123" s="101" t="s">
        <v>738</v>
      </c>
      <c r="F123" s="232"/>
      <c r="G123" s="53">
        <v>35885</v>
      </c>
      <c r="H123" s="47">
        <v>37711</v>
      </c>
      <c r="I123" s="3"/>
      <c r="J123" s="35" t="s">
        <v>742</v>
      </c>
      <c r="K123" s="41">
        <v>14172.892</v>
      </c>
      <c r="L123" s="22"/>
      <c r="M123" s="48" t="s">
        <v>716</v>
      </c>
      <c r="N123" s="28"/>
      <c r="O123" s="41">
        <f t="shared" si="4"/>
        <v>14172.892</v>
      </c>
      <c r="P123" s="22"/>
      <c r="Q123" s="22"/>
    </row>
    <row r="124" spans="3:17" ht="15.75" customHeight="1">
      <c r="C124" s="44" t="s">
        <v>286</v>
      </c>
      <c r="D124" s="49" t="s">
        <v>745</v>
      </c>
      <c r="E124" s="101" t="s">
        <v>725</v>
      </c>
      <c r="F124" s="232"/>
      <c r="G124" s="53">
        <v>35915</v>
      </c>
      <c r="H124" s="47">
        <v>37741</v>
      </c>
      <c r="I124" s="3"/>
      <c r="J124" s="35" t="s">
        <v>750</v>
      </c>
      <c r="K124" s="41">
        <v>12573.248</v>
      </c>
      <c r="L124" s="22"/>
      <c r="M124" s="48" t="s">
        <v>716</v>
      </c>
      <c r="N124" s="28"/>
      <c r="O124" s="41">
        <f t="shared" si="4"/>
        <v>12573.248</v>
      </c>
      <c r="P124" s="22"/>
      <c r="Q124" s="22"/>
    </row>
    <row r="125" spans="3:17" ht="15.75" customHeight="1">
      <c r="C125" s="100" t="s">
        <v>287</v>
      </c>
      <c r="D125" s="101" t="s">
        <v>761</v>
      </c>
      <c r="E125" s="101" t="s">
        <v>738</v>
      </c>
      <c r="F125" s="232"/>
      <c r="G125" s="53">
        <v>35947</v>
      </c>
      <c r="H125" s="47">
        <v>37772</v>
      </c>
      <c r="I125" s="3"/>
      <c r="J125" s="183" t="s">
        <v>758</v>
      </c>
      <c r="K125" s="41">
        <v>13132.243</v>
      </c>
      <c r="L125" s="22"/>
      <c r="M125" s="48" t="s">
        <v>716</v>
      </c>
      <c r="N125" s="28"/>
      <c r="O125" s="41">
        <f t="shared" si="4"/>
        <v>13132.243</v>
      </c>
      <c r="P125" s="22"/>
      <c r="Q125" s="22"/>
    </row>
    <row r="126" spans="3:17" ht="15.75" customHeight="1">
      <c r="C126" s="100" t="s">
        <v>288</v>
      </c>
      <c r="D126" s="101" t="s">
        <v>770</v>
      </c>
      <c r="E126" s="101" t="s">
        <v>779</v>
      </c>
      <c r="F126" s="232"/>
      <c r="G126" s="53">
        <v>35976</v>
      </c>
      <c r="H126" s="47">
        <v>37802</v>
      </c>
      <c r="I126" s="3"/>
      <c r="J126" s="183" t="s">
        <v>724</v>
      </c>
      <c r="K126" s="41">
        <v>13126.779</v>
      </c>
      <c r="L126" s="22"/>
      <c r="M126" s="48" t="s">
        <v>716</v>
      </c>
      <c r="N126" s="28"/>
      <c r="O126" s="41">
        <f t="shared" si="4"/>
        <v>13126.779</v>
      </c>
      <c r="P126" s="22"/>
      <c r="Q126" s="22"/>
    </row>
    <row r="127" spans="3:17" ht="15.75" customHeight="1">
      <c r="C127" s="44" t="s">
        <v>289</v>
      </c>
      <c r="D127" s="49" t="s">
        <v>752</v>
      </c>
      <c r="E127" s="49" t="s">
        <v>725</v>
      </c>
      <c r="F127" s="232"/>
      <c r="G127" s="53">
        <v>34197</v>
      </c>
      <c r="H127" s="47">
        <v>37848</v>
      </c>
      <c r="I127" s="3"/>
      <c r="J127" s="35" t="s">
        <v>735</v>
      </c>
      <c r="K127" s="41">
        <v>28011.028</v>
      </c>
      <c r="L127" s="22"/>
      <c r="M127" s="48" t="s">
        <v>716</v>
      </c>
      <c r="N127" s="28"/>
      <c r="O127" s="41">
        <f t="shared" si="4"/>
        <v>28011.028</v>
      </c>
      <c r="P127" s="22"/>
      <c r="Q127" s="22"/>
    </row>
    <row r="128" spans="3:16" ht="15.75" customHeight="1">
      <c r="C128" s="100" t="s">
        <v>290</v>
      </c>
      <c r="D128" s="101" t="s">
        <v>729</v>
      </c>
      <c r="E128" s="101" t="s">
        <v>783</v>
      </c>
      <c r="F128" s="232"/>
      <c r="G128" s="53">
        <v>36024</v>
      </c>
      <c r="H128" s="47">
        <v>37848</v>
      </c>
      <c r="I128" s="3"/>
      <c r="J128" s="35" t="s">
        <v>735</v>
      </c>
      <c r="K128" s="41">
        <v>19852.263</v>
      </c>
      <c r="L128" s="22"/>
      <c r="M128" s="48" t="s">
        <v>716</v>
      </c>
      <c r="N128" s="28"/>
      <c r="O128" s="41">
        <f t="shared" si="4"/>
        <v>19852.263</v>
      </c>
      <c r="P128" s="22"/>
    </row>
    <row r="129" spans="3:16" ht="15.75" customHeight="1">
      <c r="C129" s="100" t="s">
        <v>291</v>
      </c>
      <c r="D129" s="49" t="s">
        <v>737</v>
      </c>
      <c r="E129" s="101" t="s">
        <v>785</v>
      </c>
      <c r="F129" s="232"/>
      <c r="G129" s="53">
        <v>36115</v>
      </c>
      <c r="H129" s="47">
        <v>37940</v>
      </c>
      <c r="I129" s="3"/>
      <c r="J129" s="35" t="s">
        <v>754</v>
      </c>
      <c r="K129" s="41">
        <v>18625.785</v>
      </c>
      <c r="L129" s="22"/>
      <c r="M129" s="48" t="s">
        <v>716</v>
      </c>
      <c r="N129" s="28"/>
      <c r="O129" s="41">
        <f t="shared" si="4"/>
        <v>18625.785</v>
      </c>
      <c r="P129" s="156"/>
    </row>
    <row r="130" spans="3:16" ht="15.75" customHeight="1">
      <c r="C130" s="44" t="s">
        <v>292</v>
      </c>
      <c r="D130" s="49" t="s">
        <v>733</v>
      </c>
      <c r="E130" s="49" t="s">
        <v>732</v>
      </c>
      <c r="F130" s="232"/>
      <c r="G130" s="53">
        <v>34380</v>
      </c>
      <c r="H130" s="47">
        <v>38032</v>
      </c>
      <c r="I130" s="3"/>
      <c r="J130" s="35" t="s">
        <v>735</v>
      </c>
      <c r="K130" s="41">
        <v>12955.077</v>
      </c>
      <c r="L130" s="22"/>
      <c r="M130" s="48" t="s">
        <v>716</v>
      </c>
      <c r="N130" s="28"/>
      <c r="O130" s="41">
        <f t="shared" si="4"/>
        <v>12955.077</v>
      </c>
      <c r="P130" s="22"/>
    </row>
    <row r="131" spans="3:16" ht="15.75" customHeight="1">
      <c r="C131" s="100" t="s">
        <v>293</v>
      </c>
      <c r="D131" s="49" t="s">
        <v>726</v>
      </c>
      <c r="E131" s="101" t="s">
        <v>787</v>
      </c>
      <c r="F131" s="232"/>
      <c r="G131" s="53">
        <v>36207</v>
      </c>
      <c r="H131" s="47">
        <v>38032</v>
      </c>
      <c r="I131" s="3"/>
      <c r="J131" s="35" t="s">
        <v>735</v>
      </c>
      <c r="K131" s="41">
        <v>17823.228</v>
      </c>
      <c r="L131" s="22"/>
      <c r="M131" s="48" t="s">
        <v>716</v>
      </c>
      <c r="N131" s="28"/>
      <c r="O131" s="41">
        <f t="shared" si="4"/>
        <v>17823.228</v>
      </c>
      <c r="P131" s="22"/>
    </row>
    <row r="132" spans="3:16" ht="15.75" customHeight="1">
      <c r="C132" s="44" t="s">
        <v>294</v>
      </c>
      <c r="D132" s="49" t="s">
        <v>752</v>
      </c>
      <c r="E132" s="49" t="s">
        <v>786</v>
      </c>
      <c r="F132" s="232"/>
      <c r="G132" s="53">
        <v>34470</v>
      </c>
      <c r="H132" s="47">
        <v>38122</v>
      </c>
      <c r="I132" s="3"/>
      <c r="J132" s="35" t="s">
        <v>754</v>
      </c>
      <c r="K132" s="41">
        <v>14440.372</v>
      </c>
      <c r="L132" s="22"/>
      <c r="M132" s="48" t="s">
        <v>716</v>
      </c>
      <c r="N132" s="28"/>
      <c r="O132" s="41">
        <f t="shared" si="4"/>
        <v>14440.372</v>
      </c>
      <c r="P132" s="22"/>
    </row>
    <row r="133" spans="3:16" ht="15.75" customHeight="1">
      <c r="C133" s="44" t="s">
        <v>295</v>
      </c>
      <c r="D133" s="49" t="s">
        <v>745</v>
      </c>
      <c r="E133" s="227" t="s">
        <v>783</v>
      </c>
      <c r="F133" s="232"/>
      <c r="G133" s="53">
        <v>36297</v>
      </c>
      <c r="H133" s="47">
        <v>38122</v>
      </c>
      <c r="I133" s="3"/>
      <c r="J133" s="35" t="s">
        <v>754</v>
      </c>
      <c r="K133" s="41">
        <v>18925.383</v>
      </c>
      <c r="L133" s="22"/>
      <c r="M133" s="48" t="s">
        <v>716</v>
      </c>
      <c r="N133" s="28"/>
      <c r="O133" s="41">
        <f t="shared" si="4"/>
        <v>18925.383</v>
      </c>
      <c r="P133" s="22"/>
    </row>
    <row r="134" spans="3:16" ht="15.75" customHeight="1">
      <c r="C134" s="44" t="s">
        <v>296</v>
      </c>
      <c r="D134" s="49" t="s">
        <v>764</v>
      </c>
      <c r="E134" s="49" t="s">
        <v>786</v>
      </c>
      <c r="F134" s="232"/>
      <c r="G134" s="53">
        <v>34561</v>
      </c>
      <c r="H134" s="47">
        <v>38214</v>
      </c>
      <c r="I134" s="3"/>
      <c r="J134" s="35" t="s">
        <v>735</v>
      </c>
      <c r="K134" s="41">
        <v>13346.467</v>
      </c>
      <c r="L134" s="22"/>
      <c r="M134" s="48" t="s">
        <v>716</v>
      </c>
      <c r="N134" s="28"/>
      <c r="O134" s="41">
        <f t="shared" si="4"/>
        <v>13346.467</v>
      </c>
      <c r="P134" s="22"/>
    </row>
    <row r="135" spans="3:16" ht="15.75" customHeight="1">
      <c r="C135" s="44" t="s">
        <v>297</v>
      </c>
      <c r="D135" s="49" t="s">
        <v>761</v>
      </c>
      <c r="E135" s="101" t="s">
        <v>760</v>
      </c>
      <c r="F135" s="232"/>
      <c r="G135" s="53">
        <v>36388</v>
      </c>
      <c r="H135" s="47">
        <v>38214</v>
      </c>
      <c r="I135" s="3"/>
      <c r="J135" s="35" t="s">
        <v>735</v>
      </c>
      <c r="K135" s="41">
        <v>18089.806</v>
      </c>
      <c r="L135" s="22"/>
      <c r="M135" s="48" t="s">
        <v>716</v>
      </c>
      <c r="N135" s="28"/>
      <c r="O135" s="41">
        <f t="shared" si="4"/>
        <v>18089.806</v>
      </c>
      <c r="P135" s="22"/>
    </row>
    <row r="136" spans="3:16" ht="15.75" customHeight="1">
      <c r="C136" s="44" t="s">
        <v>298</v>
      </c>
      <c r="D136" s="49" t="s">
        <v>774</v>
      </c>
      <c r="E136" s="49" t="s">
        <v>775</v>
      </c>
      <c r="F136" s="232"/>
      <c r="G136" s="53">
        <v>34653</v>
      </c>
      <c r="H136" s="47">
        <v>38306</v>
      </c>
      <c r="I136" s="3"/>
      <c r="J136" s="35" t="s">
        <v>754</v>
      </c>
      <c r="K136" s="41">
        <v>14373.76</v>
      </c>
      <c r="L136" s="22"/>
      <c r="M136" s="48" t="s">
        <v>716</v>
      </c>
      <c r="N136" s="28"/>
      <c r="O136" s="41">
        <f t="shared" si="4"/>
        <v>14373.76</v>
      </c>
      <c r="P136" s="22"/>
    </row>
    <row r="137" spans="3:16" ht="15.75" customHeight="1">
      <c r="C137" s="44" t="s">
        <v>299</v>
      </c>
      <c r="D137" s="49" t="s">
        <v>770</v>
      </c>
      <c r="E137" s="49" t="s">
        <v>732</v>
      </c>
      <c r="F137" s="232"/>
      <c r="G137" s="53">
        <v>36479</v>
      </c>
      <c r="H137" s="47">
        <v>38306</v>
      </c>
      <c r="I137" s="3"/>
      <c r="J137" s="35" t="s">
        <v>754</v>
      </c>
      <c r="K137" s="41">
        <v>32658.145</v>
      </c>
      <c r="L137" s="22"/>
      <c r="M137" s="48" t="s">
        <v>716</v>
      </c>
      <c r="N137" s="28"/>
      <c r="O137" s="41">
        <f t="shared" si="4"/>
        <v>32658.145</v>
      </c>
      <c r="P137" s="22"/>
    </row>
    <row r="138" spans="3:16" ht="15.75" customHeight="1">
      <c r="C138" s="44" t="s">
        <v>300</v>
      </c>
      <c r="D138" s="49" t="s">
        <v>733</v>
      </c>
      <c r="E138" s="49" t="s">
        <v>772</v>
      </c>
      <c r="F138" s="232"/>
      <c r="G138" s="53">
        <v>34745</v>
      </c>
      <c r="H138" s="47">
        <v>38398</v>
      </c>
      <c r="I138" s="3"/>
      <c r="J138" s="35" t="s">
        <v>735</v>
      </c>
      <c r="K138" s="41">
        <v>13834.754</v>
      </c>
      <c r="L138" s="22"/>
      <c r="M138" s="48" t="s">
        <v>716</v>
      </c>
      <c r="N138" s="28"/>
      <c r="O138" s="41">
        <f t="shared" si="4"/>
        <v>13834.754</v>
      </c>
      <c r="P138" s="22"/>
    </row>
    <row r="139" spans="3:16" ht="15.75" customHeight="1">
      <c r="C139" s="44" t="s">
        <v>301</v>
      </c>
      <c r="D139" s="49" t="s">
        <v>752</v>
      </c>
      <c r="E139" s="49" t="s">
        <v>749</v>
      </c>
      <c r="F139" s="232"/>
      <c r="G139" s="53">
        <v>34834</v>
      </c>
      <c r="H139" s="47">
        <v>38487</v>
      </c>
      <c r="I139" s="3"/>
      <c r="J139" s="35" t="s">
        <v>754</v>
      </c>
      <c r="K139" s="41">
        <v>14739.504</v>
      </c>
      <c r="L139" s="22"/>
      <c r="M139" s="48" t="s">
        <v>716</v>
      </c>
      <c r="N139" s="28"/>
      <c r="O139" s="41">
        <f t="shared" si="4"/>
        <v>14739.504</v>
      </c>
      <c r="P139" s="22"/>
    </row>
    <row r="140" spans="3:16" ht="15.75" customHeight="1">
      <c r="C140" s="44" t="s">
        <v>302</v>
      </c>
      <c r="D140" s="49" t="s">
        <v>726</v>
      </c>
      <c r="E140" s="101" t="s">
        <v>757</v>
      </c>
      <c r="F140" s="232"/>
      <c r="G140" s="53">
        <v>36661</v>
      </c>
      <c r="H140" s="47">
        <v>38487</v>
      </c>
      <c r="I140" s="3"/>
      <c r="J140" s="35" t="s">
        <v>754</v>
      </c>
      <c r="K140" s="41">
        <v>28562.37</v>
      </c>
      <c r="L140" s="22"/>
      <c r="M140" s="48" t="s">
        <v>716</v>
      </c>
      <c r="N140" s="28"/>
      <c r="O140" s="41">
        <f t="shared" si="4"/>
        <v>28562.37</v>
      </c>
      <c r="P140" s="22"/>
    </row>
    <row r="141" spans="3:16" ht="15.75" customHeight="1">
      <c r="C141" s="44" t="s">
        <v>303</v>
      </c>
      <c r="D141" s="49" t="s">
        <v>764</v>
      </c>
      <c r="E141" s="49" t="s">
        <v>749</v>
      </c>
      <c r="F141" s="232"/>
      <c r="G141" s="53">
        <v>34926</v>
      </c>
      <c r="H141" s="47">
        <v>38579</v>
      </c>
      <c r="I141" s="3"/>
      <c r="J141" s="35" t="s">
        <v>735</v>
      </c>
      <c r="K141" s="41">
        <v>15002.58</v>
      </c>
      <c r="L141" s="22"/>
      <c r="M141" s="48" t="s">
        <v>716</v>
      </c>
      <c r="N141" s="28"/>
      <c r="O141" s="41">
        <f t="shared" si="4"/>
        <v>15002.58</v>
      </c>
      <c r="P141" s="22"/>
    </row>
    <row r="142" spans="3:16" ht="15.75" customHeight="1">
      <c r="C142" s="44" t="s">
        <v>304</v>
      </c>
      <c r="D142" s="49" t="s">
        <v>774</v>
      </c>
      <c r="E142" s="49" t="s">
        <v>732</v>
      </c>
      <c r="F142" s="232"/>
      <c r="G142" s="53">
        <v>35027</v>
      </c>
      <c r="H142" s="47">
        <v>38671</v>
      </c>
      <c r="I142" s="3"/>
      <c r="J142" s="35" t="s">
        <v>754</v>
      </c>
      <c r="K142" s="41">
        <v>15209.92</v>
      </c>
      <c r="L142" s="22"/>
      <c r="M142" s="48" t="s">
        <v>716</v>
      </c>
      <c r="N142" s="28"/>
      <c r="O142" s="41">
        <f t="shared" si="4"/>
        <v>15209.92</v>
      </c>
      <c r="P142" s="22"/>
    </row>
    <row r="143" spans="3:16" ht="15.75" customHeight="1">
      <c r="C143" s="44" t="s">
        <v>305</v>
      </c>
      <c r="D143" s="49" t="s">
        <v>745</v>
      </c>
      <c r="E143" s="101" t="s">
        <v>725</v>
      </c>
      <c r="F143" s="232"/>
      <c r="G143" s="53">
        <v>36845</v>
      </c>
      <c r="H143" s="47">
        <v>38671</v>
      </c>
      <c r="I143" s="3"/>
      <c r="J143" s="35" t="s">
        <v>754</v>
      </c>
      <c r="K143" s="41">
        <v>28083.841</v>
      </c>
      <c r="L143" s="22"/>
      <c r="M143" s="48" t="s">
        <v>716</v>
      </c>
      <c r="N143" s="28"/>
      <c r="O143" s="41">
        <f t="shared" si="4"/>
        <v>28083.841</v>
      </c>
      <c r="P143" s="22"/>
    </row>
    <row r="144" spans="3:16" ht="15.75" customHeight="1">
      <c r="C144" s="44" t="s">
        <v>306</v>
      </c>
      <c r="D144" s="49" t="s">
        <v>733</v>
      </c>
      <c r="E144" s="49" t="s">
        <v>773</v>
      </c>
      <c r="F144" s="232"/>
      <c r="G144" s="53">
        <v>35110</v>
      </c>
      <c r="H144" s="47">
        <v>38763</v>
      </c>
      <c r="I144" s="3"/>
      <c r="J144" s="35" t="s">
        <v>735</v>
      </c>
      <c r="K144" s="41">
        <v>15513.587</v>
      </c>
      <c r="L144" s="22"/>
      <c r="M144" s="48" t="s">
        <v>716</v>
      </c>
      <c r="N144" s="28"/>
      <c r="O144" s="41">
        <f t="shared" si="4"/>
        <v>15513.587</v>
      </c>
      <c r="P144" s="22"/>
    </row>
    <row r="145" spans="3:16" ht="15.75" customHeight="1">
      <c r="C145" s="44" t="s">
        <v>307</v>
      </c>
      <c r="D145" s="49" t="s">
        <v>752</v>
      </c>
      <c r="E145" s="49" t="s">
        <v>763</v>
      </c>
      <c r="F145" s="232"/>
      <c r="G145" s="53">
        <v>35200</v>
      </c>
      <c r="H145" s="47">
        <v>38852</v>
      </c>
      <c r="I145" s="3"/>
      <c r="J145" s="35" t="s">
        <v>754</v>
      </c>
      <c r="K145" s="41">
        <v>16015.475</v>
      </c>
      <c r="L145" s="22"/>
      <c r="M145" s="48" t="s">
        <v>716</v>
      </c>
      <c r="N145" s="28"/>
      <c r="O145" s="41">
        <f aca="true" t="shared" si="5" ref="O145:O153">K145+M145</f>
        <v>16015.475</v>
      </c>
      <c r="P145" s="22"/>
    </row>
    <row r="146" spans="3:16" ht="15.75" customHeight="1">
      <c r="C146" s="44" t="s">
        <v>308</v>
      </c>
      <c r="D146" s="49" t="s">
        <v>764</v>
      </c>
      <c r="E146" s="49" t="s">
        <v>746</v>
      </c>
      <c r="F146" s="232"/>
      <c r="G146" s="53">
        <v>35261</v>
      </c>
      <c r="H146" s="47">
        <v>38913</v>
      </c>
      <c r="I146" s="3"/>
      <c r="J146" s="35" t="s">
        <v>728</v>
      </c>
      <c r="K146" s="41">
        <v>22740.446</v>
      </c>
      <c r="L146" s="22"/>
      <c r="M146" s="48" t="s">
        <v>716</v>
      </c>
      <c r="N146" s="28"/>
      <c r="O146" s="41">
        <f t="shared" si="5"/>
        <v>22740.446</v>
      </c>
      <c r="P146" s="22"/>
    </row>
    <row r="147" spans="3:16" ht="15.75" customHeight="1">
      <c r="C147" s="44" t="s">
        <v>309</v>
      </c>
      <c r="D147" s="49" t="s">
        <v>774</v>
      </c>
      <c r="E147" s="49" t="s">
        <v>749</v>
      </c>
      <c r="F147" s="232"/>
      <c r="G147" s="53">
        <v>35353</v>
      </c>
      <c r="H147" s="102">
        <v>39005</v>
      </c>
      <c r="I147" s="3"/>
      <c r="J147" s="35" t="s">
        <v>747</v>
      </c>
      <c r="K147" s="41">
        <v>22459.675</v>
      </c>
      <c r="L147" s="22"/>
      <c r="M147" s="48" t="s">
        <v>716</v>
      </c>
      <c r="N147" s="28"/>
      <c r="O147" s="41">
        <f t="shared" si="5"/>
        <v>22459.675</v>
      </c>
      <c r="P147" s="22"/>
    </row>
    <row r="148" spans="3:16" ht="15.75" customHeight="1">
      <c r="C148" s="44" t="s">
        <v>310</v>
      </c>
      <c r="D148" s="49" t="s">
        <v>752</v>
      </c>
      <c r="E148" s="49" t="s">
        <v>744</v>
      </c>
      <c r="F148" s="232"/>
      <c r="G148" s="53">
        <v>35479</v>
      </c>
      <c r="H148" s="102">
        <v>39128</v>
      </c>
      <c r="I148" s="3"/>
      <c r="J148" s="35" t="s">
        <v>735</v>
      </c>
      <c r="K148" s="41">
        <v>13103.678</v>
      </c>
      <c r="L148" s="22"/>
      <c r="M148" s="48" t="s">
        <v>716</v>
      </c>
      <c r="N148" s="28"/>
      <c r="O148" s="41">
        <f t="shared" si="5"/>
        <v>13103.678</v>
      </c>
      <c r="P148" s="22"/>
    </row>
    <row r="149" spans="3:16" ht="15.75" customHeight="1">
      <c r="C149" s="44" t="s">
        <v>311</v>
      </c>
      <c r="D149" s="49" t="s">
        <v>764</v>
      </c>
      <c r="E149" s="49" t="s">
        <v>784</v>
      </c>
      <c r="F149" s="232"/>
      <c r="G149" s="53">
        <v>35565</v>
      </c>
      <c r="H149" s="102">
        <v>39217</v>
      </c>
      <c r="I149" s="3"/>
      <c r="J149" s="35" t="s">
        <v>754</v>
      </c>
      <c r="K149" s="41">
        <v>13958.186</v>
      </c>
      <c r="L149" s="22"/>
      <c r="M149" s="48" t="s">
        <v>716</v>
      </c>
      <c r="N149" s="28"/>
      <c r="O149" s="41">
        <f t="shared" si="5"/>
        <v>13958.186</v>
      </c>
      <c r="P149" s="22"/>
    </row>
    <row r="150" spans="3:16" ht="15.75" customHeight="1">
      <c r="C150" s="100" t="s">
        <v>312</v>
      </c>
      <c r="D150" s="49" t="s">
        <v>774</v>
      </c>
      <c r="E150" s="49" t="s">
        <v>781</v>
      </c>
      <c r="F150" s="232"/>
      <c r="G150" s="53">
        <v>35657</v>
      </c>
      <c r="H150" s="102">
        <v>39309</v>
      </c>
      <c r="I150" s="3"/>
      <c r="J150" s="35" t="s">
        <v>735</v>
      </c>
      <c r="K150" s="41">
        <v>25636.803</v>
      </c>
      <c r="L150" s="22"/>
      <c r="M150" s="48" t="s">
        <v>716</v>
      </c>
      <c r="N150" s="28"/>
      <c r="O150" s="41">
        <f t="shared" si="5"/>
        <v>25636.803</v>
      </c>
      <c r="P150" s="22"/>
    </row>
    <row r="151" spans="3:16" ht="15.75" customHeight="1">
      <c r="C151" s="100" t="s">
        <v>313</v>
      </c>
      <c r="D151" s="49" t="s">
        <v>752</v>
      </c>
      <c r="E151" s="101" t="s">
        <v>738</v>
      </c>
      <c r="F151" s="232"/>
      <c r="G151" s="53">
        <v>35843</v>
      </c>
      <c r="H151" s="102">
        <v>39493</v>
      </c>
      <c r="I151" s="3"/>
      <c r="J151" s="35" t="s">
        <v>735</v>
      </c>
      <c r="K151" s="41">
        <v>13583.412</v>
      </c>
      <c r="L151" s="22"/>
      <c r="M151" s="48" t="s">
        <v>716</v>
      </c>
      <c r="N151" s="28"/>
      <c r="O151" s="41">
        <f t="shared" si="5"/>
        <v>13583.412</v>
      </c>
      <c r="P151" s="22"/>
    </row>
    <row r="152" spans="3:16" ht="15.75" customHeight="1">
      <c r="C152" s="100" t="s">
        <v>314</v>
      </c>
      <c r="D152" s="49" t="s">
        <v>764</v>
      </c>
      <c r="E152" s="101" t="s">
        <v>773</v>
      </c>
      <c r="F152" s="232"/>
      <c r="G152" s="53">
        <v>35930</v>
      </c>
      <c r="H152" s="102">
        <v>39583</v>
      </c>
      <c r="I152" s="3"/>
      <c r="J152" s="35" t="s">
        <v>754</v>
      </c>
      <c r="K152" s="41">
        <v>27190.961</v>
      </c>
      <c r="L152" s="22"/>
      <c r="M152" s="48" t="s">
        <v>716</v>
      </c>
      <c r="N152" s="28"/>
      <c r="O152" s="41">
        <f t="shared" si="5"/>
        <v>27190.961</v>
      </c>
      <c r="P152" s="22"/>
    </row>
    <row r="153" spans="3:16" ht="15.75" customHeight="1">
      <c r="C153" s="100" t="s">
        <v>315</v>
      </c>
      <c r="D153" s="49" t="s">
        <v>774</v>
      </c>
      <c r="E153" s="101" t="s">
        <v>787</v>
      </c>
      <c r="F153" s="232"/>
      <c r="G153" s="53">
        <v>36115</v>
      </c>
      <c r="H153" s="102">
        <v>39767</v>
      </c>
      <c r="I153" s="3"/>
      <c r="J153" s="35" t="s">
        <v>754</v>
      </c>
      <c r="K153" s="41">
        <v>25083.125</v>
      </c>
      <c r="L153" s="22"/>
      <c r="M153" s="48" t="s">
        <v>716</v>
      </c>
      <c r="N153" s="28"/>
      <c r="O153" s="41">
        <f t="shared" si="5"/>
        <v>25083.125</v>
      </c>
      <c r="P153" s="22"/>
    </row>
    <row r="154" spans="3:16" ht="15.75" customHeight="1">
      <c r="C154" s="100" t="s">
        <v>316</v>
      </c>
      <c r="D154" s="49" t="s">
        <v>752</v>
      </c>
      <c r="E154" s="101" t="s">
        <v>738</v>
      </c>
      <c r="F154" s="232"/>
      <c r="G154" s="53">
        <v>36297</v>
      </c>
      <c r="H154" s="102">
        <v>39948</v>
      </c>
      <c r="I154" s="3"/>
      <c r="J154" s="35" t="s">
        <v>754</v>
      </c>
      <c r="K154" s="41">
        <v>14794.79</v>
      </c>
      <c r="L154" s="22"/>
      <c r="M154" s="48" t="s">
        <v>716</v>
      </c>
      <c r="N154" s="28"/>
      <c r="O154" s="41">
        <f aca="true" t="shared" si="6" ref="O154:O162">K154+M154</f>
        <v>14794.79</v>
      </c>
      <c r="P154" s="22"/>
    </row>
    <row r="155" spans="3:16" ht="15.75" customHeight="1">
      <c r="C155" s="100" t="s">
        <v>317</v>
      </c>
      <c r="D155" s="49" t="s">
        <v>764</v>
      </c>
      <c r="E155" s="101">
        <v>6</v>
      </c>
      <c r="F155" s="232"/>
      <c r="G155" s="53">
        <v>36388</v>
      </c>
      <c r="H155" s="102">
        <v>40040</v>
      </c>
      <c r="I155" s="3"/>
      <c r="J155" s="35" t="s">
        <v>735</v>
      </c>
      <c r="K155" s="41">
        <v>27399.894</v>
      </c>
      <c r="L155" s="22"/>
      <c r="M155" s="48" t="s">
        <v>716</v>
      </c>
      <c r="N155" s="28"/>
      <c r="O155" s="41">
        <f t="shared" si="6"/>
        <v>27399.894</v>
      </c>
      <c r="P155" s="22"/>
    </row>
    <row r="156" spans="3:16" ht="15.75" customHeight="1">
      <c r="C156" s="44" t="s">
        <v>318</v>
      </c>
      <c r="D156" s="49" t="s">
        <v>752</v>
      </c>
      <c r="E156" s="49" t="s">
        <v>749</v>
      </c>
      <c r="F156" s="232"/>
      <c r="G156" s="53">
        <v>36571</v>
      </c>
      <c r="H156" s="102">
        <v>40224</v>
      </c>
      <c r="I156" s="3"/>
      <c r="J156" s="35" t="s">
        <v>735</v>
      </c>
      <c r="K156" s="41">
        <v>23355.709</v>
      </c>
      <c r="L156" s="22"/>
      <c r="M156" s="48" t="s">
        <v>716</v>
      </c>
      <c r="N156" s="28"/>
      <c r="O156" s="41">
        <f t="shared" si="6"/>
        <v>23355.709</v>
      </c>
      <c r="P156" s="22"/>
    </row>
    <row r="157" spans="3:16" ht="15.75" customHeight="1">
      <c r="C157" s="44" t="s">
        <v>319</v>
      </c>
      <c r="D157" s="49" t="s">
        <v>764</v>
      </c>
      <c r="E157" s="101" t="s">
        <v>725</v>
      </c>
      <c r="F157" s="232"/>
      <c r="G157" s="53">
        <v>36753</v>
      </c>
      <c r="H157" s="102">
        <v>40405</v>
      </c>
      <c r="I157" s="3"/>
      <c r="J157" s="35" t="s">
        <v>735</v>
      </c>
      <c r="K157" s="41">
        <v>22437.594</v>
      </c>
      <c r="L157" s="22"/>
      <c r="M157" s="48" t="s">
        <v>716</v>
      </c>
      <c r="N157" s="28"/>
      <c r="O157" s="41">
        <f t="shared" si="6"/>
        <v>22437.594</v>
      </c>
      <c r="P157" s="22"/>
    </row>
    <row r="158" spans="3:16" ht="15.75" customHeight="1">
      <c r="C158" s="44" t="s">
        <v>214</v>
      </c>
      <c r="D158" s="49" t="s">
        <v>752</v>
      </c>
      <c r="E158" s="101">
        <v>5</v>
      </c>
      <c r="F158" s="232"/>
      <c r="G158" s="53">
        <v>36937</v>
      </c>
      <c r="H158" s="102">
        <v>40589</v>
      </c>
      <c r="I158" s="3"/>
      <c r="J158" s="35" t="s">
        <v>735</v>
      </c>
      <c r="K158" s="41">
        <v>11975.922</v>
      </c>
      <c r="L158" s="22"/>
      <c r="M158" s="48" t="s">
        <v>716</v>
      </c>
      <c r="N158" s="28"/>
      <c r="O158" s="41">
        <f t="shared" si="6"/>
        <v>11975.922</v>
      </c>
      <c r="P158" s="22"/>
    </row>
    <row r="159" spans="3:16" ht="15.75" customHeight="1">
      <c r="C159" s="44"/>
      <c r="D159" s="49"/>
      <c r="E159" s="101"/>
      <c r="F159" s="232"/>
      <c r="G159" s="53"/>
      <c r="H159" s="102"/>
      <c r="I159" s="3"/>
      <c r="J159" s="35"/>
      <c r="K159" s="41"/>
      <c r="L159" s="22"/>
      <c r="M159" s="48"/>
      <c r="N159" s="28"/>
      <c r="O159" s="41"/>
      <c r="P159" s="22"/>
    </row>
    <row r="160" spans="2:16" ht="15.75" customHeight="1">
      <c r="B160" s="10" t="s">
        <v>818</v>
      </c>
      <c r="F160" s="44"/>
      <c r="G160" s="17" t="s">
        <v>717</v>
      </c>
      <c r="H160" s="47" t="s">
        <v>718</v>
      </c>
      <c r="I160" s="3"/>
      <c r="J160" s="35" t="s">
        <v>719</v>
      </c>
      <c r="K160" s="57">
        <f>SUM(K61:K159)</f>
        <v>1534832.5420000008</v>
      </c>
      <c r="L160" s="327"/>
      <c r="M160" s="328" t="s">
        <v>716</v>
      </c>
      <c r="N160" s="329"/>
      <c r="O160" s="335">
        <f t="shared" si="6"/>
        <v>1534832.5420000008</v>
      </c>
      <c r="P160" s="327"/>
    </row>
    <row r="161" spans="2:16" ht="15.75" customHeight="1">
      <c r="B161" t="s">
        <v>44</v>
      </c>
      <c r="F161" s="44"/>
      <c r="G161" s="17" t="s">
        <v>717</v>
      </c>
      <c r="H161" s="47" t="s">
        <v>718</v>
      </c>
      <c r="I161" s="3"/>
      <c r="J161" s="35" t="s">
        <v>719</v>
      </c>
      <c r="K161" s="57">
        <v>58.489</v>
      </c>
      <c r="L161" s="384"/>
      <c r="M161" s="328" t="s">
        <v>716</v>
      </c>
      <c r="N161" s="329"/>
      <c r="O161" s="335">
        <f t="shared" si="6"/>
        <v>58.489</v>
      </c>
      <c r="P161" s="327"/>
    </row>
    <row r="162" spans="2:16" ht="15.75" customHeight="1" thickBot="1">
      <c r="B162" s="86" t="s">
        <v>640</v>
      </c>
      <c r="F162" s="44"/>
      <c r="G162" s="17" t="s">
        <v>717</v>
      </c>
      <c r="H162" s="47" t="s">
        <v>718</v>
      </c>
      <c r="I162" s="3"/>
      <c r="J162" s="35" t="s">
        <v>719</v>
      </c>
      <c r="K162" s="333">
        <f>SUM(K160:K161)</f>
        <v>1534891.031000001</v>
      </c>
      <c r="L162" s="334"/>
      <c r="M162" s="336" t="s">
        <v>716</v>
      </c>
      <c r="N162" s="337"/>
      <c r="O162" s="333">
        <f t="shared" si="6"/>
        <v>1534891.031000001</v>
      </c>
      <c r="P162" s="334"/>
    </row>
    <row r="163" spans="6:16" ht="15.75" customHeight="1" thickTop="1">
      <c r="F163" s="44"/>
      <c r="G163" s="110"/>
      <c r="H163" s="278"/>
      <c r="I163" s="3"/>
      <c r="J163" s="177"/>
      <c r="K163" s="141"/>
      <c r="L163" s="141"/>
      <c r="M163" s="142"/>
      <c r="N163" s="142"/>
      <c r="O163" s="141"/>
      <c r="P163" s="141"/>
    </row>
    <row r="164" spans="6:16" ht="15.75" customHeight="1">
      <c r="F164" s="44"/>
      <c r="G164" s="110"/>
      <c r="H164" s="278"/>
      <c r="I164" s="3"/>
      <c r="J164" s="177"/>
      <c r="K164" s="141"/>
      <c r="L164" s="141"/>
      <c r="M164" s="142"/>
      <c r="N164" s="142"/>
      <c r="O164" s="141"/>
      <c r="P164" s="141"/>
    </row>
    <row r="165" spans="6:16" ht="15.75" customHeight="1">
      <c r="F165" s="44"/>
      <c r="G165" s="110"/>
      <c r="H165" s="278"/>
      <c r="I165" s="3"/>
      <c r="J165" s="177"/>
      <c r="K165" s="141"/>
      <c r="L165" s="141"/>
      <c r="M165" s="142"/>
      <c r="N165" s="142"/>
      <c r="O165" s="141"/>
      <c r="P165" s="141"/>
    </row>
    <row r="166" spans="6:16" ht="15.75" customHeight="1">
      <c r="F166" s="44"/>
      <c r="G166" s="110"/>
      <c r="H166" s="278"/>
      <c r="I166" s="3"/>
      <c r="J166" s="177"/>
      <c r="K166" s="141"/>
      <c r="L166" s="141"/>
      <c r="M166" s="142"/>
      <c r="N166" s="142"/>
      <c r="O166" s="141"/>
      <c r="P166" s="141"/>
    </row>
    <row r="167" spans="6:16" ht="15.75" customHeight="1">
      <c r="F167" s="44"/>
      <c r="G167" s="110"/>
      <c r="H167" s="278"/>
      <c r="I167" s="3"/>
      <c r="J167" s="177"/>
      <c r="K167" s="141"/>
      <c r="L167" s="141"/>
      <c r="M167" s="142"/>
      <c r="N167" s="142"/>
      <c r="O167" s="141"/>
      <c r="P167" s="141"/>
    </row>
    <row r="168" spans="6:16" ht="15.75" customHeight="1">
      <c r="F168" s="44"/>
      <c r="G168" s="110"/>
      <c r="H168" s="278"/>
      <c r="I168" s="3"/>
      <c r="J168" s="177"/>
      <c r="K168" s="141"/>
      <c r="L168" s="141"/>
      <c r="M168" s="142"/>
      <c r="N168" s="142"/>
      <c r="O168" s="141"/>
      <c r="P168" s="141"/>
    </row>
    <row r="169" spans="6:16" ht="15.75" customHeight="1">
      <c r="F169" s="44"/>
      <c r="G169" s="110"/>
      <c r="H169" s="278"/>
      <c r="I169" s="3"/>
      <c r="J169" s="177"/>
      <c r="K169" s="141"/>
      <c r="L169" s="141"/>
      <c r="M169" s="142"/>
      <c r="N169" s="142"/>
      <c r="O169" s="141"/>
      <c r="P169" s="141"/>
    </row>
    <row r="170" spans="6:16" ht="15.75" customHeight="1">
      <c r="F170" s="44"/>
      <c r="G170" s="110"/>
      <c r="H170" s="278"/>
      <c r="I170" s="3"/>
      <c r="J170" s="177"/>
      <c r="K170" s="141"/>
      <c r="L170" s="141"/>
      <c r="M170" s="142"/>
      <c r="N170" s="142"/>
      <c r="O170" s="141"/>
      <c r="P170" s="141"/>
    </row>
    <row r="171" spans="6:16" ht="15.75" customHeight="1">
      <c r="F171" s="44"/>
      <c r="G171" s="110"/>
      <c r="H171" s="278"/>
      <c r="I171" s="3"/>
      <c r="J171" s="177"/>
      <c r="K171" s="141"/>
      <c r="L171" s="141"/>
      <c r="M171" s="142"/>
      <c r="N171" s="142"/>
      <c r="O171" s="141"/>
      <c r="P171" s="141"/>
    </row>
    <row r="172" spans="6:16" ht="15.75" customHeight="1">
      <c r="F172" s="44"/>
      <c r="G172" s="110"/>
      <c r="H172" s="278"/>
      <c r="I172" s="3"/>
      <c r="J172" s="177"/>
      <c r="K172" s="141"/>
      <c r="L172" s="141"/>
      <c r="M172" s="142"/>
      <c r="N172" s="142"/>
      <c r="O172" s="141"/>
      <c r="P172" s="141"/>
    </row>
    <row r="173" spans="6:16" ht="15.75" customHeight="1">
      <c r="F173" s="44"/>
      <c r="G173" s="110"/>
      <c r="H173" s="278"/>
      <c r="I173" s="3"/>
      <c r="J173" s="177"/>
      <c r="K173" s="141"/>
      <c r="L173" s="141"/>
      <c r="M173" s="142"/>
      <c r="N173" s="142"/>
      <c r="O173" s="141"/>
      <c r="P173" s="141"/>
    </row>
    <row r="174" spans="6:16" ht="15.75" customHeight="1">
      <c r="F174" s="44"/>
      <c r="G174" s="110"/>
      <c r="H174" s="278"/>
      <c r="I174" s="3"/>
      <c r="J174" s="177"/>
      <c r="K174" s="141"/>
      <c r="L174" s="141"/>
      <c r="M174" s="142"/>
      <c r="N174" s="142"/>
      <c r="O174" s="141"/>
      <c r="P174" s="141"/>
    </row>
    <row r="175" spans="6:16" ht="15.75" customHeight="1">
      <c r="F175" s="44"/>
      <c r="G175" s="110"/>
      <c r="H175" s="278"/>
      <c r="I175" s="3"/>
      <c r="J175" s="177"/>
      <c r="K175" s="141"/>
      <c r="L175" s="141"/>
      <c r="M175" s="142"/>
      <c r="N175" s="142"/>
      <c r="O175" s="141"/>
      <c r="P175" s="141"/>
    </row>
    <row r="176" spans="6:16" ht="15.75" customHeight="1">
      <c r="F176" s="44"/>
      <c r="G176" s="110"/>
      <c r="H176" s="278"/>
      <c r="I176" s="3"/>
      <c r="J176" s="177"/>
      <c r="K176" s="141"/>
      <c r="L176" s="141"/>
      <c r="M176" s="142"/>
      <c r="N176" s="142"/>
      <c r="O176" s="141"/>
      <c r="P176" s="141"/>
    </row>
    <row r="177" spans="6:16" ht="15.75" customHeight="1">
      <c r="F177" s="44"/>
      <c r="G177" s="110"/>
      <c r="H177" s="278"/>
      <c r="I177" s="3"/>
      <c r="J177" s="177"/>
      <c r="K177" s="141"/>
      <c r="L177" s="141"/>
      <c r="M177" s="142"/>
      <c r="N177" s="142"/>
      <c r="O177" s="141"/>
      <c r="P177" s="141"/>
    </row>
    <row r="178" spans="6:16" ht="15.75" customHeight="1">
      <c r="F178" s="44"/>
      <c r="G178" s="110"/>
      <c r="H178" s="278"/>
      <c r="I178" s="3"/>
      <c r="J178" s="177"/>
      <c r="K178" s="141"/>
      <c r="L178" s="141"/>
      <c r="M178" s="142"/>
      <c r="N178" s="142"/>
      <c r="O178" s="141"/>
      <c r="P178" s="141"/>
    </row>
    <row r="179" spans="6:16" ht="15.75" customHeight="1">
      <c r="F179" s="44"/>
      <c r="G179" s="110"/>
      <c r="H179" s="278"/>
      <c r="I179" s="3"/>
      <c r="J179" s="177"/>
      <c r="K179" s="141"/>
      <c r="L179" s="141"/>
      <c r="M179" s="142"/>
      <c r="N179" s="142"/>
      <c r="O179" s="141"/>
      <c r="P179" s="141"/>
    </row>
    <row r="180" spans="6:16" ht="15.75" customHeight="1">
      <c r="F180" s="44"/>
      <c r="G180" s="110"/>
      <c r="H180" s="278"/>
      <c r="I180" s="3"/>
      <c r="J180" s="177"/>
      <c r="K180" s="141"/>
      <c r="L180" s="141"/>
      <c r="M180" s="142"/>
      <c r="N180" s="142"/>
      <c r="O180" s="141"/>
      <c r="P180" s="141"/>
    </row>
    <row r="181" spans="1:21" ht="15.75" customHeight="1" thickBot="1">
      <c r="A181" s="113"/>
      <c r="B181" s="113"/>
      <c r="C181" s="253"/>
      <c r="D181" s="254"/>
      <c r="E181" s="254"/>
      <c r="F181" s="255"/>
      <c r="G181" s="185"/>
      <c r="H181" s="186"/>
      <c r="I181" s="176"/>
      <c r="J181" s="114"/>
      <c r="K181" s="116"/>
      <c r="L181" s="116"/>
      <c r="M181" s="117"/>
      <c r="N181" s="117"/>
      <c r="O181" s="116"/>
      <c r="P181" s="116"/>
      <c r="Q181" s="113"/>
      <c r="R181" s="113"/>
      <c r="S181" s="113"/>
      <c r="T181" s="113"/>
      <c r="U181" s="113"/>
    </row>
    <row r="182" spans="1:16" ht="16.5" thickTop="1">
      <c r="A182" s="7">
        <v>4</v>
      </c>
      <c r="B182" s="2" t="str">
        <f>B91</f>
        <v>TABLE III - DETAIL OF TREASURY SECURITIES OUTSTANDING, FEBRUARY 28, 2001 -- Continued</v>
      </c>
      <c r="C182" s="2"/>
      <c r="D182" s="3"/>
      <c r="E182" s="3"/>
      <c r="F182" s="3"/>
      <c r="G182" s="3"/>
      <c r="H182" s="3"/>
      <c r="I182" s="30"/>
      <c r="J182" s="3"/>
      <c r="K182" s="3"/>
      <c r="L182" s="3"/>
      <c r="M182" s="3"/>
      <c r="N182" s="3"/>
      <c r="O182" s="3"/>
      <c r="P182" s="108"/>
    </row>
    <row r="183" spans="1:16" ht="11.25" customHeight="1" thickBot="1">
      <c r="A183" s="7"/>
      <c r="B183" s="2"/>
      <c r="C183" s="2"/>
      <c r="D183" s="3"/>
      <c r="E183" s="3"/>
      <c r="F183" s="3"/>
      <c r="G183" s="3"/>
      <c r="H183" s="3"/>
      <c r="I183" s="30"/>
      <c r="J183" s="3"/>
      <c r="K183" s="3"/>
      <c r="L183" s="3"/>
      <c r="M183" s="3"/>
      <c r="N183" s="3"/>
      <c r="O183" s="3"/>
      <c r="P183" s="2"/>
    </row>
    <row r="184" spans="1:16" ht="16.5" customHeight="1" thickTop="1">
      <c r="A184" s="33"/>
      <c r="B184" s="33"/>
      <c r="C184" s="33"/>
      <c r="D184" s="33"/>
      <c r="E184" s="33"/>
      <c r="F184" s="33"/>
      <c r="G184" s="27"/>
      <c r="H184" s="27"/>
      <c r="I184" s="34"/>
      <c r="J184" s="78"/>
      <c r="K184" s="27"/>
      <c r="L184" s="33"/>
      <c r="M184" s="33"/>
      <c r="N184" s="33"/>
      <c r="O184" s="33"/>
      <c r="P184" s="33"/>
    </row>
    <row r="185" spans="7:16" ht="15.75" customHeight="1">
      <c r="G185" s="17" t="s">
        <v>702</v>
      </c>
      <c r="H185" s="17" t="s">
        <v>703</v>
      </c>
      <c r="I185" s="30"/>
      <c r="J185" s="35" t="s">
        <v>704</v>
      </c>
      <c r="K185" s="17" t="s">
        <v>705</v>
      </c>
      <c r="L185" s="3"/>
      <c r="M185" s="3"/>
      <c r="N185" s="3"/>
      <c r="O185" s="3"/>
      <c r="P185" s="3"/>
    </row>
    <row r="186" spans="1:11" ht="15.75" customHeight="1">
      <c r="A186" s="3" t="s">
        <v>706</v>
      </c>
      <c r="B186" s="3"/>
      <c r="C186" s="3"/>
      <c r="D186" s="3"/>
      <c r="E186" s="3"/>
      <c r="F186" s="3"/>
      <c r="G186" s="17" t="s">
        <v>707</v>
      </c>
      <c r="H186" s="17" t="s">
        <v>708</v>
      </c>
      <c r="I186" s="30"/>
      <c r="J186" s="35" t="s">
        <v>709</v>
      </c>
      <c r="K186" s="15"/>
    </row>
    <row r="187" spans="1:16" ht="15.75" customHeight="1">
      <c r="A187" s="16"/>
      <c r="B187" s="16"/>
      <c r="C187" s="16"/>
      <c r="D187" s="16"/>
      <c r="E187" s="16"/>
      <c r="F187" s="16"/>
      <c r="G187" s="243"/>
      <c r="H187" s="36"/>
      <c r="I187" s="37"/>
      <c r="J187" s="243"/>
      <c r="K187" s="38" t="s">
        <v>710</v>
      </c>
      <c r="L187" s="39"/>
      <c r="M187" s="38" t="s">
        <v>711</v>
      </c>
      <c r="N187" s="39"/>
      <c r="O187" s="38" t="s">
        <v>675</v>
      </c>
      <c r="P187" s="39"/>
    </row>
    <row r="188" spans="7:15" ht="0.75" customHeight="1" hidden="1">
      <c r="G188" s="15"/>
      <c r="H188" s="15"/>
      <c r="I188" s="32"/>
      <c r="J188" s="35"/>
      <c r="K188" s="15"/>
      <c r="M188" s="15"/>
      <c r="O188" s="15"/>
    </row>
    <row r="189" spans="7:16" ht="15.75" customHeight="1">
      <c r="G189" s="19"/>
      <c r="H189" s="19"/>
      <c r="I189" s="40"/>
      <c r="J189" s="79"/>
      <c r="K189" s="15"/>
      <c r="M189" s="15"/>
      <c r="O189" s="41"/>
      <c r="P189" s="22"/>
    </row>
    <row r="190" spans="1:16" ht="18" customHeight="1">
      <c r="A190" s="64" t="s">
        <v>688</v>
      </c>
      <c r="B190" s="64"/>
      <c r="G190" s="19"/>
      <c r="H190" s="19"/>
      <c r="I190" s="40"/>
      <c r="J190" s="79"/>
      <c r="K190" s="15"/>
      <c r="M190" s="15"/>
      <c r="O190" s="41"/>
      <c r="P190" s="22"/>
    </row>
    <row r="191" spans="2:15" ht="21" customHeight="1">
      <c r="B191" s="10" t="s">
        <v>492</v>
      </c>
      <c r="C191" s="44"/>
      <c r="D191" s="233" t="s">
        <v>21</v>
      </c>
      <c r="F191" s="20"/>
      <c r="G191" s="46"/>
      <c r="H191" s="46"/>
      <c r="J191" s="35"/>
      <c r="K191" s="15"/>
      <c r="M191" s="15"/>
      <c r="O191" s="41" t="s">
        <v>672</v>
      </c>
    </row>
    <row r="192" spans="2:16" ht="17.25" customHeight="1">
      <c r="B192" s="10" t="s">
        <v>714</v>
      </c>
      <c r="D192" s="3"/>
      <c r="E192" s="3" t="s">
        <v>722</v>
      </c>
      <c r="F192" s="3"/>
      <c r="G192" s="81"/>
      <c r="I192" s="43"/>
      <c r="J192" s="79"/>
      <c r="K192" s="15"/>
      <c r="M192" s="15"/>
      <c r="O192" s="41"/>
      <c r="P192" s="22"/>
    </row>
    <row r="193" spans="3:16" ht="15.75" customHeight="1">
      <c r="C193" s="44" t="s">
        <v>215</v>
      </c>
      <c r="E193" s="49" t="s">
        <v>789</v>
      </c>
      <c r="F193" s="232">
        <v>8</v>
      </c>
      <c r="G193" s="47">
        <v>29678</v>
      </c>
      <c r="H193" s="168">
        <v>37026</v>
      </c>
      <c r="I193" s="238"/>
      <c r="J193" s="35" t="s">
        <v>754</v>
      </c>
      <c r="K193" s="41">
        <v>1750.128</v>
      </c>
      <c r="L193" s="22"/>
      <c r="M193" s="48" t="s">
        <v>716</v>
      </c>
      <c r="N193" s="28"/>
      <c r="O193" s="41">
        <f>K193+M193</f>
        <v>1750.128</v>
      </c>
      <c r="P193" s="22"/>
    </row>
    <row r="194" spans="3:16" ht="15.75" customHeight="1">
      <c r="C194" s="44" t="s">
        <v>321</v>
      </c>
      <c r="E194" s="49" t="s">
        <v>790</v>
      </c>
      <c r="F194" s="232">
        <v>8</v>
      </c>
      <c r="G194" s="47">
        <v>29769</v>
      </c>
      <c r="H194" s="168">
        <v>37118</v>
      </c>
      <c r="I194" s="238"/>
      <c r="J194" s="35" t="s">
        <v>735</v>
      </c>
      <c r="K194" s="41">
        <v>1753.357</v>
      </c>
      <c r="L194" s="22"/>
      <c r="M194" s="48" t="s">
        <v>716</v>
      </c>
      <c r="N194" s="28"/>
      <c r="O194" s="41">
        <f>K194+M194</f>
        <v>1753.357</v>
      </c>
      <c r="P194" s="22"/>
    </row>
    <row r="195" spans="3:16" ht="15.75" customHeight="1">
      <c r="C195" s="44" t="s">
        <v>322</v>
      </c>
      <c r="E195" s="49" t="s">
        <v>791</v>
      </c>
      <c r="F195" s="232">
        <v>8</v>
      </c>
      <c r="G195" s="47">
        <v>29866</v>
      </c>
      <c r="H195" s="168">
        <v>37210</v>
      </c>
      <c r="I195" s="238"/>
      <c r="J195" s="35" t="s">
        <v>754</v>
      </c>
      <c r="K195" s="41">
        <v>1753.359</v>
      </c>
      <c r="L195" s="22"/>
      <c r="M195" s="48" t="s">
        <v>716</v>
      </c>
      <c r="N195" s="28"/>
      <c r="O195" s="41">
        <f>K195+M195</f>
        <v>1753.359</v>
      </c>
      <c r="P195" s="22"/>
    </row>
    <row r="196" spans="3:16" ht="15.75" customHeight="1">
      <c r="C196" s="44" t="s">
        <v>323</v>
      </c>
      <c r="E196" s="49" t="s">
        <v>792</v>
      </c>
      <c r="F196" s="232">
        <v>8</v>
      </c>
      <c r="G196" s="47">
        <v>28171</v>
      </c>
      <c r="H196" s="168">
        <v>39128</v>
      </c>
      <c r="I196" s="238"/>
      <c r="J196" s="35" t="s">
        <v>735</v>
      </c>
      <c r="K196" s="41">
        <v>4249.042</v>
      </c>
      <c r="L196" s="22"/>
      <c r="M196" s="52">
        <v>-15</v>
      </c>
      <c r="N196" s="179"/>
      <c r="O196" s="41">
        <f>K196+M196</f>
        <v>4234.042</v>
      </c>
      <c r="P196" s="22"/>
    </row>
    <row r="197" spans="7:16" ht="15.75" customHeight="1">
      <c r="G197" s="46"/>
      <c r="H197" s="138">
        <v>37302</v>
      </c>
      <c r="I197" s="237">
        <v>9</v>
      </c>
      <c r="J197" s="53"/>
      <c r="K197" s="41"/>
      <c r="L197" s="22"/>
      <c r="M197" s="41"/>
      <c r="N197" s="22"/>
      <c r="O197" s="41" t="s">
        <v>672</v>
      </c>
      <c r="P197" s="22"/>
    </row>
    <row r="198" spans="3:16" ht="15.75" customHeight="1">
      <c r="C198" s="44" t="s">
        <v>324</v>
      </c>
      <c r="E198" s="49" t="s">
        <v>793</v>
      </c>
      <c r="F198" s="232">
        <v>8</v>
      </c>
      <c r="G198" s="47">
        <v>29957</v>
      </c>
      <c r="H198" s="168">
        <v>37302</v>
      </c>
      <c r="I198" s="238"/>
      <c r="J198" s="35" t="s">
        <v>735</v>
      </c>
      <c r="K198" s="41">
        <v>1758.628</v>
      </c>
      <c r="L198" s="22"/>
      <c r="M198" s="48" t="s">
        <v>716</v>
      </c>
      <c r="N198" s="28"/>
      <c r="O198" s="41">
        <f aca="true" t="shared" si="7" ref="O198:O236">K198+M198</f>
        <v>1758.628</v>
      </c>
      <c r="P198" s="22"/>
    </row>
    <row r="199" spans="3:16" ht="15.75" customHeight="1">
      <c r="C199" s="44" t="s">
        <v>325</v>
      </c>
      <c r="E199" s="49" t="s">
        <v>775</v>
      </c>
      <c r="F199" s="232">
        <v>8</v>
      </c>
      <c r="G199" s="47">
        <v>28444</v>
      </c>
      <c r="H199" s="168">
        <v>39401</v>
      </c>
      <c r="I199" s="238"/>
      <c r="J199" s="35" t="s">
        <v>754</v>
      </c>
      <c r="K199" s="41">
        <v>1494.696</v>
      </c>
      <c r="L199" s="22"/>
      <c r="M199" s="48" t="s">
        <v>716</v>
      </c>
      <c r="N199" s="28"/>
      <c r="O199" s="41">
        <f t="shared" si="7"/>
        <v>1494.696</v>
      </c>
      <c r="P199" s="22"/>
    </row>
    <row r="200" spans="7:16" ht="15.75" customHeight="1">
      <c r="G200" s="46"/>
      <c r="H200" s="138">
        <v>37575</v>
      </c>
      <c r="I200" s="237">
        <v>9</v>
      </c>
      <c r="J200" s="35"/>
      <c r="K200" s="41"/>
      <c r="L200" s="22"/>
      <c r="M200" s="41"/>
      <c r="N200" s="22"/>
      <c r="O200" s="41" t="s">
        <v>672</v>
      </c>
      <c r="P200" s="22"/>
    </row>
    <row r="201" spans="3:16" ht="15.75" customHeight="1">
      <c r="C201" s="44" t="s">
        <v>326</v>
      </c>
      <c r="E201" s="49" t="s">
        <v>794</v>
      </c>
      <c r="F201" s="232">
        <v>8</v>
      </c>
      <c r="G201" s="47">
        <v>30223</v>
      </c>
      <c r="H201" s="168">
        <v>37575</v>
      </c>
      <c r="I201" s="238"/>
      <c r="J201" s="35" t="s">
        <v>754</v>
      </c>
      <c r="K201" s="41">
        <v>2753.002</v>
      </c>
      <c r="L201" s="22"/>
      <c r="M201" s="48" t="s">
        <v>716</v>
      </c>
      <c r="N201" s="28"/>
      <c r="O201" s="41">
        <f t="shared" si="7"/>
        <v>2753.002</v>
      </c>
      <c r="P201" s="22"/>
    </row>
    <row r="202" spans="3:16" ht="15.75" customHeight="1">
      <c r="C202" s="44" t="s">
        <v>327</v>
      </c>
      <c r="E202" s="49" t="s">
        <v>795</v>
      </c>
      <c r="F202" s="232">
        <v>8</v>
      </c>
      <c r="G202" s="47">
        <v>30320</v>
      </c>
      <c r="H202" s="168">
        <v>37667</v>
      </c>
      <c r="I202" s="238"/>
      <c r="J202" s="35" t="s">
        <v>735</v>
      </c>
      <c r="K202" s="41">
        <v>3006.667</v>
      </c>
      <c r="L202" s="22"/>
      <c r="M202" s="48" t="s">
        <v>716</v>
      </c>
      <c r="N202" s="28"/>
      <c r="O202" s="41">
        <f t="shared" si="7"/>
        <v>3006.667</v>
      </c>
      <c r="P202" s="22"/>
    </row>
    <row r="203" spans="3:16" ht="15.75" customHeight="1">
      <c r="C203" s="44" t="s">
        <v>328</v>
      </c>
      <c r="E203" s="49" t="s">
        <v>795</v>
      </c>
      <c r="F203" s="232">
        <v>8</v>
      </c>
      <c r="G203" s="47">
        <v>30410</v>
      </c>
      <c r="H203" s="168">
        <v>37756</v>
      </c>
      <c r="I203" s="239"/>
      <c r="J203" s="35" t="s">
        <v>754</v>
      </c>
      <c r="K203" s="41">
        <v>3249.132</v>
      </c>
      <c r="L203" s="22"/>
      <c r="M203" s="48" t="s">
        <v>716</v>
      </c>
      <c r="N203" s="28"/>
      <c r="O203" s="41">
        <f t="shared" si="7"/>
        <v>3249.132</v>
      </c>
      <c r="P203" s="22"/>
    </row>
    <row r="204" spans="3:16" ht="15.75" customHeight="1">
      <c r="C204" s="44" t="s">
        <v>329</v>
      </c>
      <c r="E204" s="49" t="s">
        <v>796</v>
      </c>
      <c r="F204" s="232">
        <v>8</v>
      </c>
      <c r="G204" s="47">
        <v>28717</v>
      </c>
      <c r="H204" s="168">
        <v>39675</v>
      </c>
      <c r="I204" s="239"/>
      <c r="J204" s="35" t="s">
        <v>735</v>
      </c>
      <c r="K204" s="41">
        <v>2102.549</v>
      </c>
      <c r="L204" s="22"/>
      <c r="M204" s="48" t="s">
        <v>716</v>
      </c>
      <c r="N204" s="28"/>
      <c r="O204" s="41">
        <f t="shared" si="7"/>
        <v>2102.549</v>
      </c>
      <c r="P204" s="22"/>
    </row>
    <row r="205" spans="7:16" ht="15.75" customHeight="1">
      <c r="G205" s="46"/>
      <c r="H205" s="138">
        <v>37848</v>
      </c>
      <c r="I205" s="237">
        <v>9</v>
      </c>
      <c r="J205" s="35"/>
      <c r="K205" s="41"/>
      <c r="L205" s="22"/>
      <c r="M205" s="41"/>
      <c r="N205" s="22"/>
      <c r="O205" s="41" t="s">
        <v>672</v>
      </c>
      <c r="P205" s="22"/>
    </row>
    <row r="206" spans="3:16" ht="15.75" customHeight="1">
      <c r="C206" s="44" t="s">
        <v>330</v>
      </c>
      <c r="E206" s="49" t="s">
        <v>797</v>
      </c>
      <c r="F206" s="232">
        <v>8</v>
      </c>
      <c r="G206" s="47">
        <v>30502</v>
      </c>
      <c r="H206" s="168">
        <v>37848</v>
      </c>
      <c r="I206" s="239"/>
      <c r="J206" s="35" t="s">
        <v>735</v>
      </c>
      <c r="K206" s="41">
        <v>3501.388</v>
      </c>
      <c r="L206" s="22"/>
      <c r="M206" s="48" t="s">
        <v>716</v>
      </c>
      <c r="N206" s="28"/>
      <c r="O206" s="41">
        <f t="shared" si="7"/>
        <v>3501.388</v>
      </c>
      <c r="P206" s="22"/>
    </row>
    <row r="207" spans="3:16" ht="15.75" customHeight="1">
      <c r="C207" s="44" t="s">
        <v>331</v>
      </c>
      <c r="E207" s="49" t="s">
        <v>782</v>
      </c>
      <c r="F207" s="232">
        <v>8</v>
      </c>
      <c r="G207" s="47">
        <v>28809</v>
      </c>
      <c r="H207" s="168">
        <v>39767</v>
      </c>
      <c r="I207" s="239"/>
      <c r="J207" s="35" t="s">
        <v>754</v>
      </c>
      <c r="K207" s="41">
        <v>5230.339</v>
      </c>
      <c r="L207" s="22"/>
      <c r="M207" s="48" t="s">
        <v>716</v>
      </c>
      <c r="N207" s="28"/>
      <c r="O207" s="41">
        <f t="shared" si="7"/>
        <v>5230.339</v>
      </c>
      <c r="P207" s="22"/>
    </row>
    <row r="208" spans="7:16" ht="15.75" customHeight="1">
      <c r="G208" s="46"/>
      <c r="H208" s="138">
        <v>37940</v>
      </c>
      <c r="I208" s="237">
        <v>9</v>
      </c>
      <c r="J208" s="35"/>
      <c r="K208" s="41"/>
      <c r="L208" s="22"/>
      <c r="M208" s="41"/>
      <c r="N208" s="22"/>
      <c r="O208" s="41" t="s">
        <v>672</v>
      </c>
      <c r="P208" s="22"/>
    </row>
    <row r="209" spans="3:16" ht="15.75" customHeight="1">
      <c r="C209" s="44" t="s">
        <v>332</v>
      </c>
      <c r="E209" s="49" t="s">
        <v>798</v>
      </c>
      <c r="F209" s="232">
        <v>8</v>
      </c>
      <c r="G209" s="47">
        <v>30594</v>
      </c>
      <c r="H209" s="168">
        <v>37940</v>
      </c>
      <c r="I209" s="239"/>
      <c r="J209" s="35" t="s">
        <v>754</v>
      </c>
      <c r="K209" s="41">
        <v>7259.553</v>
      </c>
      <c r="L209" s="22"/>
      <c r="M209" s="48" t="s">
        <v>716</v>
      </c>
      <c r="N209" s="28"/>
      <c r="O209" s="41">
        <f t="shared" si="7"/>
        <v>7259.553</v>
      </c>
      <c r="P209" s="22"/>
    </row>
    <row r="210" spans="3:16" ht="15.75" customHeight="1">
      <c r="C210" s="44" t="s">
        <v>333</v>
      </c>
      <c r="E210" s="49" t="s">
        <v>753</v>
      </c>
      <c r="F210" s="232">
        <v>8</v>
      </c>
      <c r="G210" s="47">
        <v>28990</v>
      </c>
      <c r="H210" s="138">
        <v>39948</v>
      </c>
      <c r="I210" s="238"/>
      <c r="J210" s="35" t="s">
        <v>754</v>
      </c>
      <c r="K210" s="41">
        <v>4605.676</v>
      </c>
      <c r="L210" s="22"/>
      <c r="M210" s="48" t="s">
        <v>716</v>
      </c>
      <c r="N210" s="28"/>
      <c r="O210" s="41">
        <f t="shared" si="7"/>
        <v>4605.676</v>
      </c>
      <c r="P210" s="22"/>
    </row>
    <row r="211" spans="7:16" ht="15.75" customHeight="1">
      <c r="G211" s="46"/>
      <c r="H211" s="138">
        <v>38122</v>
      </c>
      <c r="I211" s="237">
        <v>9</v>
      </c>
      <c r="J211" s="35"/>
      <c r="K211" s="41"/>
      <c r="L211" s="22"/>
      <c r="M211" s="41"/>
      <c r="N211" s="22"/>
      <c r="O211" s="41" t="s">
        <v>672</v>
      </c>
      <c r="P211" s="22"/>
    </row>
    <row r="212" spans="3:16" ht="15.75" customHeight="1">
      <c r="C212" s="44" t="s">
        <v>334</v>
      </c>
      <c r="E212" s="49" t="s">
        <v>799</v>
      </c>
      <c r="F212" s="232">
        <v>8</v>
      </c>
      <c r="G212" s="47">
        <v>30777</v>
      </c>
      <c r="H212" s="168">
        <v>38122</v>
      </c>
      <c r="I212" s="238"/>
      <c r="J212" s="35" t="s">
        <v>754</v>
      </c>
      <c r="K212" s="41">
        <v>3754.928</v>
      </c>
      <c r="L212" s="22"/>
      <c r="M212" s="48" t="s">
        <v>716</v>
      </c>
      <c r="N212" s="28"/>
      <c r="O212" s="41">
        <f t="shared" si="7"/>
        <v>3754.928</v>
      </c>
      <c r="P212" s="22"/>
    </row>
    <row r="213" spans="3:16" ht="15.75" customHeight="1">
      <c r="C213" s="44" t="s">
        <v>335</v>
      </c>
      <c r="E213" s="49" t="s">
        <v>800</v>
      </c>
      <c r="F213" s="232">
        <v>8</v>
      </c>
      <c r="G213" s="47">
        <v>30873</v>
      </c>
      <c r="H213" s="168">
        <v>38214</v>
      </c>
      <c r="I213" s="238"/>
      <c r="J213" s="35" t="s">
        <v>735</v>
      </c>
      <c r="K213" s="41">
        <v>4000.363</v>
      </c>
      <c r="L213" s="22"/>
      <c r="M213" s="48" t="s">
        <v>716</v>
      </c>
      <c r="N213" s="28"/>
      <c r="O213" s="41">
        <f t="shared" si="7"/>
        <v>4000.363</v>
      </c>
      <c r="P213" s="22"/>
    </row>
    <row r="214" spans="3:16" ht="15.75" customHeight="1">
      <c r="C214" s="44" t="s">
        <v>336</v>
      </c>
      <c r="E214" s="49" t="s">
        <v>801</v>
      </c>
      <c r="F214" s="232">
        <v>8</v>
      </c>
      <c r="G214" s="47">
        <v>29174</v>
      </c>
      <c r="H214" s="168">
        <v>40132</v>
      </c>
      <c r="I214" s="238"/>
      <c r="J214" s="35" t="s">
        <v>754</v>
      </c>
      <c r="K214" s="41">
        <v>4201.062</v>
      </c>
      <c r="L214" s="22"/>
      <c r="M214" s="48" t="s">
        <v>716</v>
      </c>
      <c r="N214" s="28"/>
      <c r="O214" s="41">
        <f t="shared" si="7"/>
        <v>4201.062</v>
      </c>
      <c r="P214" s="22"/>
    </row>
    <row r="215" spans="6:16" ht="15.75" customHeight="1">
      <c r="F215" s="232"/>
      <c r="G215" s="46"/>
      <c r="H215" s="138">
        <v>38306</v>
      </c>
      <c r="I215" s="237">
        <v>9</v>
      </c>
      <c r="J215" s="35"/>
      <c r="K215" s="41"/>
      <c r="L215" s="22"/>
      <c r="M215" s="41"/>
      <c r="N215" s="22"/>
      <c r="O215" s="41" t="s">
        <v>672</v>
      </c>
      <c r="P215" s="22"/>
    </row>
    <row r="216" spans="3:16" ht="15.75" customHeight="1">
      <c r="C216" s="44" t="s">
        <v>337</v>
      </c>
      <c r="E216" s="49" t="s">
        <v>794</v>
      </c>
      <c r="G216" s="47">
        <v>30985</v>
      </c>
      <c r="H216" s="168">
        <v>38306</v>
      </c>
      <c r="I216" s="238"/>
      <c r="J216" s="35" t="s">
        <v>754</v>
      </c>
      <c r="K216" s="41">
        <v>8301.806</v>
      </c>
      <c r="L216" s="22"/>
      <c r="M216" s="48" t="s">
        <v>716</v>
      </c>
      <c r="N216" s="28"/>
      <c r="O216" s="41">
        <f t="shared" si="7"/>
        <v>8301.806</v>
      </c>
      <c r="P216" s="22"/>
    </row>
    <row r="217" spans="3:16" ht="15.75" customHeight="1">
      <c r="C217" s="44" t="s">
        <v>338</v>
      </c>
      <c r="E217" s="49" t="s">
        <v>788</v>
      </c>
      <c r="F217" s="232">
        <v>8</v>
      </c>
      <c r="G217" s="47">
        <v>29266</v>
      </c>
      <c r="H217" s="168">
        <v>40224</v>
      </c>
      <c r="I217" s="238"/>
      <c r="J217" s="35" t="s">
        <v>735</v>
      </c>
      <c r="K217" s="41">
        <v>2647.309</v>
      </c>
      <c r="L217" s="22"/>
      <c r="M217" s="52">
        <v>-196.1</v>
      </c>
      <c r="N217" s="22"/>
      <c r="O217" s="41">
        <f t="shared" si="7"/>
        <v>2451.2090000000003</v>
      </c>
      <c r="P217" s="22"/>
    </row>
    <row r="218" spans="6:16" ht="15.75" customHeight="1">
      <c r="F218" s="236"/>
      <c r="G218" s="46"/>
      <c r="H218" s="138">
        <v>38398</v>
      </c>
      <c r="I218" s="237">
        <v>9</v>
      </c>
      <c r="J218" s="35"/>
      <c r="K218" s="41"/>
      <c r="L218" s="22"/>
      <c r="M218" s="41"/>
      <c r="N218" s="22"/>
      <c r="O218" s="41" t="s">
        <v>672</v>
      </c>
      <c r="P218" s="22"/>
    </row>
    <row r="219" spans="3:16" ht="15.75" customHeight="1">
      <c r="C219" s="44" t="s">
        <v>339</v>
      </c>
      <c r="E219" s="49" t="s">
        <v>802</v>
      </c>
      <c r="F219" s="232">
        <v>8</v>
      </c>
      <c r="G219" s="47">
        <v>29356</v>
      </c>
      <c r="H219" s="168">
        <v>40313</v>
      </c>
      <c r="I219" s="238"/>
      <c r="J219" s="35" t="s">
        <v>754</v>
      </c>
      <c r="K219" s="41">
        <v>2987.44</v>
      </c>
      <c r="L219" s="22"/>
      <c r="M219" s="48" t="s">
        <v>716</v>
      </c>
      <c r="N219" s="28"/>
      <c r="O219" s="41">
        <f t="shared" si="7"/>
        <v>2987.44</v>
      </c>
      <c r="P219" s="22"/>
    </row>
    <row r="220" spans="6:16" ht="15.75" customHeight="1">
      <c r="F220" s="236"/>
      <c r="G220" s="46"/>
      <c r="H220" s="138">
        <v>38487</v>
      </c>
      <c r="I220" s="237">
        <v>9</v>
      </c>
      <c r="J220" s="35"/>
      <c r="K220" s="41"/>
      <c r="L220" s="22"/>
      <c r="M220" s="41"/>
      <c r="N220" s="22"/>
      <c r="O220" s="41" t="s">
        <v>672</v>
      </c>
      <c r="P220" s="22"/>
    </row>
    <row r="221" spans="3:16" ht="15.75" customHeight="1">
      <c r="C221" s="44" t="s">
        <v>340</v>
      </c>
      <c r="E221" s="49" t="s">
        <v>803</v>
      </c>
      <c r="F221" s="232"/>
      <c r="G221" s="47">
        <v>31139</v>
      </c>
      <c r="H221" s="168">
        <v>38487</v>
      </c>
      <c r="I221" s="238"/>
      <c r="J221" s="35" t="s">
        <v>754</v>
      </c>
      <c r="K221" s="41">
        <v>4260.758</v>
      </c>
      <c r="L221" s="22"/>
      <c r="M221" s="48" t="s">
        <v>716</v>
      </c>
      <c r="N221" s="28"/>
      <c r="O221" s="41">
        <f t="shared" si="7"/>
        <v>4260.758</v>
      </c>
      <c r="P221" s="22"/>
    </row>
    <row r="222" spans="3:16" ht="15.75" customHeight="1">
      <c r="C222" s="44" t="s">
        <v>341</v>
      </c>
      <c r="E222" s="101" t="s">
        <v>795</v>
      </c>
      <c r="G222" s="53">
        <v>31230</v>
      </c>
      <c r="H222" s="168">
        <v>38579</v>
      </c>
      <c r="I222" s="238"/>
      <c r="J222" s="35" t="s">
        <v>735</v>
      </c>
      <c r="K222" s="41">
        <v>9269.713</v>
      </c>
      <c r="L222" s="22"/>
      <c r="M222" s="48" t="s">
        <v>716</v>
      </c>
      <c r="N222" s="28"/>
      <c r="O222" s="41">
        <f t="shared" si="7"/>
        <v>9269.713</v>
      </c>
      <c r="P222" s="22"/>
    </row>
    <row r="223" spans="3:16" ht="15.75" customHeight="1">
      <c r="C223" s="44" t="s">
        <v>342</v>
      </c>
      <c r="E223" s="49" t="s">
        <v>804</v>
      </c>
      <c r="F223" s="232">
        <v>8</v>
      </c>
      <c r="G223" s="47">
        <v>29542</v>
      </c>
      <c r="H223" s="168">
        <v>40497</v>
      </c>
      <c r="I223" s="238"/>
      <c r="J223" s="35" t="s">
        <v>754</v>
      </c>
      <c r="K223" s="41">
        <v>4736.37</v>
      </c>
      <c r="L223" s="22"/>
      <c r="M223" s="52">
        <v>-220</v>
      </c>
      <c r="N223" s="28"/>
      <c r="O223" s="41">
        <f t="shared" si="7"/>
        <v>4516.37</v>
      </c>
      <c r="P223" s="22"/>
    </row>
    <row r="224" spans="2:16" ht="15.75" customHeight="1">
      <c r="B224" s="10"/>
      <c r="E224" s="3"/>
      <c r="F224" s="239"/>
      <c r="G224" s="47"/>
      <c r="H224" s="138">
        <v>38671</v>
      </c>
      <c r="I224" s="237">
        <v>9</v>
      </c>
      <c r="J224" s="79"/>
      <c r="K224" s="15"/>
      <c r="M224" s="15"/>
      <c r="O224" s="41" t="s">
        <v>672</v>
      </c>
      <c r="P224" s="22"/>
    </row>
    <row r="225" spans="2:16" ht="15.75" customHeight="1">
      <c r="B225" s="10"/>
      <c r="C225" s="44" t="s">
        <v>343</v>
      </c>
      <c r="E225" s="49" t="s">
        <v>805</v>
      </c>
      <c r="G225" s="47">
        <v>31427</v>
      </c>
      <c r="H225" s="168">
        <v>38763</v>
      </c>
      <c r="I225" s="239"/>
      <c r="J225" s="35" t="s">
        <v>735</v>
      </c>
      <c r="K225" s="41">
        <v>4755.916</v>
      </c>
      <c r="L225" s="22"/>
      <c r="M225" s="48" t="s">
        <v>716</v>
      </c>
      <c r="N225" s="28"/>
      <c r="O225" s="41">
        <f t="shared" si="7"/>
        <v>4755.916</v>
      </c>
      <c r="P225" s="22"/>
    </row>
    <row r="226" spans="2:16" ht="15.75" customHeight="1">
      <c r="B226" s="10"/>
      <c r="C226" s="44" t="s">
        <v>344</v>
      </c>
      <c r="E226" s="49" t="s">
        <v>806</v>
      </c>
      <c r="F226" s="232">
        <v>8</v>
      </c>
      <c r="G226" s="47">
        <v>29721</v>
      </c>
      <c r="H226" s="168">
        <v>40678</v>
      </c>
      <c r="I226" s="239"/>
      <c r="J226" s="35" t="s">
        <v>754</v>
      </c>
      <c r="K226" s="41">
        <v>4608.503</v>
      </c>
      <c r="L226" s="22"/>
      <c r="M226" s="52">
        <v>-325</v>
      </c>
      <c r="N226" s="28"/>
      <c r="O226" s="41">
        <f t="shared" si="7"/>
        <v>4283.503</v>
      </c>
      <c r="P226" s="22"/>
    </row>
    <row r="227" spans="3:16" ht="15.75" customHeight="1">
      <c r="C227" s="44" t="s">
        <v>672</v>
      </c>
      <c r="F227" s="231"/>
      <c r="G227" s="46"/>
      <c r="H227" s="138">
        <v>38852</v>
      </c>
      <c r="I227" s="237">
        <v>9</v>
      </c>
      <c r="J227" s="35"/>
      <c r="K227" s="41"/>
      <c r="L227" s="22"/>
      <c r="M227" s="41"/>
      <c r="N227" s="22"/>
      <c r="O227" s="41" t="s">
        <v>672</v>
      </c>
      <c r="P227" s="22"/>
    </row>
    <row r="228" spans="3:16" ht="15.75" customHeight="1">
      <c r="C228" s="44" t="s">
        <v>345</v>
      </c>
      <c r="E228" s="49" t="s">
        <v>807</v>
      </c>
      <c r="F228" s="232">
        <v>8</v>
      </c>
      <c r="G228" s="47">
        <v>29906</v>
      </c>
      <c r="H228" s="168">
        <v>40862</v>
      </c>
      <c r="I228" s="238"/>
      <c r="J228" s="35" t="s">
        <v>754</v>
      </c>
      <c r="K228" s="41">
        <v>4900.545</v>
      </c>
      <c r="L228" s="22"/>
      <c r="M228" s="52">
        <v>-412</v>
      </c>
      <c r="N228" s="28"/>
      <c r="O228" s="41">
        <f t="shared" si="7"/>
        <v>4488.545</v>
      </c>
      <c r="P228" s="22"/>
    </row>
    <row r="229" spans="6:16" ht="15.75" customHeight="1">
      <c r="F229" s="231"/>
      <c r="G229" s="46"/>
      <c r="H229" s="138">
        <v>39036</v>
      </c>
      <c r="I229" s="237">
        <v>9</v>
      </c>
      <c r="J229" s="35"/>
      <c r="K229" s="41"/>
      <c r="L229" s="22"/>
      <c r="M229" s="41"/>
      <c r="N229" s="22"/>
      <c r="O229" s="41" t="s">
        <v>672</v>
      </c>
      <c r="P229" s="22"/>
    </row>
    <row r="230" spans="3:16" ht="15.75" customHeight="1">
      <c r="C230" s="44" t="s">
        <v>346</v>
      </c>
      <c r="E230" s="49" t="s">
        <v>801</v>
      </c>
      <c r="F230" s="232">
        <v>8</v>
      </c>
      <c r="G230" s="47">
        <v>30270</v>
      </c>
      <c r="H230" s="168">
        <v>41228</v>
      </c>
      <c r="I230" s="238"/>
      <c r="J230" s="35" t="s">
        <v>754</v>
      </c>
      <c r="K230" s="41">
        <v>11031.518</v>
      </c>
      <c r="L230" s="22"/>
      <c r="M230" s="52">
        <v>-580</v>
      </c>
      <c r="N230" s="22"/>
      <c r="O230" s="41">
        <f t="shared" si="7"/>
        <v>10451.518</v>
      </c>
      <c r="P230" s="22"/>
    </row>
    <row r="231" spans="3:16" ht="15.75" customHeight="1">
      <c r="C231" s="44"/>
      <c r="E231" s="49"/>
      <c r="F231" s="231"/>
      <c r="G231" s="47"/>
      <c r="H231" s="138">
        <v>39401</v>
      </c>
      <c r="I231" s="237">
        <v>9</v>
      </c>
      <c r="J231" s="35"/>
      <c r="K231" s="41"/>
      <c r="L231" s="22"/>
      <c r="M231" s="48"/>
      <c r="N231" s="28"/>
      <c r="O231" s="41" t="s">
        <v>672</v>
      </c>
      <c r="P231" s="22"/>
    </row>
    <row r="232" spans="3:16" ht="15.75" customHeight="1">
      <c r="C232" s="44" t="s">
        <v>347</v>
      </c>
      <c r="E232" s="49" t="s">
        <v>803</v>
      </c>
      <c r="F232" s="232">
        <v>8</v>
      </c>
      <c r="G232" s="47">
        <v>30543</v>
      </c>
      <c r="H232" s="168">
        <v>41501</v>
      </c>
      <c r="I232" s="238"/>
      <c r="J232" s="35" t="s">
        <v>735</v>
      </c>
      <c r="K232" s="41">
        <v>14755.363</v>
      </c>
      <c r="L232" s="22"/>
      <c r="M232" s="52">
        <v>-1296.8</v>
      </c>
      <c r="N232" s="276"/>
      <c r="O232" s="41">
        <f t="shared" si="7"/>
        <v>13458.563</v>
      </c>
      <c r="P232" s="22"/>
    </row>
    <row r="233" spans="6:16" ht="15.75" customHeight="1">
      <c r="F233" s="231"/>
      <c r="G233" s="46"/>
      <c r="H233" s="138">
        <v>39675</v>
      </c>
      <c r="I233" s="237">
        <v>9</v>
      </c>
      <c r="J233" s="35"/>
      <c r="K233" s="41"/>
      <c r="L233" s="22"/>
      <c r="M233" s="41"/>
      <c r="N233" s="22"/>
      <c r="O233" s="41" t="s">
        <v>672</v>
      </c>
      <c r="P233" s="22"/>
    </row>
    <row r="234" spans="3:16" ht="15.75" customHeight="1">
      <c r="C234" s="44" t="s">
        <v>348</v>
      </c>
      <c r="E234" s="49" t="s">
        <v>808</v>
      </c>
      <c r="F234" s="232">
        <v>8</v>
      </c>
      <c r="G234" s="47">
        <v>30817</v>
      </c>
      <c r="H234" s="168">
        <v>41774</v>
      </c>
      <c r="I234" s="238"/>
      <c r="J234" s="35" t="s">
        <v>754</v>
      </c>
      <c r="K234" s="41">
        <v>5007.367</v>
      </c>
      <c r="L234" s="22"/>
      <c r="M234" s="52">
        <v>-526.6</v>
      </c>
      <c r="N234" s="28"/>
      <c r="O234" s="41">
        <f t="shared" si="7"/>
        <v>4480.767</v>
      </c>
      <c r="P234" s="22"/>
    </row>
    <row r="235" spans="6:16" ht="15.75" customHeight="1">
      <c r="F235" s="231"/>
      <c r="G235" s="46"/>
      <c r="H235" s="138">
        <v>39948</v>
      </c>
      <c r="I235" s="237">
        <v>9</v>
      </c>
      <c r="J235" s="35"/>
      <c r="K235" s="41"/>
      <c r="L235" s="22"/>
      <c r="M235" s="41"/>
      <c r="N235" s="22"/>
      <c r="O235" s="41" t="s">
        <v>672</v>
      </c>
      <c r="P235" s="22"/>
    </row>
    <row r="236" spans="3:16" ht="15.75" customHeight="1">
      <c r="C236" s="44" t="s">
        <v>349</v>
      </c>
      <c r="E236" s="49" t="s">
        <v>809</v>
      </c>
      <c r="F236" s="232">
        <v>8</v>
      </c>
      <c r="G236" s="47">
        <v>30909</v>
      </c>
      <c r="H236" s="168">
        <v>41866</v>
      </c>
      <c r="I236" s="238"/>
      <c r="J236" s="35" t="s">
        <v>735</v>
      </c>
      <c r="K236" s="41">
        <v>5128.392</v>
      </c>
      <c r="L236" s="22"/>
      <c r="M236" s="52">
        <v>-347.2</v>
      </c>
      <c r="N236" s="28"/>
      <c r="O236" s="41">
        <f t="shared" si="7"/>
        <v>4781.192</v>
      </c>
      <c r="P236" s="22"/>
    </row>
    <row r="237" spans="6:16" ht="15.75" customHeight="1">
      <c r="F237" s="231"/>
      <c r="G237" s="46"/>
      <c r="H237" s="138">
        <v>40040</v>
      </c>
      <c r="I237" s="237">
        <v>9</v>
      </c>
      <c r="J237" s="35"/>
      <c r="K237" s="41"/>
      <c r="L237" s="22"/>
      <c r="M237" s="41"/>
      <c r="N237" s="22"/>
      <c r="O237" s="41" t="s">
        <v>672</v>
      </c>
      <c r="P237" s="22"/>
    </row>
    <row r="238" spans="3:16" ht="15.75" customHeight="1">
      <c r="C238" s="44" t="s">
        <v>350</v>
      </c>
      <c r="E238" s="49" t="s">
        <v>788</v>
      </c>
      <c r="F238" s="232"/>
      <c r="G238" s="47">
        <v>31001</v>
      </c>
      <c r="H238" s="168">
        <v>41958</v>
      </c>
      <c r="I238" s="238"/>
      <c r="J238" s="35" t="s">
        <v>754</v>
      </c>
      <c r="K238" s="41">
        <v>6005.584</v>
      </c>
      <c r="L238" s="22"/>
      <c r="M238" s="48" t="s">
        <v>716</v>
      </c>
      <c r="N238" s="28"/>
      <c r="O238" s="41">
        <f>K238+M238</f>
        <v>6005.584</v>
      </c>
      <c r="P238" s="22"/>
    </row>
    <row r="239" spans="6:16" ht="15.75" customHeight="1">
      <c r="F239" s="236"/>
      <c r="G239" s="46"/>
      <c r="H239" s="138">
        <v>40132</v>
      </c>
      <c r="I239" s="237">
        <v>9</v>
      </c>
      <c r="J239" s="35"/>
      <c r="K239" s="41"/>
      <c r="L239" s="22"/>
      <c r="M239" s="41"/>
      <c r="N239" s="22"/>
      <c r="O239" s="41" t="s">
        <v>672</v>
      </c>
      <c r="P239" s="22"/>
    </row>
    <row r="240" spans="3:16" ht="15.75" customHeight="1">
      <c r="C240" s="44" t="s">
        <v>351</v>
      </c>
      <c r="E240" s="49" t="s">
        <v>810</v>
      </c>
      <c r="F240" s="232"/>
      <c r="G240" s="47">
        <v>31093</v>
      </c>
      <c r="H240" s="181">
        <v>42050</v>
      </c>
      <c r="I240" s="3"/>
      <c r="J240" s="35" t="s">
        <v>735</v>
      </c>
      <c r="K240" s="41">
        <v>12667.799</v>
      </c>
      <c r="L240" s="22"/>
      <c r="M240" s="52">
        <v>-1317</v>
      </c>
      <c r="N240" s="28"/>
      <c r="O240" s="41">
        <f>K240+M240</f>
        <v>11350.799</v>
      </c>
      <c r="P240" s="22"/>
    </row>
    <row r="241" spans="3:16" ht="15.75" customHeight="1">
      <c r="C241" s="44" t="s">
        <v>352</v>
      </c>
      <c r="E241" s="49" t="s">
        <v>811</v>
      </c>
      <c r="F241" s="232"/>
      <c r="G241" s="47">
        <v>31274</v>
      </c>
      <c r="H241" s="181">
        <v>42231</v>
      </c>
      <c r="I241" s="3"/>
      <c r="J241" s="35" t="s">
        <v>735</v>
      </c>
      <c r="K241" s="41">
        <v>7149.916</v>
      </c>
      <c r="L241" s="22"/>
      <c r="M241" s="52">
        <v>-2044</v>
      </c>
      <c r="N241" s="28"/>
      <c r="O241" s="41">
        <f>K241+M241</f>
        <v>5105.916</v>
      </c>
      <c r="P241" s="22"/>
    </row>
    <row r="242" spans="3:16" ht="15.75" customHeight="1">
      <c r="C242" s="44" t="s">
        <v>353</v>
      </c>
      <c r="E242" s="49" t="s">
        <v>812</v>
      </c>
      <c r="F242" s="232"/>
      <c r="G242" s="47">
        <v>31380</v>
      </c>
      <c r="H242" s="181">
        <v>42323</v>
      </c>
      <c r="I242" s="3"/>
      <c r="J242" s="35" t="s">
        <v>754</v>
      </c>
      <c r="K242" s="41">
        <v>6899.859</v>
      </c>
      <c r="L242" s="22"/>
      <c r="M242" s="52">
        <v>-1009</v>
      </c>
      <c r="N242" s="28"/>
      <c r="O242" s="41">
        <f>K242+M242</f>
        <v>5890.859</v>
      </c>
      <c r="P242" s="22"/>
    </row>
    <row r="243" spans="3:16" ht="15.75" customHeight="1">
      <c r="C243" s="44" t="s">
        <v>354</v>
      </c>
      <c r="E243" s="49" t="s">
        <v>813</v>
      </c>
      <c r="F243" s="232"/>
      <c r="G243" s="47">
        <v>31461</v>
      </c>
      <c r="H243" s="181">
        <v>42415</v>
      </c>
      <c r="I243" s="3"/>
      <c r="J243" s="35" t="s">
        <v>735</v>
      </c>
      <c r="K243" s="41">
        <v>7266.854</v>
      </c>
      <c r="L243" s="22"/>
      <c r="M243" s="52">
        <v>-919.1</v>
      </c>
      <c r="N243" s="28"/>
      <c r="O243" s="41">
        <f aca="true" t="shared" si="8" ref="O243:O271">K243+M243</f>
        <v>6347.754</v>
      </c>
      <c r="P243" s="22"/>
    </row>
    <row r="244" spans="3:16" ht="15.75" customHeight="1">
      <c r="C244" s="44" t="s">
        <v>355</v>
      </c>
      <c r="E244" s="49" t="s">
        <v>786</v>
      </c>
      <c r="F244" s="232"/>
      <c r="G244" s="47">
        <v>31547</v>
      </c>
      <c r="H244" s="181">
        <v>42505</v>
      </c>
      <c r="I244" s="3"/>
      <c r="J244" s="35" t="s">
        <v>754</v>
      </c>
      <c r="K244" s="41">
        <v>18823.551</v>
      </c>
      <c r="L244" s="22"/>
      <c r="M244" s="48" t="s">
        <v>716</v>
      </c>
      <c r="N244" s="28"/>
      <c r="O244" s="41">
        <f t="shared" si="8"/>
        <v>18823.551</v>
      </c>
      <c r="P244" s="22"/>
    </row>
    <row r="245" spans="3:16" ht="15.75" customHeight="1">
      <c r="C245" s="44" t="s">
        <v>356</v>
      </c>
      <c r="E245" s="49" t="s">
        <v>772</v>
      </c>
      <c r="F245" s="232"/>
      <c r="G245" s="47">
        <v>31733</v>
      </c>
      <c r="H245" s="181">
        <v>42689</v>
      </c>
      <c r="I245" s="3"/>
      <c r="J245" s="35" t="s">
        <v>754</v>
      </c>
      <c r="K245" s="41">
        <v>18864.448</v>
      </c>
      <c r="L245" s="22"/>
      <c r="M245" s="52">
        <v>-40</v>
      </c>
      <c r="N245" s="28"/>
      <c r="O245" s="41">
        <f t="shared" si="8"/>
        <v>18824.448</v>
      </c>
      <c r="P245" s="22"/>
    </row>
    <row r="246" spans="3:16" ht="15.75" customHeight="1">
      <c r="C246" s="44" t="s">
        <v>357</v>
      </c>
      <c r="E246" s="49" t="s">
        <v>782</v>
      </c>
      <c r="F246" s="232"/>
      <c r="G246" s="47">
        <v>31912</v>
      </c>
      <c r="H246" s="181">
        <v>42870</v>
      </c>
      <c r="I246" s="3"/>
      <c r="J246" s="35" t="s">
        <v>754</v>
      </c>
      <c r="K246" s="41">
        <v>18194.169</v>
      </c>
      <c r="L246" s="22"/>
      <c r="M246" s="52">
        <v>-1572.5</v>
      </c>
      <c r="N246" s="28"/>
      <c r="O246" s="41">
        <f t="shared" si="8"/>
        <v>16621.669</v>
      </c>
      <c r="P246" s="22"/>
    </row>
    <row r="247" spans="3:16" ht="15.75" customHeight="1">
      <c r="C247" s="44" t="s">
        <v>358</v>
      </c>
      <c r="E247" s="49" t="s">
        <v>734</v>
      </c>
      <c r="F247" s="232"/>
      <c r="G247" s="47">
        <v>32006</v>
      </c>
      <c r="H247" s="181">
        <v>42962</v>
      </c>
      <c r="I247" s="3"/>
      <c r="J247" s="35" t="s">
        <v>735</v>
      </c>
      <c r="K247" s="41">
        <v>14016.858</v>
      </c>
      <c r="L247" s="22"/>
      <c r="M247" s="52">
        <v>-1342.5</v>
      </c>
      <c r="N247" s="28"/>
      <c r="O247" s="41">
        <f t="shared" si="8"/>
        <v>12674.358</v>
      </c>
      <c r="P247" s="22"/>
    </row>
    <row r="248" spans="3:16" ht="15.75" customHeight="1">
      <c r="C248" s="44" t="s">
        <v>359</v>
      </c>
      <c r="E248" s="49" t="s">
        <v>753</v>
      </c>
      <c r="F248" s="232"/>
      <c r="G248" s="47">
        <v>32279</v>
      </c>
      <c r="H248" s="181">
        <v>43235</v>
      </c>
      <c r="I248" s="3"/>
      <c r="J248" s="35" t="s">
        <v>754</v>
      </c>
      <c r="K248" s="41">
        <v>8708.639</v>
      </c>
      <c r="L248" s="22"/>
      <c r="M248" s="52">
        <v>-1491.2</v>
      </c>
      <c r="N248" s="28"/>
      <c r="O248" s="41">
        <f t="shared" si="8"/>
        <v>7217.438999999999</v>
      </c>
      <c r="P248" s="22"/>
    </row>
    <row r="249" spans="3:16" ht="15.75" customHeight="1">
      <c r="C249" s="44" t="s">
        <v>360</v>
      </c>
      <c r="E249" s="49" t="s">
        <v>814</v>
      </c>
      <c r="F249" s="232"/>
      <c r="G249" s="47">
        <v>32469</v>
      </c>
      <c r="H249" s="181">
        <v>43419</v>
      </c>
      <c r="I249" s="3"/>
      <c r="J249" s="35" t="s">
        <v>754</v>
      </c>
      <c r="K249" s="41">
        <v>9032.87</v>
      </c>
      <c r="L249" s="22"/>
      <c r="M249" s="52">
        <v>-1393.4</v>
      </c>
      <c r="N249" s="28"/>
      <c r="O249" s="41">
        <f t="shared" si="8"/>
        <v>7639.470000000001</v>
      </c>
      <c r="P249" s="22"/>
    </row>
    <row r="250" spans="3:16" ht="15.75" customHeight="1">
      <c r="C250" s="44" t="s">
        <v>361</v>
      </c>
      <c r="E250" s="49" t="s">
        <v>734</v>
      </c>
      <c r="F250" s="232"/>
      <c r="G250" s="47">
        <v>32554</v>
      </c>
      <c r="H250" s="181">
        <v>43511</v>
      </c>
      <c r="I250" s="3"/>
      <c r="J250" s="35" t="s">
        <v>735</v>
      </c>
      <c r="K250" s="41">
        <v>19250.798</v>
      </c>
      <c r="L250" s="22"/>
      <c r="M250" s="52">
        <v>-2489.5</v>
      </c>
      <c r="N250" s="28"/>
      <c r="O250" s="41">
        <f t="shared" si="8"/>
        <v>16761.298</v>
      </c>
      <c r="P250" s="22"/>
    </row>
    <row r="251" spans="3:16" ht="15.75" customHeight="1">
      <c r="C251" s="44" t="s">
        <v>362</v>
      </c>
      <c r="E251" s="49" t="s">
        <v>826</v>
      </c>
      <c r="F251" s="232"/>
      <c r="G251" s="47">
        <v>32735</v>
      </c>
      <c r="H251" s="181">
        <v>43692</v>
      </c>
      <c r="I251" s="3"/>
      <c r="J251" s="35" t="s">
        <v>735</v>
      </c>
      <c r="K251" s="41">
        <v>20213.832</v>
      </c>
      <c r="L251" s="22"/>
      <c r="M251" s="52">
        <v>-777.9</v>
      </c>
      <c r="N251" s="28"/>
      <c r="O251" s="41">
        <f t="shared" si="8"/>
        <v>19435.931999999997</v>
      </c>
      <c r="P251" s="22"/>
    </row>
    <row r="252" spans="3:16" ht="15.75" customHeight="1">
      <c r="C252" s="44" t="s">
        <v>363</v>
      </c>
      <c r="E252" s="49" t="s">
        <v>780</v>
      </c>
      <c r="F252" s="232"/>
      <c r="G252" s="47">
        <v>32919</v>
      </c>
      <c r="H252" s="181">
        <v>43876</v>
      </c>
      <c r="I252" s="3"/>
      <c r="J252" s="35" t="s">
        <v>735</v>
      </c>
      <c r="K252" s="41">
        <v>10228.868</v>
      </c>
      <c r="L252" s="22"/>
      <c r="M252" s="52">
        <v>-310.6</v>
      </c>
      <c r="N252" s="28"/>
      <c r="O252" s="41">
        <f t="shared" si="8"/>
        <v>9918.268</v>
      </c>
      <c r="P252" s="22"/>
    </row>
    <row r="253" spans="3:16" ht="15.75" customHeight="1">
      <c r="C253" s="44" t="s">
        <v>364</v>
      </c>
      <c r="E253" s="49" t="s">
        <v>782</v>
      </c>
      <c r="F253" s="232"/>
      <c r="G253" s="47">
        <v>33008</v>
      </c>
      <c r="H253" s="181">
        <v>43966</v>
      </c>
      <c r="I253" s="3"/>
      <c r="J253" s="35" t="s">
        <v>754</v>
      </c>
      <c r="K253" s="41">
        <v>10158.883</v>
      </c>
      <c r="L253" s="22"/>
      <c r="M253" s="52">
        <v>-1785.1</v>
      </c>
      <c r="N253" s="28"/>
      <c r="O253" s="41">
        <f t="shared" si="8"/>
        <v>8373.783</v>
      </c>
      <c r="P253" s="22"/>
    </row>
    <row r="254" spans="3:16" ht="15.75" customHeight="1">
      <c r="C254" s="44" t="s">
        <v>365</v>
      </c>
      <c r="E254" s="49" t="s">
        <v>782</v>
      </c>
      <c r="F254" s="232"/>
      <c r="G254" s="47">
        <v>33100</v>
      </c>
      <c r="H254" s="181">
        <v>44058</v>
      </c>
      <c r="I254" s="3"/>
      <c r="J254" s="35" t="s">
        <v>735</v>
      </c>
      <c r="K254" s="41">
        <v>21418.606</v>
      </c>
      <c r="L254" s="22"/>
      <c r="M254" s="52">
        <v>-2546.3</v>
      </c>
      <c r="N254" s="28"/>
      <c r="O254" s="41">
        <f t="shared" si="8"/>
        <v>18872.306</v>
      </c>
      <c r="P254" s="22"/>
    </row>
    <row r="255" spans="3:16" ht="15.75" customHeight="1">
      <c r="C255" s="44" t="s">
        <v>366</v>
      </c>
      <c r="E255" s="49" t="s">
        <v>775</v>
      </c>
      <c r="F255" s="232"/>
      <c r="G255" s="47">
        <v>33284</v>
      </c>
      <c r="H255" s="181">
        <v>44242</v>
      </c>
      <c r="I255" s="3"/>
      <c r="J255" s="35" t="s">
        <v>735</v>
      </c>
      <c r="K255" s="41">
        <v>11113.373</v>
      </c>
      <c r="L255" s="22"/>
      <c r="M255" s="52">
        <v>-698.8</v>
      </c>
      <c r="N255" s="28"/>
      <c r="O255" s="41">
        <f t="shared" si="8"/>
        <v>10414.573</v>
      </c>
      <c r="P255" s="22"/>
    </row>
    <row r="256" spans="3:16" ht="15.75" customHeight="1">
      <c r="C256" s="44" t="s">
        <v>367</v>
      </c>
      <c r="E256" s="49" t="s">
        <v>826</v>
      </c>
      <c r="F256" s="232"/>
      <c r="G256" s="47">
        <v>33373</v>
      </c>
      <c r="H256" s="181">
        <v>44331</v>
      </c>
      <c r="I256" s="3"/>
      <c r="J256" s="35" t="s">
        <v>754</v>
      </c>
      <c r="K256" s="41">
        <v>11958.888</v>
      </c>
      <c r="L256" s="22"/>
      <c r="M256" s="52">
        <v>-1240.1</v>
      </c>
      <c r="N256" s="28"/>
      <c r="O256" s="41">
        <f t="shared" si="8"/>
        <v>10718.788</v>
      </c>
      <c r="P256" s="22"/>
    </row>
    <row r="257" spans="3:16" ht="15.75" customHeight="1">
      <c r="C257" s="44" t="s">
        <v>368</v>
      </c>
      <c r="E257" s="49" t="s">
        <v>826</v>
      </c>
      <c r="F257" s="232"/>
      <c r="G257" s="47">
        <v>33465</v>
      </c>
      <c r="H257" s="181">
        <v>44423</v>
      </c>
      <c r="I257" s="3"/>
      <c r="J257" s="35" t="s">
        <v>735</v>
      </c>
      <c r="K257" s="41">
        <v>12163.482</v>
      </c>
      <c r="L257" s="22"/>
      <c r="M257" s="52">
        <v>-1480</v>
      </c>
      <c r="N257" s="28"/>
      <c r="O257" s="41">
        <f t="shared" si="8"/>
        <v>10683.482</v>
      </c>
      <c r="P257" s="22"/>
    </row>
    <row r="258" spans="3:16" ht="15.75" customHeight="1">
      <c r="C258" s="44" t="s">
        <v>369</v>
      </c>
      <c r="E258" s="49">
        <v>8</v>
      </c>
      <c r="F258" s="232"/>
      <c r="G258" s="47">
        <v>33557</v>
      </c>
      <c r="H258" s="181">
        <v>44515</v>
      </c>
      <c r="I258" s="3"/>
      <c r="J258" s="35" t="s">
        <v>754</v>
      </c>
      <c r="K258" s="41">
        <v>32798.394</v>
      </c>
      <c r="L258" s="22"/>
      <c r="M258" s="52">
        <v>-1067.2</v>
      </c>
      <c r="N258" s="28"/>
      <c r="O258" s="41">
        <f t="shared" si="8"/>
        <v>31731.194</v>
      </c>
      <c r="P258" s="22"/>
    </row>
    <row r="259" spans="3:16" ht="15.75" customHeight="1">
      <c r="C259" s="44" t="s">
        <v>370</v>
      </c>
      <c r="E259" s="49" t="s">
        <v>786</v>
      </c>
      <c r="F259" s="232"/>
      <c r="G259" s="47">
        <v>33833</v>
      </c>
      <c r="H259" s="181">
        <v>44788</v>
      </c>
      <c r="I259" s="3"/>
      <c r="J259" s="35" t="s">
        <v>735</v>
      </c>
      <c r="K259" s="41">
        <v>10352.79</v>
      </c>
      <c r="L259" s="22"/>
      <c r="M259" s="52">
        <v>-64</v>
      </c>
      <c r="N259" s="28"/>
      <c r="O259" s="41">
        <f t="shared" si="8"/>
        <v>10288.79</v>
      </c>
      <c r="P259" s="22"/>
    </row>
    <row r="260" spans="3:16" ht="15.75" customHeight="1">
      <c r="C260" s="44" t="s">
        <v>371</v>
      </c>
      <c r="E260" s="49" t="s">
        <v>792</v>
      </c>
      <c r="F260" s="232"/>
      <c r="G260" s="47">
        <v>33924</v>
      </c>
      <c r="H260" s="181">
        <v>44880</v>
      </c>
      <c r="I260" s="3"/>
      <c r="J260" s="35" t="s">
        <v>754</v>
      </c>
      <c r="K260" s="41">
        <v>10699.626</v>
      </c>
      <c r="L260" s="22"/>
      <c r="M260" s="52">
        <v>-2115</v>
      </c>
      <c r="N260" s="28"/>
      <c r="O260" s="41">
        <f t="shared" si="8"/>
        <v>8584.626</v>
      </c>
      <c r="P260" s="22"/>
    </row>
    <row r="261" spans="3:16" ht="15.75" customHeight="1">
      <c r="C261" s="44" t="s">
        <v>372</v>
      </c>
      <c r="E261" s="49" t="s">
        <v>769</v>
      </c>
      <c r="F261" s="232"/>
      <c r="G261" s="47">
        <v>34016</v>
      </c>
      <c r="H261" s="181">
        <v>44972</v>
      </c>
      <c r="I261" s="3"/>
      <c r="J261" s="35" t="s">
        <v>735</v>
      </c>
      <c r="K261" s="41">
        <v>18374.361</v>
      </c>
      <c r="L261" s="22"/>
      <c r="M261" s="52">
        <v>-1030.3</v>
      </c>
      <c r="N261" s="28"/>
      <c r="O261" s="41">
        <f t="shared" si="8"/>
        <v>17344.061</v>
      </c>
      <c r="P261" s="22"/>
    </row>
    <row r="262" spans="3:16" ht="15.75" customHeight="1">
      <c r="C262" s="44" t="s">
        <v>373</v>
      </c>
      <c r="E262" s="49" t="s">
        <v>744</v>
      </c>
      <c r="F262" s="232"/>
      <c r="G262" s="47">
        <v>34197</v>
      </c>
      <c r="H262" s="181">
        <v>45153</v>
      </c>
      <c r="I262" s="3"/>
      <c r="J262" s="35" t="s">
        <v>735</v>
      </c>
      <c r="K262" s="41">
        <v>22909.044</v>
      </c>
      <c r="L262" s="22"/>
      <c r="M262" s="52">
        <v>-240</v>
      </c>
      <c r="N262" s="28"/>
      <c r="O262" s="41">
        <f t="shared" si="8"/>
        <v>22669.044</v>
      </c>
      <c r="P262" s="22"/>
    </row>
    <row r="263" spans="3:16" ht="15.75" customHeight="1">
      <c r="C263" s="44" t="s">
        <v>374</v>
      </c>
      <c r="E263" s="49" t="s">
        <v>772</v>
      </c>
      <c r="F263" s="232"/>
      <c r="G263" s="47">
        <v>34561</v>
      </c>
      <c r="H263" s="181">
        <v>45611</v>
      </c>
      <c r="I263" s="3"/>
      <c r="J263" s="35" t="s">
        <v>754</v>
      </c>
      <c r="K263" s="41">
        <v>11469.662</v>
      </c>
      <c r="L263" s="22"/>
      <c r="M263" s="52">
        <v>-1310.5</v>
      </c>
      <c r="N263" s="28"/>
      <c r="O263" s="41">
        <f t="shared" si="8"/>
        <v>10159.162</v>
      </c>
      <c r="P263" s="22"/>
    </row>
    <row r="264" spans="3:16" ht="15.75" customHeight="1">
      <c r="C264" s="44" t="s">
        <v>375</v>
      </c>
      <c r="E264" s="49" t="s">
        <v>792</v>
      </c>
      <c r="F264" s="232"/>
      <c r="G264" s="47">
        <v>34745</v>
      </c>
      <c r="H264" s="181">
        <v>45703</v>
      </c>
      <c r="I264" s="3"/>
      <c r="J264" s="35" t="s">
        <v>735</v>
      </c>
      <c r="K264" s="41">
        <v>11725.17</v>
      </c>
      <c r="L264" s="22"/>
      <c r="M264" s="52">
        <v>-599</v>
      </c>
      <c r="N264" s="28"/>
      <c r="O264" s="41">
        <f t="shared" si="8"/>
        <v>11126.17</v>
      </c>
      <c r="P264" s="22"/>
    </row>
    <row r="265" spans="3:16" ht="15.75" customHeight="1">
      <c r="C265" s="44" t="s">
        <v>376</v>
      </c>
      <c r="E265" s="49" t="s">
        <v>763</v>
      </c>
      <c r="F265" s="232"/>
      <c r="G265" s="47">
        <v>34926</v>
      </c>
      <c r="H265" s="181">
        <v>45884</v>
      </c>
      <c r="I265" s="3"/>
      <c r="J265" s="35" t="s">
        <v>735</v>
      </c>
      <c r="K265" s="41">
        <v>12602.007</v>
      </c>
      <c r="L265" s="22"/>
      <c r="M265" s="52">
        <v>-723.8</v>
      </c>
      <c r="N265" s="28"/>
      <c r="O265" s="41">
        <f t="shared" si="8"/>
        <v>11878.207</v>
      </c>
      <c r="P265" s="22"/>
    </row>
    <row r="266" spans="3:16" ht="15.75" customHeight="1">
      <c r="C266" s="44" t="s">
        <v>377</v>
      </c>
      <c r="E266" s="49" t="s">
        <v>760</v>
      </c>
      <c r="F266" s="232"/>
      <c r="G266" s="47">
        <v>35110</v>
      </c>
      <c r="H266" s="181">
        <v>46068</v>
      </c>
      <c r="I266" s="3"/>
      <c r="J266" s="35" t="s">
        <v>735</v>
      </c>
      <c r="K266" s="41">
        <v>12904.916</v>
      </c>
      <c r="L266" s="22"/>
      <c r="M266" s="52">
        <v>-67</v>
      </c>
      <c r="N266" s="28"/>
      <c r="O266" s="41">
        <f t="shared" si="8"/>
        <v>12837.916</v>
      </c>
      <c r="P266" s="22"/>
    </row>
    <row r="267" spans="3:16" ht="15.75" customHeight="1">
      <c r="C267" s="44" t="s">
        <v>378</v>
      </c>
      <c r="E267" s="49" t="s">
        <v>757</v>
      </c>
      <c r="F267" s="232"/>
      <c r="G267" s="102">
        <v>35292</v>
      </c>
      <c r="H267" s="182">
        <v>46249</v>
      </c>
      <c r="I267" s="3"/>
      <c r="J267" s="35" t="s">
        <v>735</v>
      </c>
      <c r="K267" s="41">
        <v>10893.818</v>
      </c>
      <c r="L267" s="22"/>
      <c r="M267" s="52">
        <v>-435.4</v>
      </c>
      <c r="N267" s="28"/>
      <c r="O267" s="41">
        <f t="shared" si="8"/>
        <v>10458.418</v>
      </c>
      <c r="P267" s="22"/>
    </row>
    <row r="268" spans="3:16" ht="15.75" customHeight="1">
      <c r="C268" s="44" t="s">
        <v>379</v>
      </c>
      <c r="E268" s="49" t="s">
        <v>749</v>
      </c>
      <c r="F268" s="232"/>
      <c r="G268" s="102">
        <v>35384</v>
      </c>
      <c r="H268" s="182">
        <v>46341</v>
      </c>
      <c r="I268" s="3"/>
      <c r="J268" s="35" t="s">
        <v>754</v>
      </c>
      <c r="K268" s="41">
        <v>11493.177</v>
      </c>
      <c r="L268" s="22"/>
      <c r="M268" s="52">
        <v>-40</v>
      </c>
      <c r="N268" s="28"/>
      <c r="O268" s="41">
        <f t="shared" si="8"/>
        <v>11453.177</v>
      </c>
      <c r="P268" s="22"/>
    </row>
    <row r="269" spans="3:16" ht="15.75" customHeight="1">
      <c r="C269" s="44" t="s">
        <v>380</v>
      </c>
      <c r="E269" s="49" t="s">
        <v>784</v>
      </c>
      <c r="F269" s="232"/>
      <c r="G269" s="102">
        <v>35479</v>
      </c>
      <c r="H269" s="182">
        <v>46433</v>
      </c>
      <c r="I269" s="3"/>
      <c r="J269" s="35" t="s">
        <v>735</v>
      </c>
      <c r="K269" s="41">
        <v>10456.071</v>
      </c>
      <c r="L269" s="22"/>
      <c r="M269" s="52">
        <v>-205</v>
      </c>
      <c r="N269" s="28"/>
      <c r="O269" s="41">
        <f t="shared" si="8"/>
        <v>10251.071</v>
      </c>
      <c r="P269" s="22"/>
    </row>
    <row r="270" spans="3:16" ht="15.75" customHeight="1">
      <c r="C270" s="44" t="s">
        <v>381</v>
      </c>
      <c r="E270" s="49" t="s">
        <v>727</v>
      </c>
      <c r="F270" s="232"/>
      <c r="G270" s="102">
        <v>35657</v>
      </c>
      <c r="H270" s="182">
        <v>46614</v>
      </c>
      <c r="I270" s="3"/>
      <c r="J270" s="35" t="s">
        <v>735</v>
      </c>
      <c r="K270" s="41">
        <v>10735.756</v>
      </c>
      <c r="L270" s="22"/>
      <c r="M270" s="52">
        <v>-340</v>
      </c>
      <c r="N270" s="28"/>
      <c r="O270" s="41">
        <f t="shared" si="8"/>
        <v>10395.756</v>
      </c>
      <c r="P270" s="22"/>
    </row>
    <row r="271" spans="3:16" ht="15.75" customHeight="1">
      <c r="C271" s="44" t="s">
        <v>382</v>
      </c>
      <c r="E271" s="49" t="s">
        <v>781</v>
      </c>
      <c r="F271" s="232"/>
      <c r="G271" s="102">
        <v>35751</v>
      </c>
      <c r="H271" s="182">
        <v>46706</v>
      </c>
      <c r="I271" s="3"/>
      <c r="J271" s="35" t="s">
        <v>754</v>
      </c>
      <c r="K271" s="41">
        <v>22518.539</v>
      </c>
      <c r="L271" s="22"/>
      <c r="M271" s="52">
        <v>-57.2</v>
      </c>
      <c r="N271" s="28"/>
      <c r="O271" s="41">
        <f t="shared" si="8"/>
        <v>22461.339</v>
      </c>
      <c r="P271" s="22"/>
    </row>
    <row r="272" spans="3:16" s="113" customFormat="1" ht="21" customHeight="1" thickBot="1">
      <c r="C272" s="174"/>
      <c r="E272" s="114"/>
      <c r="F272" s="175"/>
      <c r="G272" s="186"/>
      <c r="H272" s="186"/>
      <c r="I272" s="178"/>
      <c r="J272" s="114"/>
      <c r="K272" s="116"/>
      <c r="L272" s="116"/>
      <c r="M272" s="117"/>
      <c r="N272" s="117"/>
      <c r="O272" s="116"/>
      <c r="P272" s="116"/>
    </row>
    <row r="273" spans="1:16" ht="16.5" thickTop="1">
      <c r="A273" s="107"/>
      <c r="B273" s="2" t="str">
        <f>B91</f>
        <v>TABLE III - DETAIL OF TREASURY SECURITIES OUTSTANDING, FEBRUARY 28, 2001 -- Continued</v>
      </c>
      <c r="C273" s="2"/>
      <c r="D273" s="3"/>
      <c r="E273" s="3"/>
      <c r="F273" s="3"/>
      <c r="G273" s="3"/>
      <c r="H273" s="3"/>
      <c r="I273" s="30"/>
      <c r="J273" s="3"/>
      <c r="K273" s="3"/>
      <c r="L273" s="3"/>
      <c r="M273" s="3"/>
      <c r="N273" s="3"/>
      <c r="O273" s="3"/>
      <c r="P273" s="108">
        <v>5</v>
      </c>
    </row>
    <row r="274" spans="1:16" ht="10.5" customHeight="1" thickBot="1">
      <c r="A274" s="2"/>
      <c r="B274" s="2"/>
      <c r="C274" s="2"/>
      <c r="D274" s="3"/>
      <c r="E274" s="3"/>
      <c r="F274" s="3"/>
      <c r="G274" s="3"/>
      <c r="H274" s="3"/>
      <c r="I274" s="30"/>
      <c r="K274" s="3"/>
      <c r="L274" s="3"/>
      <c r="M274" s="3"/>
      <c r="N274" s="3"/>
      <c r="O274" s="3"/>
      <c r="P274" s="2"/>
    </row>
    <row r="275" spans="1:16" ht="15.75" thickTop="1">
      <c r="A275" s="33"/>
      <c r="B275" s="33"/>
      <c r="C275" s="33"/>
      <c r="D275" s="33"/>
      <c r="E275" s="33"/>
      <c r="F275" s="33"/>
      <c r="G275" s="27"/>
      <c r="H275" s="27"/>
      <c r="I275" s="34"/>
      <c r="J275" s="78"/>
      <c r="K275" s="27"/>
      <c r="L275" s="33"/>
      <c r="M275" s="33"/>
      <c r="N275" s="33"/>
      <c r="O275" s="33"/>
      <c r="P275" s="33"/>
    </row>
    <row r="276" spans="7:16" ht="15.75" customHeight="1">
      <c r="G276" s="17" t="s">
        <v>702</v>
      </c>
      <c r="H276" s="17" t="s">
        <v>703</v>
      </c>
      <c r="I276" s="30"/>
      <c r="J276" s="35" t="s">
        <v>704</v>
      </c>
      <c r="K276" s="17" t="s">
        <v>705</v>
      </c>
      <c r="L276" s="3"/>
      <c r="M276" s="3"/>
      <c r="N276" s="3"/>
      <c r="O276" s="3"/>
      <c r="P276" s="3"/>
    </row>
    <row r="277" spans="1:11" ht="15.75" customHeight="1">
      <c r="A277" s="3" t="s">
        <v>706</v>
      </c>
      <c r="B277" s="3"/>
      <c r="C277" s="3"/>
      <c r="D277" s="3"/>
      <c r="E277" s="3"/>
      <c r="F277" s="3"/>
      <c r="G277" s="17" t="s">
        <v>707</v>
      </c>
      <c r="H277" s="17" t="s">
        <v>708</v>
      </c>
      <c r="I277" s="30"/>
      <c r="J277" s="35" t="s">
        <v>709</v>
      </c>
      <c r="K277" s="15"/>
    </row>
    <row r="278" spans="1:16" ht="16.5" customHeight="1">
      <c r="A278" s="16"/>
      <c r="B278" s="16"/>
      <c r="C278" s="16"/>
      <c r="D278" s="16"/>
      <c r="E278" s="16"/>
      <c r="F278" s="16"/>
      <c r="G278" s="36"/>
      <c r="H278" s="36"/>
      <c r="I278" s="37"/>
      <c r="J278" s="71"/>
      <c r="K278" s="38" t="s">
        <v>710</v>
      </c>
      <c r="L278" s="39"/>
      <c r="M278" s="38" t="s">
        <v>711</v>
      </c>
      <c r="N278" s="39"/>
      <c r="O278" s="38" t="s">
        <v>675</v>
      </c>
      <c r="P278" s="39"/>
    </row>
    <row r="279" spans="1:16" ht="15.75" customHeight="1">
      <c r="A279" s="74"/>
      <c r="B279" s="74"/>
      <c r="C279" s="74"/>
      <c r="D279" s="74"/>
      <c r="E279" s="74"/>
      <c r="F279" s="74"/>
      <c r="G279" s="15"/>
      <c r="H279" s="15"/>
      <c r="I279" s="109"/>
      <c r="J279" s="35"/>
      <c r="K279" s="17"/>
      <c r="L279" s="110"/>
      <c r="M279" s="17"/>
      <c r="N279" s="110"/>
      <c r="O279" s="17"/>
      <c r="P279" s="110"/>
    </row>
    <row r="280" spans="1:16" ht="18" customHeight="1">
      <c r="A280" s="64" t="s">
        <v>686</v>
      </c>
      <c r="B280" s="64"/>
      <c r="F280" s="72"/>
      <c r="G280" s="188"/>
      <c r="H280" s="160"/>
      <c r="I280" s="40"/>
      <c r="J280" s="79"/>
      <c r="K280" s="15"/>
      <c r="M280" s="15"/>
      <c r="O280" s="41"/>
      <c r="P280" s="22"/>
    </row>
    <row r="281" spans="2:16" ht="17.25" customHeight="1">
      <c r="B281" s="10" t="s">
        <v>714</v>
      </c>
      <c r="D281" s="3"/>
      <c r="E281" s="3" t="s">
        <v>722</v>
      </c>
      <c r="F281" s="3"/>
      <c r="G281" s="81"/>
      <c r="I281" s="43"/>
      <c r="J281" s="79"/>
      <c r="K281" s="15"/>
      <c r="M281" s="15"/>
      <c r="O281" s="41"/>
      <c r="P281" s="22"/>
    </row>
    <row r="282" spans="3:16" ht="15.75" customHeight="1">
      <c r="C282" s="44" t="s">
        <v>853</v>
      </c>
      <c r="E282" s="101" t="s">
        <v>738</v>
      </c>
      <c r="F282" s="232"/>
      <c r="G282" s="102">
        <v>36024</v>
      </c>
      <c r="H282" s="182">
        <v>46980</v>
      </c>
      <c r="I282" s="3"/>
      <c r="J282" s="35" t="s">
        <v>735</v>
      </c>
      <c r="K282" s="41">
        <v>11776.201</v>
      </c>
      <c r="L282" s="22"/>
      <c r="M282" s="48" t="s">
        <v>716</v>
      </c>
      <c r="N282" s="28"/>
      <c r="O282" s="41">
        <f aca="true" t="shared" si="9" ref="O282:O287">K282+M282</f>
        <v>11776.201</v>
      </c>
      <c r="P282" s="22"/>
    </row>
    <row r="283" spans="3:16" ht="15.75" customHeight="1">
      <c r="C283" s="44" t="s">
        <v>384</v>
      </c>
      <c r="E283" s="101" t="s">
        <v>783</v>
      </c>
      <c r="F283" s="232"/>
      <c r="G283" s="102">
        <v>36115</v>
      </c>
      <c r="H283" s="182">
        <v>47072</v>
      </c>
      <c r="I283" s="3"/>
      <c r="J283" s="35" t="s">
        <v>754</v>
      </c>
      <c r="K283" s="41">
        <v>10947.052</v>
      </c>
      <c r="L283" s="22"/>
      <c r="M283" s="48" t="s">
        <v>716</v>
      </c>
      <c r="N283" s="28"/>
      <c r="O283" s="41">
        <f t="shared" si="9"/>
        <v>10947.052</v>
      </c>
      <c r="P283" s="22"/>
    </row>
    <row r="284" spans="3:16" ht="15.75" customHeight="1">
      <c r="C284" s="100" t="s">
        <v>385</v>
      </c>
      <c r="E284" s="101" t="s">
        <v>783</v>
      </c>
      <c r="F284" s="232"/>
      <c r="G284" s="102">
        <v>36207</v>
      </c>
      <c r="H284" s="182">
        <v>47164</v>
      </c>
      <c r="I284" s="3"/>
      <c r="J284" s="35" t="s">
        <v>735</v>
      </c>
      <c r="K284" s="41">
        <v>11350.341</v>
      </c>
      <c r="L284" s="22"/>
      <c r="M284" s="48" t="s">
        <v>716</v>
      </c>
      <c r="N284" s="28"/>
      <c r="O284" s="41">
        <f t="shared" si="9"/>
        <v>11350.341</v>
      </c>
      <c r="P284" s="42"/>
    </row>
    <row r="285" spans="3:16" ht="15.75" customHeight="1">
      <c r="C285" s="100" t="s">
        <v>386</v>
      </c>
      <c r="E285" s="49" t="s">
        <v>781</v>
      </c>
      <c r="F285" s="232"/>
      <c r="G285" s="102">
        <v>36388</v>
      </c>
      <c r="H285" s="182">
        <v>47345</v>
      </c>
      <c r="I285" s="3"/>
      <c r="J285" s="35" t="s">
        <v>735</v>
      </c>
      <c r="K285" s="41">
        <v>11178.58</v>
      </c>
      <c r="L285" s="22"/>
      <c r="M285" s="48" t="s">
        <v>716</v>
      </c>
      <c r="N285" s="28"/>
      <c r="O285" s="41">
        <f t="shared" si="9"/>
        <v>11178.58</v>
      </c>
      <c r="P285" s="22"/>
    </row>
    <row r="286" spans="3:16" ht="15.75" customHeight="1">
      <c r="C286" s="100" t="s">
        <v>387</v>
      </c>
      <c r="E286" s="49" t="s">
        <v>744</v>
      </c>
      <c r="F286" s="232"/>
      <c r="G286" s="102">
        <v>36571</v>
      </c>
      <c r="H286" s="182">
        <v>11093</v>
      </c>
      <c r="I286" s="3"/>
      <c r="J286" s="35" t="s">
        <v>754</v>
      </c>
      <c r="K286" s="41">
        <v>17043.162</v>
      </c>
      <c r="L286" s="22"/>
      <c r="M286" s="48" t="s">
        <v>716</v>
      </c>
      <c r="N286" s="28"/>
      <c r="O286" s="41">
        <f t="shared" si="9"/>
        <v>17043.162</v>
      </c>
      <c r="P286" s="22"/>
    </row>
    <row r="287" spans="3:16" ht="15.75" customHeight="1">
      <c r="C287" s="100" t="s">
        <v>216</v>
      </c>
      <c r="E287" s="101" t="s">
        <v>779</v>
      </c>
      <c r="F287" s="232"/>
      <c r="G287" s="102">
        <v>36937</v>
      </c>
      <c r="H287" s="182">
        <v>11369</v>
      </c>
      <c r="I287" s="3"/>
      <c r="J287" s="35" t="s">
        <v>735</v>
      </c>
      <c r="K287" s="41">
        <v>10886.993</v>
      </c>
      <c r="L287" s="22"/>
      <c r="M287" s="48" t="s">
        <v>716</v>
      </c>
      <c r="N287" s="28"/>
      <c r="O287" s="41">
        <f t="shared" si="9"/>
        <v>10886.993</v>
      </c>
      <c r="P287" s="22"/>
    </row>
    <row r="288" spans="2:16" ht="15.75" customHeight="1">
      <c r="B288" s="10" t="s">
        <v>819</v>
      </c>
      <c r="F288" s="44"/>
      <c r="G288" s="17" t="s">
        <v>717</v>
      </c>
      <c r="H288" s="47" t="s">
        <v>717</v>
      </c>
      <c r="I288" s="3"/>
      <c r="J288" s="35" t="s">
        <v>717</v>
      </c>
      <c r="K288" s="57">
        <f>SUM(K193:K287)</f>
        <v>666067.8059999999</v>
      </c>
      <c r="L288" s="327"/>
      <c r="M288" s="57">
        <f>SUM(M193:M287)</f>
        <v>-34670.1</v>
      </c>
      <c r="N288" s="327"/>
      <c r="O288" s="57">
        <f>K288+M288</f>
        <v>631397.7059999999</v>
      </c>
      <c r="P288" s="327"/>
    </row>
    <row r="289" spans="2:16" ht="15.75" customHeight="1">
      <c r="B289" t="s">
        <v>641</v>
      </c>
      <c r="F289" s="44"/>
      <c r="G289" s="17" t="s">
        <v>717</v>
      </c>
      <c r="H289" s="47" t="s">
        <v>717</v>
      </c>
      <c r="I289" s="3"/>
      <c r="J289" s="35" t="s">
        <v>717</v>
      </c>
      <c r="K289" s="57">
        <v>85</v>
      </c>
      <c r="L289" s="22"/>
      <c r="M289" s="48" t="s">
        <v>716</v>
      </c>
      <c r="N289" s="28"/>
      <c r="O289" s="41">
        <f>K289+M289</f>
        <v>85</v>
      </c>
      <c r="P289" s="22"/>
    </row>
    <row r="290" spans="2:16" ht="15.75" customHeight="1" thickBot="1">
      <c r="B290" s="86" t="s">
        <v>642</v>
      </c>
      <c r="F290" s="44"/>
      <c r="G290" s="17" t="s">
        <v>717</v>
      </c>
      <c r="H290" s="47" t="s">
        <v>717</v>
      </c>
      <c r="I290" s="3"/>
      <c r="J290" s="35" t="s">
        <v>717</v>
      </c>
      <c r="K290" s="333">
        <f>+K288+K289</f>
        <v>666152.8059999999</v>
      </c>
      <c r="L290" s="334"/>
      <c r="M290" s="333">
        <f>+M288+M289</f>
        <v>-34670.1</v>
      </c>
      <c r="N290" s="334"/>
      <c r="O290" s="333">
        <f>+K290+M290</f>
        <v>631482.7059999999</v>
      </c>
      <c r="P290" s="334"/>
    </row>
    <row r="291" spans="6:16" ht="15.75" customHeight="1" thickTop="1">
      <c r="F291" s="44"/>
      <c r="G291" s="17"/>
      <c r="H291" s="47"/>
      <c r="I291" s="3"/>
      <c r="J291" s="35"/>
      <c r="K291" s="41"/>
      <c r="L291" s="141"/>
      <c r="M291" s="41"/>
      <c r="N291" s="141"/>
      <c r="O291" s="41"/>
      <c r="P291" s="141"/>
    </row>
    <row r="292" spans="2:15" ht="21" customHeight="1">
      <c r="B292" t="s">
        <v>827</v>
      </c>
      <c r="C292" s="44"/>
      <c r="D292" s="76"/>
      <c r="F292" s="232" t="s">
        <v>22</v>
      </c>
      <c r="G292" s="46"/>
      <c r="H292" s="46"/>
      <c r="J292" s="35"/>
      <c r="K292" s="15"/>
      <c r="M292" s="15"/>
      <c r="O292" s="15"/>
    </row>
    <row r="293" spans="2:15" ht="17.25" customHeight="1">
      <c r="B293" s="10" t="s">
        <v>714</v>
      </c>
      <c r="D293" s="3" t="s">
        <v>721</v>
      </c>
      <c r="E293" s="3" t="s">
        <v>722</v>
      </c>
      <c r="F293" s="3"/>
      <c r="G293" s="81"/>
      <c r="I293" s="3"/>
      <c r="J293" s="35"/>
      <c r="K293" s="15"/>
      <c r="M293" s="15"/>
      <c r="O293" s="15"/>
    </row>
    <row r="294" spans="3:16" ht="15.75" customHeight="1">
      <c r="C294" s="44" t="s">
        <v>388</v>
      </c>
      <c r="D294" s="49" t="s">
        <v>729</v>
      </c>
      <c r="E294" s="101" t="s">
        <v>828</v>
      </c>
      <c r="F294" s="232" t="s">
        <v>672</v>
      </c>
      <c r="G294" s="47">
        <v>35626</v>
      </c>
      <c r="H294" s="102">
        <v>37452</v>
      </c>
      <c r="I294" s="99"/>
      <c r="J294" s="35" t="s">
        <v>728</v>
      </c>
      <c r="K294" s="41">
        <v>16817.356</v>
      </c>
      <c r="L294" s="22"/>
      <c r="M294" s="147">
        <v>1454.196</v>
      </c>
      <c r="N294" s="28"/>
      <c r="O294" s="41">
        <f aca="true" t="shared" si="10" ref="O294:O300">K294+M294</f>
        <v>18271.552</v>
      </c>
      <c r="P294" s="22"/>
    </row>
    <row r="295" spans="3:16" ht="15.75" customHeight="1">
      <c r="C295" s="44" t="s">
        <v>389</v>
      </c>
      <c r="D295" s="49" t="s">
        <v>733</v>
      </c>
      <c r="E295" s="101" t="s">
        <v>829</v>
      </c>
      <c r="F295" s="232"/>
      <c r="G295" s="47">
        <v>35467</v>
      </c>
      <c r="H295" s="102">
        <v>39097</v>
      </c>
      <c r="I295" s="99"/>
      <c r="J295" s="35" t="s">
        <v>728</v>
      </c>
      <c r="K295" s="41">
        <v>15757.971</v>
      </c>
      <c r="L295" s="22"/>
      <c r="M295" s="147">
        <v>1548.378</v>
      </c>
      <c r="N295" s="28"/>
      <c r="O295" s="41">
        <f t="shared" si="10"/>
        <v>17306.349</v>
      </c>
      <c r="P295" s="22"/>
    </row>
    <row r="296" spans="3:16" ht="15.75" customHeight="1">
      <c r="C296" s="44" t="s">
        <v>390</v>
      </c>
      <c r="D296" s="49" t="s">
        <v>733</v>
      </c>
      <c r="E296" s="101" t="s">
        <v>828</v>
      </c>
      <c r="F296" s="232"/>
      <c r="G296" s="47">
        <v>35810</v>
      </c>
      <c r="H296" s="102">
        <v>39462</v>
      </c>
      <c r="I296" s="99"/>
      <c r="J296" s="35" t="s">
        <v>728</v>
      </c>
      <c r="K296" s="41">
        <v>16811.55</v>
      </c>
      <c r="L296" s="22"/>
      <c r="M296" s="147">
        <v>1295.498</v>
      </c>
      <c r="N296" s="28"/>
      <c r="O296" s="41">
        <f t="shared" si="10"/>
        <v>18107.048</v>
      </c>
      <c r="P296" s="22"/>
    </row>
    <row r="297" spans="3:16" ht="15.75" customHeight="1">
      <c r="C297" s="44" t="s">
        <v>391</v>
      </c>
      <c r="D297" s="49" t="s">
        <v>733</v>
      </c>
      <c r="E297" s="101" t="s">
        <v>480</v>
      </c>
      <c r="F297" s="232"/>
      <c r="G297" s="53">
        <v>36175</v>
      </c>
      <c r="H297" s="102">
        <v>39828</v>
      </c>
      <c r="I297" s="99"/>
      <c r="J297" s="35" t="s">
        <v>728</v>
      </c>
      <c r="K297" s="41">
        <v>15902.397</v>
      </c>
      <c r="L297" s="22"/>
      <c r="M297" s="147">
        <v>970.046</v>
      </c>
      <c r="N297" s="28"/>
      <c r="O297" s="41">
        <f t="shared" si="10"/>
        <v>16872.443</v>
      </c>
      <c r="P297" s="22"/>
    </row>
    <row r="298" spans="3:16" ht="15.75" customHeight="1">
      <c r="C298" s="44" t="s">
        <v>392</v>
      </c>
      <c r="D298" s="49" t="s">
        <v>733</v>
      </c>
      <c r="E298" s="101" t="s">
        <v>785</v>
      </c>
      <c r="F298" s="232"/>
      <c r="G298" s="53">
        <v>36543</v>
      </c>
      <c r="H298" s="102">
        <v>40193</v>
      </c>
      <c r="I298" s="99"/>
      <c r="J298" s="35" t="s">
        <v>728</v>
      </c>
      <c r="K298" s="41">
        <v>11320.963</v>
      </c>
      <c r="L298" s="22"/>
      <c r="M298" s="147">
        <v>387.516</v>
      </c>
      <c r="N298" s="28"/>
      <c r="O298" s="41">
        <f>K298+M298</f>
        <v>11708.479</v>
      </c>
      <c r="P298" s="22"/>
    </row>
    <row r="299" spans="3:16" ht="15.75" customHeight="1">
      <c r="C299" s="44" t="s">
        <v>843</v>
      </c>
      <c r="D299" s="49" t="s">
        <v>733</v>
      </c>
      <c r="E299" s="101" t="s">
        <v>844</v>
      </c>
      <c r="F299" s="232"/>
      <c r="G299" s="53">
        <v>36907</v>
      </c>
      <c r="H299" s="102">
        <v>40558</v>
      </c>
      <c r="I299" s="3"/>
      <c r="J299" s="183" t="s">
        <v>728</v>
      </c>
      <c r="K299" s="41">
        <v>6001.118</v>
      </c>
      <c r="L299" s="22"/>
      <c r="M299" s="52" t="s">
        <v>407</v>
      </c>
      <c r="N299" s="44"/>
      <c r="O299" s="41">
        <f>K299+M299</f>
        <v>6001.118</v>
      </c>
      <c r="P299" s="22"/>
    </row>
    <row r="300" spans="2:16" s="86" customFormat="1" ht="21" customHeight="1" thickBot="1">
      <c r="B300" s="340" t="s">
        <v>643</v>
      </c>
      <c r="F300" s="341"/>
      <c r="G300" s="342" t="s">
        <v>717</v>
      </c>
      <c r="H300" s="343" t="s">
        <v>717</v>
      </c>
      <c r="I300" s="87"/>
      <c r="J300" s="344" t="s">
        <v>717</v>
      </c>
      <c r="K300" s="333">
        <f>SUM(K294:K299)</f>
        <v>82611.355</v>
      </c>
      <c r="L300" s="334"/>
      <c r="M300" s="345">
        <f>SUM(M294:M299)</f>
        <v>5655.634</v>
      </c>
      <c r="N300" s="337"/>
      <c r="O300" s="333">
        <f t="shared" si="10"/>
        <v>88266.989</v>
      </c>
      <c r="P300" s="334"/>
    </row>
    <row r="301" spans="2:16" ht="15.75" customHeight="1" thickTop="1">
      <c r="B301" s="97"/>
      <c r="F301" s="44"/>
      <c r="G301" s="17"/>
      <c r="H301" s="47"/>
      <c r="I301" s="3"/>
      <c r="J301" s="35"/>
      <c r="K301" s="41"/>
      <c r="L301" s="141"/>
      <c r="M301" s="41"/>
      <c r="N301" s="141"/>
      <c r="O301" s="41"/>
      <c r="P301" s="141"/>
    </row>
    <row r="302" spans="2:16" ht="21" customHeight="1">
      <c r="B302" t="s">
        <v>830</v>
      </c>
      <c r="C302" s="44"/>
      <c r="D302" s="76"/>
      <c r="F302" s="232" t="s">
        <v>22</v>
      </c>
      <c r="G302" s="17"/>
      <c r="H302" s="47"/>
      <c r="I302" s="3"/>
      <c r="J302" s="35"/>
      <c r="K302" s="41"/>
      <c r="L302" s="141"/>
      <c r="M302" s="41"/>
      <c r="N302" s="141"/>
      <c r="O302" s="41"/>
      <c r="P302" s="141"/>
    </row>
    <row r="303" spans="2:16" ht="17.25" customHeight="1">
      <c r="B303" s="10" t="s">
        <v>714</v>
      </c>
      <c r="D303" s="3"/>
      <c r="E303" s="3" t="s">
        <v>722</v>
      </c>
      <c r="F303" s="3"/>
      <c r="G303" s="81"/>
      <c r="H303" s="102"/>
      <c r="I303" s="99"/>
      <c r="J303" s="35"/>
      <c r="K303" s="41"/>
      <c r="L303" s="141"/>
      <c r="M303" s="48"/>
      <c r="N303" s="28"/>
      <c r="O303" s="41"/>
      <c r="P303" s="141"/>
    </row>
    <row r="304" spans="2:16" ht="15.75" customHeight="1">
      <c r="B304" s="97"/>
      <c r="C304" s="44" t="s">
        <v>393</v>
      </c>
      <c r="D304" s="49"/>
      <c r="E304" s="101" t="s">
        <v>828</v>
      </c>
      <c r="F304" s="232"/>
      <c r="G304" s="47">
        <v>35900</v>
      </c>
      <c r="H304" s="102">
        <v>46858</v>
      </c>
      <c r="I304" s="99"/>
      <c r="J304" s="35" t="s">
        <v>747</v>
      </c>
      <c r="K304" s="41">
        <v>16808.478</v>
      </c>
      <c r="L304" s="22"/>
      <c r="M304" s="147">
        <v>1274.418</v>
      </c>
      <c r="N304" s="28"/>
      <c r="O304" s="41">
        <f>K304+M304</f>
        <v>18082.896</v>
      </c>
      <c r="P304" s="22"/>
    </row>
    <row r="305" spans="2:15" ht="15.75" customHeight="1">
      <c r="B305" s="97"/>
      <c r="C305" s="44" t="s">
        <v>394</v>
      </c>
      <c r="D305" s="49"/>
      <c r="E305" s="101" t="s">
        <v>480</v>
      </c>
      <c r="F305" s="232"/>
      <c r="G305" s="53">
        <v>36265</v>
      </c>
      <c r="H305" s="102">
        <v>47223</v>
      </c>
      <c r="I305" s="99"/>
      <c r="J305" s="35" t="s">
        <v>747</v>
      </c>
      <c r="K305" s="41">
        <v>19722.104</v>
      </c>
      <c r="L305" s="22"/>
      <c r="M305" s="147">
        <v>1152.954</v>
      </c>
      <c r="N305" s="28"/>
      <c r="O305" s="41">
        <f>K305+M305</f>
        <v>20875.058</v>
      </c>
    </row>
    <row r="306" spans="2:16" s="86" customFormat="1" ht="21" customHeight="1" thickBot="1">
      <c r="B306" s="340" t="s">
        <v>644</v>
      </c>
      <c r="F306" s="341"/>
      <c r="G306" s="342" t="s">
        <v>717</v>
      </c>
      <c r="H306" s="343" t="s">
        <v>717</v>
      </c>
      <c r="I306" s="87"/>
      <c r="J306" s="344" t="s">
        <v>717</v>
      </c>
      <c r="K306" s="345">
        <f>SUM(K304:K305)</f>
        <v>36530.581999999995</v>
      </c>
      <c r="L306" s="334"/>
      <c r="M306" s="345">
        <f>SUM(M304:M305)</f>
        <v>2427.372</v>
      </c>
      <c r="N306" s="346"/>
      <c r="O306" s="333">
        <f>K306+M306</f>
        <v>38957.954</v>
      </c>
      <c r="P306" s="334"/>
    </row>
    <row r="307" spans="2:16" ht="15.75" customHeight="1" thickTop="1">
      <c r="B307" s="97"/>
      <c r="F307" s="44"/>
      <c r="G307" s="17"/>
      <c r="H307" s="47"/>
      <c r="I307" s="3"/>
      <c r="J307" s="35"/>
      <c r="K307" s="41"/>
      <c r="L307" s="141"/>
      <c r="M307" s="41"/>
      <c r="N307" s="141"/>
      <c r="O307" s="41"/>
      <c r="P307" s="141"/>
    </row>
    <row r="308" spans="2:16" s="86" customFormat="1" ht="17.25" customHeight="1" thickBot="1">
      <c r="B308" s="340" t="s">
        <v>645</v>
      </c>
      <c r="F308" s="285"/>
      <c r="G308" s="342" t="s">
        <v>831</v>
      </c>
      <c r="H308" s="343" t="s">
        <v>831</v>
      </c>
      <c r="I308" s="87"/>
      <c r="J308" s="344" t="s">
        <v>831</v>
      </c>
      <c r="K308" s="347">
        <v>14999.99</v>
      </c>
      <c r="L308" s="348"/>
      <c r="M308" s="349" t="s">
        <v>832</v>
      </c>
      <c r="N308" s="350"/>
      <c r="O308" s="347">
        <f>K308-M308</f>
        <v>14999.99</v>
      </c>
      <c r="P308" s="348"/>
    </row>
    <row r="309" spans="6:16" ht="15.75" customHeight="1" thickTop="1">
      <c r="F309" s="44"/>
      <c r="G309" s="17"/>
      <c r="H309" s="47"/>
      <c r="I309" s="3"/>
      <c r="J309" s="35"/>
      <c r="K309" s="41"/>
      <c r="L309" s="22"/>
      <c r="M309" s="48"/>
      <c r="N309" s="28"/>
      <c r="O309" s="105"/>
      <c r="P309" s="22"/>
    </row>
    <row r="310" spans="1:16" ht="18" customHeight="1" thickBot="1">
      <c r="A310" s="338" t="s">
        <v>821</v>
      </c>
      <c r="B310" s="338"/>
      <c r="F310" s="82"/>
      <c r="G310" s="50" t="s">
        <v>717</v>
      </c>
      <c r="H310" s="50" t="s">
        <v>717</v>
      </c>
      <c r="I310" s="8"/>
      <c r="J310" s="51" t="s">
        <v>717</v>
      </c>
      <c r="K310" s="145">
        <f>+K306+K300+K290+K162+K57+K308+1</f>
        <v>3015845.4510000013</v>
      </c>
      <c r="L310" s="171"/>
      <c r="M310" s="145">
        <f>+M306+M300+M290+M162+M57+M308</f>
        <v>-26587.093999999997</v>
      </c>
      <c r="N310" s="171"/>
      <c r="O310" s="145">
        <f>K310+M310</f>
        <v>2989258.3570000012</v>
      </c>
      <c r="P310" s="170"/>
    </row>
    <row r="311" spans="6:16" ht="15.75" customHeight="1" thickTop="1">
      <c r="F311" s="148"/>
      <c r="G311" s="149"/>
      <c r="H311" s="149"/>
      <c r="I311" s="8"/>
      <c r="J311" s="150"/>
      <c r="K311" s="151"/>
      <c r="L311" s="152"/>
      <c r="M311" s="151"/>
      <c r="N311" s="152"/>
      <c r="O311" s="151"/>
      <c r="P311" s="153"/>
    </row>
    <row r="312" spans="6:16" ht="15.75" customHeight="1">
      <c r="F312" s="148"/>
      <c r="G312" s="149"/>
      <c r="H312" s="149"/>
      <c r="I312" s="8"/>
      <c r="J312" s="150"/>
      <c r="K312" s="151"/>
      <c r="L312" s="152"/>
      <c r="M312" s="151"/>
      <c r="N312" s="152"/>
      <c r="O312" s="151"/>
      <c r="P312" s="153"/>
    </row>
    <row r="313" spans="6:16" ht="15.75" customHeight="1">
      <c r="F313" s="148"/>
      <c r="G313" s="149"/>
      <c r="H313" s="149"/>
      <c r="I313" s="8"/>
      <c r="J313" s="150"/>
      <c r="K313" s="151"/>
      <c r="L313" s="152"/>
      <c r="M313" s="151"/>
      <c r="N313" s="152"/>
      <c r="O313" s="151"/>
      <c r="P313" s="153"/>
    </row>
    <row r="314" spans="6:16" ht="15.75" customHeight="1">
      <c r="F314" s="148"/>
      <c r="G314" s="149"/>
      <c r="H314" s="149"/>
      <c r="I314" s="8"/>
      <c r="J314" s="150"/>
      <c r="K314" s="151"/>
      <c r="L314" s="152"/>
      <c r="M314" s="151"/>
      <c r="N314" s="152"/>
      <c r="O314" s="151"/>
      <c r="P314" s="153"/>
    </row>
    <row r="315" spans="6:16" ht="15.75" customHeight="1">
      <c r="F315" s="148"/>
      <c r="G315" s="149"/>
      <c r="H315" s="149"/>
      <c r="I315" s="8"/>
      <c r="J315" s="150"/>
      <c r="K315" s="151"/>
      <c r="L315" s="152"/>
      <c r="M315" s="151"/>
      <c r="N315" s="152"/>
      <c r="O315" s="151"/>
      <c r="P315" s="153"/>
    </row>
    <row r="316" spans="6:16" ht="15.75" customHeight="1">
      <c r="F316" s="148"/>
      <c r="G316" s="149"/>
      <c r="H316" s="149"/>
      <c r="I316" s="8"/>
      <c r="J316" s="150"/>
      <c r="K316" s="151"/>
      <c r="L316" s="152"/>
      <c r="M316" s="151"/>
      <c r="N316" s="152"/>
      <c r="O316" s="151"/>
      <c r="P316" s="153"/>
    </row>
    <row r="317" spans="6:16" ht="15.75" customHeight="1">
      <c r="F317" s="148"/>
      <c r="G317" s="149"/>
      <c r="H317" s="149"/>
      <c r="I317" s="8"/>
      <c r="J317" s="150"/>
      <c r="K317" s="151"/>
      <c r="L317" s="152"/>
      <c r="M317" s="151"/>
      <c r="N317" s="152"/>
      <c r="O317" s="151"/>
      <c r="P317" s="153"/>
    </row>
    <row r="318" spans="6:16" ht="15.75" customHeight="1">
      <c r="F318" s="148"/>
      <c r="G318" s="149"/>
      <c r="H318" s="149"/>
      <c r="I318" s="8"/>
      <c r="J318" s="150"/>
      <c r="K318" s="151"/>
      <c r="L318" s="152"/>
      <c r="M318" s="151"/>
      <c r="N318" s="152"/>
      <c r="O318" s="151"/>
      <c r="P318" s="153"/>
    </row>
    <row r="319" spans="6:16" ht="15.75" customHeight="1">
      <c r="F319" s="148"/>
      <c r="G319" s="149"/>
      <c r="H319" s="149"/>
      <c r="I319" s="8"/>
      <c r="J319" s="150"/>
      <c r="K319" s="151"/>
      <c r="L319" s="152"/>
      <c r="M319" s="151"/>
      <c r="N319" s="152"/>
      <c r="O319" s="151"/>
      <c r="P319" s="153"/>
    </row>
    <row r="320" spans="6:16" ht="15.75" customHeight="1">
      <c r="F320" s="148"/>
      <c r="G320" s="149"/>
      <c r="H320" s="149"/>
      <c r="I320" s="8"/>
      <c r="J320" s="150"/>
      <c r="K320" s="151"/>
      <c r="L320" s="152"/>
      <c r="M320" s="151"/>
      <c r="N320" s="152"/>
      <c r="O320" s="151"/>
      <c r="P320" s="153"/>
    </row>
    <row r="321" spans="6:16" ht="15.75" customHeight="1">
      <c r="F321" s="148"/>
      <c r="G321" s="149"/>
      <c r="H321" s="149"/>
      <c r="I321" s="8"/>
      <c r="J321" s="150"/>
      <c r="K321" s="151"/>
      <c r="L321" s="152"/>
      <c r="M321" s="151"/>
      <c r="N321" s="152"/>
      <c r="O321" s="151"/>
      <c r="P321" s="153"/>
    </row>
    <row r="322" spans="6:16" ht="15.75" customHeight="1">
      <c r="F322" s="148"/>
      <c r="G322" s="149"/>
      <c r="H322" s="149"/>
      <c r="I322" s="8"/>
      <c r="J322" s="150"/>
      <c r="K322" s="151"/>
      <c r="L322" s="152"/>
      <c r="M322" s="151"/>
      <c r="N322" s="152"/>
      <c r="O322" s="151"/>
      <c r="P322" s="153"/>
    </row>
    <row r="323" spans="6:16" ht="15.75" customHeight="1">
      <c r="F323" s="148"/>
      <c r="G323" s="149"/>
      <c r="H323" s="149"/>
      <c r="I323" s="8"/>
      <c r="J323" s="150"/>
      <c r="K323" s="151"/>
      <c r="L323" s="152"/>
      <c r="M323" s="151"/>
      <c r="N323" s="152"/>
      <c r="O323" s="151"/>
      <c r="P323" s="153"/>
    </row>
    <row r="324" spans="6:16" ht="15.75" customHeight="1">
      <c r="F324" s="148"/>
      <c r="G324" s="149"/>
      <c r="H324" s="149"/>
      <c r="I324" s="8"/>
      <c r="J324" s="150"/>
      <c r="K324" s="151"/>
      <c r="L324" s="152"/>
      <c r="M324" s="151"/>
      <c r="N324" s="152"/>
      <c r="O324" s="151"/>
      <c r="P324" s="153"/>
    </row>
    <row r="325" spans="6:16" ht="15.75" customHeight="1">
      <c r="F325" s="148"/>
      <c r="G325" s="149"/>
      <c r="H325" s="149"/>
      <c r="I325" s="8"/>
      <c r="J325" s="150"/>
      <c r="K325" s="151"/>
      <c r="L325" s="152"/>
      <c r="M325" s="151"/>
      <c r="N325" s="152"/>
      <c r="O325" s="151"/>
      <c r="P325" s="153"/>
    </row>
    <row r="326" spans="6:16" ht="15.75" customHeight="1">
      <c r="F326" s="148"/>
      <c r="G326" s="149"/>
      <c r="H326" s="149"/>
      <c r="I326" s="8"/>
      <c r="J326" s="150"/>
      <c r="K326" s="151"/>
      <c r="L326" s="152"/>
      <c r="M326" s="151"/>
      <c r="N326" s="152"/>
      <c r="O326" s="151"/>
      <c r="P326" s="153"/>
    </row>
    <row r="327" spans="6:16" ht="15.75" customHeight="1">
      <c r="F327" s="148"/>
      <c r="G327" s="149"/>
      <c r="H327" s="149"/>
      <c r="I327" s="8"/>
      <c r="J327" s="150"/>
      <c r="K327" s="151"/>
      <c r="L327" s="152"/>
      <c r="M327" s="151"/>
      <c r="N327" s="152"/>
      <c r="O327" s="151"/>
      <c r="P327" s="153"/>
    </row>
    <row r="328" spans="6:16" ht="15.75" customHeight="1">
      <c r="F328" s="148"/>
      <c r="G328" s="149"/>
      <c r="H328" s="149"/>
      <c r="I328" s="8"/>
      <c r="J328" s="150"/>
      <c r="K328" s="151"/>
      <c r="L328" s="152"/>
      <c r="M328" s="151"/>
      <c r="N328" s="152"/>
      <c r="O328" s="151"/>
      <c r="P328" s="153"/>
    </row>
    <row r="329" spans="6:16" ht="15.75" customHeight="1">
      <c r="F329" s="148"/>
      <c r="G329" s="149"/>
      <c r="H329" s="149"/>
      <c r="I329" s="8"/>
      <c r="J329" s="150"/>
      <c r="K329" s="151"/>
      <c r="L329" s="152"/>
      <c r="M329" s="151"/>
      <c r="N329" s="152"/>
      <c r="O329" s="151"/>
      <c r="P329" s="153"/>
    </row>
    <row r="330" spans="6:16" ht="15.75" customHeight="1">
      <c r="F330" s="148"/>
      <c r="G330" s="149"/>
      <c r="H330" s="149"/>
      <c r="I330" s="8"/>
      <c r="J330" s="150"/>
      <c r="K330" s="151"/>
      <c r="L330" s="152"/>
      <c r="M330" s="151"/>
      <c r="N330" s="152"/>
      <c r="O330" s="151"/>
      <c r="P330" s="153"/>
    </row>
    <row r="331" spans="6:16" ht="15.75" customHeight="1">
      <c r="F331" s="148"/>
      <c r="G331" s="149"/>
      <c r="H331" s="149"/>
      <c r="I331" s="8"/>
      <c r="J331" s="150"/>
      <c r="K331" s="151"/>
      <c r="L331" s="152"/>
      <c r="M331" s="151"/>
      <c r="N331" s="152"/>
      <c r="O331" s="151"/>
      <c r="P331" s="153"/>
    </row>
    <row r="332" spans="6:16" ht="15.75" customHeight="1">
      <c r="F332" s="148"/>
      <c r="G332" s="149"/>
      <c r="H332" s="149"/>
      <c r="I332" s="8"/>
      <c r="J332" s="150"/>
      <c r="K332" s="151"/>
      <c r="L332" s="152"/>
      <c r="M332" s="151"/>
      <c r="N332" s="152"/>
      <c r="O332" s="151"/>
      <c r="P332" s="153"/>
    </row>
    <row r="333" spans="6:16" ht="15.75" customHeight="1">
      <c r="F333" s="148"/>
      <c r="G333" s="149"/>
      <c r="H333" s="149"/>
      <c r="I333" s="8"/>
      <c r="J333" s="150"/>
      <c r="K333" s="151"/>
      <c r="L333" s="152"/>
      <c r="M333" s="151"/>
      <c r="N333" s="152"/>
      <c r="O333" s="151"/>
      <c r="P333" s="153"/>
    </row>
    <row r="334" spans="6:16" ht="15.75" customHeight="1">
      <c r="F334" s="148"/>
      <c r="G334" s="149"/>
      <c r="H334" s="149"/>
      <c r="I334" s="8"/>
      <c r="J334" s="150"/>
      <c r="K334" s="151"/>
      <c r="L334" s="152"/>
      <c r="M334" s="151"/>
      <c r="N334" s="152"/>
      <c r="O334" s="151"/>
      <c r="P334" s="153"/>
    </row>
    <row r="335" spans="6:16" ht="15.75" customHeight="1">
      <c r="F335" s="148"/>
      <c r="G335" s="149"/>
      <c r="H335" s="149"/>
      <c r="I335" s="8"/>
      <c r="J335" s="150"/>
      <c r="K335" s="151"/>
      <c r="L335" s="152"/>
      <c r="M335" s="151"/>
      <c r="N335" s="152"/>
      <c r="O335" s="151"/>
      <c r="P335" s="153"/>
    </row>
    <row r="336" spans="6:16" ht="15.75" customHeight="1">
      <c r="F336" s="148"/>
      <c r="G336" s="149"/>
      <c r="H336" s="149"/>
      <c r="I336" s="8"/>
      <c r="J336" s="150"/>
      <c r="K336" s="151"/>
      <c r="L336" s="152"/>
      <c r="M336" s="151"/>
      <c r="N336" s="152"/>
      <c r="O336" s="151"/>
      <c r="P336" s="153"/>
    </row>
    <row r="337" spans="6:16" ht="15.75" customHeight="1">
      <c r="F337" s="148"/>
      <c r="G337" s="149"/>
      <c r="H337" s="149"/>
      <c r="I337" s="8"/>
      <c r="J337" s="150"/>
      <c r="K337" s="151"/>
      <c r="L337" s="152"/>
      <c r="M337" s="151"/>
      <c r="N337" s="152"/>
      <c r="O337" s="151"/>
      <c r="P337" s="153"/>
    </row>
    <row r="338" spans="6:16" ht="15.75" customHeight="1">
      <c r="F338" s="148"/>
      <c r="G338" s="149"/>
      <c r="H338" s="149"/>
      <c r="I338" s="8"/>
      <c r="J338" s="150"/>
      <c r="K338" s="151"/>
      <c r="L338" s="152"/>
      <c r="M338" s="151"/>
      <c r="N338" s="152"/>
      <c r="O338" s="151"/>
      <c r="P338" s="153"/>
    </row>
    <row r="339" spans="6:16" ht="15.75" customHeight="1">
      <c r="F339" s="148"/>
      <c r="G339" s="149"/>
      <c r="H339" s="149"/>
      <c r="I339" s="8"/>
      <c r="J339" s="150"/>
      <c r="K339" s="151"/>
      <c r="L339" s="152"/>
      <c r="M339" s="151"/>
      <c r="N339" s="152"/>
      <c r="O339" s="151"/>
      <c r="P339" s="153"/>
    </row>
    <row r="340" spans="6:16" ht="15.75" customHeight="1">
      <c r="F340" s="148"/>
      <c r="G340" s="149"/>
      <c r="H340" s="149"/>
      <c r="I340" s="8"/>
      <c r="J340" s="150"/>
      <c r="K340" s="151"/>
      <c r="L340" s="152"/>
      <c r="M340" s="151"/>
      <c r="N340" s="152"/>
      <c r="O340" s="151"/>
      <c r="P340" s="153"/>
    </row>
    <row r="341" spans="6:16" ht="15.75" customHeight="1">
      <c r="F341" s="148"/>
      <c r="G341" s="149"/>
      <c r="H341" s="149"/>
      <c r="I341" s="8"/>
      <c r="J341" s="150"/>
      <c r="K341" s="151"/>
      <c r="L341" s="152"/>
      <c r="M341" s="151"/>
      <c r="N341" s="152"/>
      <c r="O341" s="151"/>
      <c r="P341" s="153"/>
    </row>
    <row r="342" spans="6:16" ht="15.75" customHeight="1">
      <c r="F342" s="148"/>
      <c r="G342" s="149"/>
      <c r="H342" s="149"/>
      <c r="I342" s="8"/>
      <c r="J342" s="150"/>
      <c r="K342" s="151"/>
      <c r="L342" s="152"/>
      <c r="M342" s="151"/>
      <c r="N342" s="152"/>
      <c r="O342" s="151"/>
      <c r="P342" s="153"/>
    </row>
    <row r="343" spans="6:16" ht="15.75" customHeight="1">
      <c r="F343" s="148"/>
      <c r="G343" s="149"/>
      <c r="H343" s="149"/>
      <c r="I343" s="8"/>
      <c r="J343" s="150"/>
      <c r="K343" s="151"/>
      <c r="L343" s="152"/>
      <c r="M343" s="151"/>
      <c r="N343" s="152"/>
      <c r="O343" s="151"/>
      <c r="P343" s="153"/>
    </row>
    <row r="344" spans="6:16" ht="15.75" customHeight="1">
      <c r="F344" s="148"/>
      <c r="G344" s="149"/>
      <c r="H344" s="149"/>
      <c r="I344" s="8"/>
      <c r="J344" s="150"/>
      <c r="K344" s="151"/>
      <c r="L344" s="152"/>
      <c r="M344" s="151"/>
      <c r="N344" s="152"/>
      <c r="O344" s="151"/>
      <c r="P344" s="153"/>
    </row>
    <row r="345" spans="6:16" ht="15.75" customHeight="1">
      <c r="F345" s="148"/>
      <c r="G345" s="149"/>
      <c r="H345" s="149"/>
      <c r="I345" s="8"/>
      <c r="J345" s="150"/>
      <c r="K345" s="151"/>
      <c r="L345" s="152"/>
      <c r="M345" s="151"/>
      <c r="N345" s="152"/>
      <c r="O345" s="151"/>
      <c r="P345" s="153"/>
    </row>
    <row r="346" spans="6:16" ht="15.75" customHeight="1">
      <c r="F346" s="148"/>
      <c r="G346" s="149"/>
      <c r="H346" s="149"/>
      <c r="I346" s="8"/>
      <c r="J346" s="150"/>
      <c r="K346" s="151"/>
      <c r="L346" s="152"/>
      <c r="M346" s="151"/>
      <c r="N346" s="152"/>
      <c r="O346" s="151"/>
      <c r="P346" s="153"/>
    </row>
    <row r="347" spans="6:16" ht="15.75" customHeight="1">
      <c r="F347" s="148"/>
      <c r="G347" s="149"/>
      <c r="H347" s="149"/>
      <c r="I347" s="8"/>
      <c r="J347" s="150"/>
      <c r="K347" s="151"/>
      <c r="L347" s="152"/>
      <c r="M347" s="151"/>
      <c r="N347" s="152"/>
      <c r="O347" s="151"/>
      <c r="P347" s="153"/>
    </row>
    <row r="348" spans="6:16" ht="15.75" customHeight="1">
      <c r="F348" s="148"/>
      <c r="G348" s="149"/>
      <c r="H348" s="149"/>
      <c r="I348" s="8"/>
      <c r="J348" s="150"/>
      <c r="K348" s="151"/>
      <c r="L348" s="152"/>
      <c r="M348" s="151"/>
      <c r="N348" s="152"/>
      <c r="O348" s="151"/>
      <c r="P348" s="153"/>
    </row>
    <row r="349" spans="6:16" ht="15.75" customHeight="1">
      <c r="F349" s="148"/>
      <c r="G349" s="149"/>
      <c r="H349" s="149"/>
      <c r="I349" s="8"/>
      <c r="J349" s="150"/>
      <c r="K349" s="151"/>
      <c r="L349" s="152"/>
      <c r="M349" s="151"/>
      <c r="N349" s="152"/>
      <c r="O349" s="151"/>
      <c r="P349" s="153"/>
    </row>
    <row r="350" spans="6:16" ht="15.75" customHeight="1">
      <c r="F350" s="148"/>
      <c r="G350" s="149"/>
      <c r="H350" s="149"/>
      <c r="I350" s="8"/>
      <c r="J350" s="150"/>
      <c r="K350" s="151"/>
      <c r="L350" s="152"/>
      <c r="M350" s="151"/>
      <c r="N350" s="152"/>
      <c r="O350" s="151"/>
      <c r="P350" s="153"/>
    </row>
    <row r="351" spans="6:16" ht="15.75" customHeight="1">
      <c r="F351" s="148"/>
      <c r="G351" s="149"/>
      <c r="H351" s="149"/>
      <c r="I351" s="8"/>
      <c r="J351" s="150"/>
      <c r="K351" s="151"/>
      <c r="L351" s="152"/>
      <c r="M351" s="151"/>
      <c r="N351" s="152"/>
      <c r="O351" s="151"/>
      <c r="P351" s="153"/>
    </row>
    <row r="352" spans="6:16" ht="15.75" customHeight="1">
      <c r="F352" s="148"/>
      <c r="G352" s="149"/>
      <c r="H352" s="149"/>
      <c r="I352" s="8"/>
      <c r="J352" s="150"/>
      <c r="K352" s="151"/>
      <c r="L352" s="152"/>
      <c r="M352" s="151"/>
      <c r="N352" s="152"/>
      <c r="O352" s="151"/>
      <c r="P352" s="153"/>
    </row>
    <row r="353" spans="6:16" ht="15.75" customHeight="1">
      <c r="F353" s="148"/>
      <c r="G353" s="149"/>
      <c r="H353" s="149"/>
      <c r="I353" s="8"/>
      <c r="J353" s="150"/>
      <c r="K353" s="151"/>
      <c r="L353" s="152"/>
      <c r="M353" s="151"/>
      <c r="N353" s="152"/>
      <c r="O353" s="151"/>
      <c r="P353" s="153"/>
    </row>
    <row r="354" spans="6:16" ht="15.75" customHeight="1">
      <c r="F354" s="148"/>
      <c r="G354" s="149"/>
      <c r="H354" s="149"/>
      <c r="I354" s="8"/>
      <c r="J354" s="150"/>
      <c r="K354" s="151"/>
      <c r="L354" s="152"/>
      <c r="M354" s="151"/>
      <c r="N354" s="152"/>
      <c r="O354" s="151"/>
      <c r="P354" s="153"/>
    </row>
    <row r="355" spans="6:16" ht="15.75" customHeight="1">
      <c r="F355" s="148"/>
      <c r="G355" s="149"/>
      <c r="H355" s="149"/>
      <c r="I355" s="8"/>
      <c r="J355" s="150"/>
      <c r="K355" s="151"/>
      <c r="L355" s="152"/>
      <c r="M355" s="151"/>
      <c r="N355" s="152"/>
      <c r="O355" s="151"/>
      <c r="P355" s="153"/>
    </row>
    <row r="356" spans="6:16" ht="15.75" customHeight="1">
      <c r="F356" s="148"/>
      <c r="G356" s="149"/>
      <c r="H356" s="149"/>
      <c r="I356" s="8"/>
      <c r="J356" s="150"/>
      <c r="K356" s="151"/>
      <c r="L356" s="152"/>
      <c r="M356" s="151"/>
      <c r="N356" s="152"/>
      <c r="O356" s="151"/>
      <c r="P356" s="153"/>
    </row>
    <row r="357" spans="6:16" ht="15.75" customHeight="1">
      <c r="F357" s="148"/>
      <c r="G357" s="149"/>
      <c r="H357" s="149"/>
      <c r="I357" s="8"/>
      <c r="J357" s="150"/>
      <c r="K357" s="151"/>
      <c r="L357" s="152"/>
      <c r="M357" s="151"/>
      <c r="N357" s="152"/>
      <c r="O357" s="151"/>
      <c r="P357" s="153"/>
    </row>
    <row r="358" spans="6:16" ht="15.75" customHeight="1">
      <c r="F358" s="148"/>
      <c r="G358" s="149"/>
      <c r="H358" s="149"/>
      <c r="I358" s="8"/>
      <c r="J358" s="150"/>
      <c r="K358" s="151"/>
      <c r="L358" s="152"/>
      <c r="M358" s="151"/>
      <c r="N358" s="152"/>
      <c r="O358" s="151"/>
      <c r="P358" s="153"/>
    </row>
    <row r="359" spans="6:16" ht="15.75" customHeight="1">
      <c r="F359" s="148"/>
      <c r="G359" s="149"/>
      <c r="H359" s="149"/>
      <c r="I359" s="8"/>
      <c r="J359" s="150"/>
      <c r="K359" s="151"/>
      <c r="L359" s="152"/>
      <c r="M359" s="151"/>
      <c r="N359" s="152"/>
      <c r="O359" s="151"/>
      <c r="P359" s="153"/>
    </row>
    <row r="360" spans="6:16" ht="15.75" customHeight="1">
      <c r="F360" s="148"/>
      <c r="G360" s="149"/>
      <c r="H360" s="149"/>
      <c r="I360" s="8"/>
      <c r="J360" s="150"/>
      <c r="K360" s="151"/>
      <c r="L360" s="152"/>
      <c r="M360" s="151"/>
      <c r="N360" s="152"/>
      <c r="O360" s="151"/>
      <c r="P360" s="153"/>
    </row>
    <row r="361" spans="6:16" s="113" customFormat="1" ht="15.75" customHeight="1" thickBot="1">
      <c r="F361" s="256"/>
      <c r="G361" s="257"/>
      <c r="H361" s="257"/>
      <c r="I361" s="258"/>
      <c r="J361" s="259"/>
      <c r="K361" s="260"/>
      <c r="L361" s="261"/>
      <c r="M361" s="260"/>
      <c r="N361" s="261"/>
      <c r="O361" s="260"/>
      <c r="P361" s="157"/>
    </row>
    <row r="362" ht="15.75" thickTop="1">
      <c r="I362" s="32"/>
    </row>
    <row r="363" ht="16.5" customHeight="1">
      <c r="I363" s="32"/>
    </row>
    <row r="364" ht="15">
      <c r="I364" s="32"/>
    </row>
    <row r="365" ht="15">
      <c r="I365" s="32"/>
    </row>
    <row r="366" ht="15">
      <c r="I366" s="32"/>
    </row>
  </sheetData>
  <printOptions horizontalCentered="1"/>
  <pageMargins left="0" right="0" top="0.4" bottom="0.25" header="0" footer="0"/>
  <pageSetup fitToHeight="4" horizontalDpi="300" verticalDpi="300" orientation="portrait" scale="40" r:id="rId1"/>
  <rowBreaks count="4" manualBreakCount="4">
    <brk id="90" max="16" man="1"/>
    <brk id="181" max="16" man="1"/>
    <brk id="272" max="16" man="1"/>
    <brk id="361" max="16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78"/>
  <sheetViews>
    <sheetView showGridLines="0" view="pageBreakPreview" zoomScale="87" zoomScaleNormal="75" zoomScaleSheetLayoutView="87" workbookViewId="0" topLeftCell="K63">
      <selection activeCell="K79" sqref="A79:IV79"/>
    </sheetView>
  </sheetViews>
  <sheetFormatPr defaultColWidth="9.77734375" defaultRowHeight="15"/>
  <cols>
    <col min="1" max="3" width="2.77734375" style="0" customWidth="1"/>
    <col min="4" max="4" width="8.77734375" style="0" customWidth="1"/>
    <col min="5" max="5" width="15.77734375" style="0" customWidth="1"/>
    <col min="6" max="6" width="3.7773437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2.77734375" style="0" customWidth="1"/>
    <col min="11" max="11" width="13.777343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6.77734375" style="0" customWidth="1"/>
    <col min="18" max="18" width="6.10546875" style="0" customWidth="1"/>
    <col min="19" max="19" width="12.21484375" style="0" bestFit="1" customWidth="1"/>
  </cols>
  <sheetData>
    <row r="1" spans="1:16" ht="16.5" customHeight="1">
      <c r="A1" s="7">
        <v>6</v>
      </c>
      <c r="B1" s="2" t="str">
        <f>(Marketable!B91)</f>
        <v>TABLE III - DETAIL OF TREASURY SECURITIES OUTSTANDING, FEBRUARY 28, 2001 -- Continued</v>
      </c>
      <c r="C1" s="2"/>
      <c r="D1" s="2"/>
      <c r="E1" s="3"/>
      <c r="F1" s="3"/>
      <c r="G1" s="3"/>
      <c r="H1" s="3"/>
      <c r="I1" s="30"/>
      <c r="J1" s="3"/>
      <c r="K1" s="3"/>
      <c r="L1" s="3"/>
      <c r="M1" s="3"/>
      <c r="N1" s="3"/>
      <c r="O1" s="3"/>
      <c r="P1" s="2"/>
    </row>
    <row r="2" spans="1:16" ht="10.5" customHeight="1" thickBot="1">
      <c r="A2" s="7"/>
      <c r="B2" s="7"/>
      <c r="C2" s="7"/>
      <c r="D2" s="2"/>
      <c r="E2" s="3"/>
      <c r="F2" s="3"/>
      <c r="G2" s="3"/>
      <c r="H2" s="3"/>
      <c r="I2" s="30"/>
      <c r="J2" s="3"/>
      <c r="K2" s="3"/>
      <c r="L2" s="3"/>
      <c r="M2" s="3"/>
      <c r="N2" s="3"/>
      <c r="O2" s="3"/>
      <c r="P2" s="2"/>
    </row>
    <row r="3" spans="1:16" ht="15.75" thickTop="1">
      <c r="A3" s="33"/>
      <c r="B3" s="33"/>
      <c r="C3" s="33"/>
      <c r="D3" s="33"/>
      <c r="E3" s="33"/>
      <c r="F3" s="33"/>
      <c r="G3" s="27"/>
      <c r="H3" s="27"/>
      <c r="I3" s="34"/>
      <c r="J3" s="27"/>
      <c r="K3" s="27"/>
      <c r="L3" s="33"/>
      <c r="M3" s="33"/>
      <c r="N3" s="33"/>
      <c r="O3" s="33"/>
      <c r="P3" s="33"/>
    </row>
    <row r="4" spans="7:16" ht="15.75" customHeight="1">
      <c r="G4" s="17" t="s">
        <v>702</v>
      </c>
      <c r="H4" s="17" t="s">
        <v>703</v>
      </c>
      <c r="I4" s="30"/>
      <c r="J4" s="35" t="s">
        <v>704</v>
      </c>
      <c r="K4" s="17" t="s">
        <v>705</v>
      </c>
      <c r="L4" s="3"/>
      <c r="M4" s="3"/>
      <c r="N4" s="3"/>
      <c r="O4" s="3"/>
      <c r="P4" s="3"/>
    </row>
    <row r="5" spans="1:11" ht="15.75" customHeight="1">
      <c r="A5" s="3" t="s">
        <v>706</v>
      </c>
      <c r="B5" s="3"/>
      <c r="C5" s="3"/>
      <c r="D5" s="3"/>
      <c r="E5" s="3"/>
      <c r="F5" s="3"/>
      <c r="G5" s="17" t="s">
        <v>707</v>
      </c>
      <c r="H5" s="17" t="s">
        <v>708</v>
      </c>
      <c r="I5" s="30"/>
      <c r="J5" s="35" t="s">
        <v>709</v>
      </c>
      <c r="K5" s="15"/>
    </row>
    <row r="6" spans="1:16" ht="16.5" customHeight="1">
      <c r="A6" s="16"/>
      <c r="B6" s="16"/>
      <c r="C6" s="16"/>
      <c r="D6" s="16"/>
      <c r="E6" s="16"/>
      <c r="F6" s="16"/>
      <c r="G6" s="36"/>
      <c r="H6" s="36"/>
      <c r="I6" s="37"/>
      <c r="J6" s="36"/>
      <c r="K6" s="38" t="s">
        <v>710</v>
      </c>
      <c r="L6" s="247"/>
      <c r="M6" s="38" t="s">
        <v>711</v>
      </c>
      <c r="N6" s="39"/>
      <c r="O6" s="38" t="s">
        <v>675</v>
      </c>
      <c r="P6" s="39"/>
    </row>
    <row r="7" spans="1:16" ht="15.75" customHeight="1">
      <c r="A7" s="74"/>
      <c r="B7" s="74"/>
      <c r="C7" s="74"/>
      <c r="D7" s="74"/>
      <c r="E7" s="74"/>
      <c r="F7" s="74"/>
      <c r="G7" s="15"/>
      <c r="H7" s="15"/>
      <c r="I7" s="109"/>
      <c r="J7" s="15"/>
      <c r="K7" s="17"/>
      <c r="L7" s="14"/>
      <c r="M7" s="17"/>
      <c r="N7" s="110"/>
      <c r="O7" s="17"/>
      <c r="P7" s="110"/>
    </row>
    <row r="8" spans="1:20" ht="18">
      <c r="A8" s="24" t="s">
        <v>679</v>
      </c>
      <c r="B8" s="23"/>
      <c r="C8" s="23"/>
      <c r="D8" s="23"/>
      <c r="E8" s="7"/>
      <c r="F8" s="7"/>
      <c r="G8" s="15"/>
      <c r="H8" s="15"/>
      <c r="J8" s="15"/>
      <c r="K8" s="15"/>
      <c r="L8" s="26"/>
      <c r="M8" s="15"/>
      <c r="O8" s="15"/>
      <c r="T8" s="18"/>
    </row>
    <row r="9" spans="2:15" ht="21" customHeight="1">
      <c r="B9" s="10" t="s">
        <v>833</v>
      </c>
      <c r="G9" s="15"/>
      <c r="H9" s="15"/>
      <c r="J9" s="15"/>
      <c r="K9" s="15"/>
      <c r="L9" s="26"/>
      <c r="M9" s="15"/>
      <c r="O9" s="15"/>
    </row>
    <row r="10" spans="2:15" ht="16.5" customHeight="1">
      <c r="B10" s="10"/>
      <c r="C10" s="10" t="s">
        <v>904</v>
      </c>
      <c r="G10" s="15"/>
      <c r="H10" s="15"/>
      <c r="J10" s="15"/>
      <c r="K10" s="15"/>
      <c r="L10" s="26"/>
      <c r="M10" s="15"/>
      <c r="O10" s="80"/>
    </row>
    <row r="11" spans="3:16" ht="16.5" customHeight="1">
      <c r="C11" s="10" t="s">
        <v>905</v>
      </c>
      <c r="F11" s="232">
        <v>10</v>
      </c>
      <c r="G11" s="103" t="s">
        <v>906</v>
      </c>
      <c r="H11" s="104" t="s">
        <v>906</v>
      </c>
      <c r="I11" s="3"/>
      <c r="J11" s="103" t="s">
        <v>906</v>
      </c>
      <c r="K11" s="41">
        <v>509.116</v>
      </c>
      <c r="L11" s="26"/>
      <c r="M11" s="52">
        <v>-508.518</v>
      </c>
      <c r="N11" s="26"/>
      <c r="O11" s="41">
        <f aca="true" t="shared" si="0" ref="O11:O19">K11+M11</f>
        <v>0.5980000000000132</v>
      </c>
      <c r="P11" s="22"/>
    </row>
    <row r="12" spans="3:16" ht="16.5" customHeight="1">
      <c r="C12" s="10" t="s">
        <v>834</v>
      </c>
      <c r="G12" s="103">
        <v>32808</v>
      </c>
      <c r="H12" s="104">
        <v>43753</v>
      </c>
      <c r="I12" s="3"/>
      <c r="J12" s="103">
        <v>43753</v>
      </c>
      <c r="K12" s="41">
        <v>4522.068</v>
      </c>
      <c r="L12" s="26"/>
      <c r="M12" s="48" t="s">
        <v>716</v>
      </c>
      <c r="N12" s="248"/>
      <c r="O12" s="41">
        <f t="shared" si="0"/>
        <v>4522.068</v>
      </c>
      <c r="P12" s="22"/>
    </row>
    <row r="13" spans="3:16" ht="16.5" customHeight="1">
      <c r="C13" s="10" t="s">
        <v>834</v>
      </c>
      <c r="G13" s="103">
        <v>33070</v>
      </c>
      <c r="H13" s="104">
        <v>44027</v>
      </c>
      <c r="I13" s="3"/>
      <c r="J13" s="103">
        <v>44027</v>
      </c>
      <c r="K13" s="41">
        <v>5026.13</v>
      </c>
      <c r="L13" s="21"/>
      <c r="M13" s="48" t="s">
        <v>716</v>
      </c>
      <c r="N13" s="28"/>
      <c r="O13" s="41">
        <f t="shared" si="0"/>
        <v>5026.13</v>
      </c>
      <c r="P13" s="22"/>
    </row>
    <row r="14" spans="3:16" ht="16.5" customHeight="1">
      <c r="C14" s="10" t="s">
        <v>835</v>
      </c>
      <c r="G14" s="103">
        <v>33151</v>
      </c>
      <c r="H14" s="104">
        <v>44119</v>
      </c>
      <c r="I14" s="3"/>
      <c r="J14" s="103">
        <v>44119</v>
      </c>
      <c r="K14" s="41">
        <v>2.75</v>
      </c>
      <c r="L14" s="21"/>
      <c r="M14" s="48" t="s">
        <v>716</v>
      </c>
      <c r="N14" s="28"/>
      <c r="O14" s="41">
        <f t="shared" si="0"/>
        <v>2.75</v>
      </c>
      <c r="P14" s="22"/>
    </row>
    <row r="15" spans="3:16" ht="16.5" customHeight="1">
      <c r="C15" s="10" t="s">
        <v>836</v>
      </c>
      <c r="G15" s="103">
        <v>33151</v>
      </c>
      <c r="H15" s="104">
        <v>44119</v>
      </c>
      <c r="I15" s="3"/>
      <c r="J15" s="103">
        <v>44119</v>
      </c>
      <c r="K15" s="41">
        <v>5000</v>
      </c>
      <c r="L15" s="21"/>
      <c r="M15" s="48" t="s">
        <v>716</v>
      </c>
      <c r="N15" s="28"/>
      <c r="O15" s="41">
        <f t="shared" si="0"/>
        <v>5000</v>
      </c>
      <c r="P15" s="22"/>
    </row>
    <row r="16" spans="3:16" ht="16.5" customHeight="1">
      <c r="C16" s="10" t="s">
        <v>834</v>
      </c>
      <c r="G16" s="103">
        <v>33252</v>
      </c>
      <c r="H16" s="104">
        <v>44211</v>
      </c>
      <c r="I16" s="3"/>
      <c r="J16" s="103">
        <v>44211</v>
      </c>
      <c r="K16" s="41">
        <v>4940.921</v>
      </c>
      <c r="L16" s="21"/>
      <c r="M16" s="48" t="s">
        <v>716</v>
      </c>
      <c r="N16" s="28"/>
      <c r="O16" s="41">
        <f t="shared" si="0"/>
        <v>4940.921</v>
      </c>
      <c r="P16" s="22"/>
    </row>
    <row r="17" spans="3:16" ht="16.5" customHeight="1">
      <c r="C17" s="10" t="s">
        <v>834</v>
      </c>
      <c r="G17" s="103">
        <v>32902</v>
      </c>
      <c r="H17" s="104">
        <v>47498</v>
      </c>
      <c r="I17" s="3"/>
      <c r="J17" s="103">
        <v>47498</v>
      </c>
      <c r="K17" s="41">
        <v>5002.232</v>
      </c>
      <c r="L17" s="21"/>
      <c r="M17" s="48" t="s">
        <v>716</v>
      </c>
      <c r="N17" s="28"/>
      <c r="O17" s="41">
        <f t="shared" si="0"/>
        <v>5002.232</v>
      </c>
      <c r="P17" s="22"/>
    </row>
    <row r="18" spans="3:16" ht="16.5" customHeight="1">
      <c r="C18" s="10" t="s">
        <v>834</v>
      </c>
      <c r="G18" s="103">
        <v>32979</v>
      </c>
      <c r="H18" s="104">
        <v>47588</v>
      </c>
      <c r="I18" s="3"/>
      <c r="J18" s="103">
        <v>47588</v>
      </c>
      <c r="K18" s="41">
        <v>3501.265</v>
      </c>
      <c r="L18" s="21"/>
      <c r="M18" s="48" t="s">
        <v>716</v>
      </c>
      <c r="N18" s="28"/>
      <c r="O18" s="41">
        <f t="shared" si="0"/>
        <v>3501.265</v>
      </c>
      <c r="P18" s="22"/>
    </row>
    <row r="19" spans="3:16" ht="16.5" customHeight="1">
      <c r="C19" s="10" t="s">
        <v>834</v>
      </c>
      <c r="G19" s="103">
        <v>33252</v>
      </c>
      <c r="H19" s="104">
        <v>47588</v>
      </c>
      <c r="I19" s="3"/>
      <c r="J19" s="103">
        <v>47588</v>
      </c>
      <c r="K19" s="41">
        <v>1999.814</v>
      </c>
      <c r="L19" s="21"/>
      <c r="M19" s="48" t="s">
        <v>716</v>
      </c>
      <c r="N19" s="28"/>
      <c r="O19" s="41">
        <f t="shared" si="0"/>
        <v>1999.814</v>
      </c>
      <c r="P19" s="22"/>
    </row>
    <row r="20" spans="2:16" ht="21" customHeight="1" thickBot="1">
      <c r="B20" s="340" t="s">
        <v>846</v>
      </c>
      <c r="G20" s="35" t="s">
        <v>717</v>
      </c>
      <c r="H20" s="17" t="s">
        <v>717</v>
      </c>
      <c r="I20" s="3"/>
      <c r="J20" s="35" t="s">
        <v>717</v>
      </c>
      <c r="K20" s="333">
        <f>SUM(K11:K19)</f>
        <v>30504.296</v>
      </c>
      <c r="L20" s="353"/>
      <c r="M20" s="333">
        <f>SUM(M11:M19)</f>
        <v>-508.518</v>
      </c>
      <c r="N20" s="354"/>
      <c r="O20" s="333">
        <f>SUM(O11:O19)</f>
        <v>29995.778</v>
      </c>
      <c r="P20" s="355" t="s">
        <v>672</v>
      </c>
    </row>
    <row r="21" spans="7:15" ht="15.75" customHeight="1" thickTop="1">
      <c r="G21" s="15"/>
      <c r="H21" s="15"/>
      <c r="I21" s="32"/>
      <c r="J21" s="15"/>
      <c r="K21" s="15"/>
      <c r="L21" s="26"/>
      <c r="M21" s="15"/>
      <c r="O21" s="15"/>
    </row>
    <row r="22" spans="2:15" ht="21" customHeight="1">
      <c r="B22" s="10" t="s">
        <v>847</v>
      </c>
      <c r="E22" s="20"/>
      <c r="F22" s="232"/>
      <c r="G22" s="15"/>
      <c r="H22" s="15"/>
      <c r="J22" s="15"/>
      <c r="K22" s="15"/>
      <c r="L22" s="26"/>
      <c r="M22" s="246"/>
      <c r="O22" s="15"/>
    </row>
    <row r="23" spans="3:16" ht="16.5" customHeight="1">
      <c r="C23" s="180" t="s">
        <v>395</v>
      </c>
      <c r="G23" s="53">
        <v>36866</v>
      </c>
      <c r="H23" s="104">
        <v>36965</v>
      </c>
      <c r="I23" s="3"/>
      <c r="J23" s="103">
        <v>36965</v>
      </c>
      <c r="K23" s="41">
        <v>200</v>
      </c>
      <c r="L23" s="22"/>
      <c r="M23" s="48" t="s">
        <v>716</v>
      </c>
      <c r="N23" s="28"/>
      <c r="O23" s="41">
        <f aca="true" t="shared" si="1" ref="O23:O40">K23+M23</f>
        <v>200</v>
      </c>
      <c r="P23" s="42"/>
    </row>
    <row r="24" spans="3:16" ht="16.5" customHeight="1">
      <c r="C24" s="180" t="s">
        <v>396</v>
      </c>
      <c r="G24" s="53">
        <v>36866</v>
      </c>
      <c r="H24" s="104">
        <v>36986</v>
      </c>
      <c r="I24" s="3"/>
      <c r="J24" s="103">
        <v>36986</v>
      </c>
      <c r="K24" s="41">
        <v>200</v>
      </c>
      <c r="L24" s="22"/>
      <c r="M24" s="48" t="s">
        <v>716</v>
      </c>
      <c r="N24" s="28"/>
      <c r="O24" s="41">
        <f t="shared" si="1"/>
        <v>200</v>
      </c>
      <c r="P24" s="42"/>
    </row>
    <row r="25" spans="3:16" ht="16.5" customHeight="1">
      <c r="C25" s="180" t="s">
        <v>397</v>
      </c>
      <c r="G25" s="53">
        <v>36866</v>
      </c>
      <c r="H25" s="104">
        <v>37012</v>
      </c>
      <c r="I25" s="3"/>
      <c r="J25" s="103">
        <v>37012</v>
      </c>
      <c r="K25" s="41">
        <v>150</v>
      </c>
      <c r="L25" s="22"/>
      <c r="M25" s="48" t="s">
        <v>716</v>
      </c>
      <c r="N25" s="28"/>
      <c r="O25" s="41">
        <f t="shared" si="1"/>
        <v>150</v>
      </c>
      <c r="P25" s="42"/>
    </row>
    <row r="26" spans="3:16" ht="16.5" customHeight="1">
      <c r="C26" s="180" t="s">
        <v>398</v>
      </c>
      <c r="G26" s="53">
        <v>36866</v>
      </c>
      <c r="H26" s="104">
        <v>37014</v>
      </c>
      <c r="I26" s="3"/>
      <c r="J26" s="103">
        <v>37014</v>
      </c>
      <c r="K26" s="41">
        <v>200</v>
      </c>
      <c r="L26" s="22"/>
      <c r="M26" s="48" t="s">
        <v>716</v>
      </c>
      <c r="N26" s="28"/>
      <c r="O26" s="41">
        <f t="shared" si="1"/>
        <v>200</v>
      </c>
      <c r="P26" s="42"/>
    </row>
    <row r="27" spans="3:16" ht="16.5" customHeight="1">
      <c r="C27" s="180" t="s">
        <v>399</v>
      </c>
      <c r="G27" s="53">
        <v>36866</v>
      </c>
      <c r="H27" s="104">
        <v>37028</v>
      </c>
      <c r="I27" s="3"/>
      <c r="J27" s="103">
        <v>37028</v>
      </c>
      <c r="K27" s="41">
        <v>200</v>
      </c>
      <c r="L27" s="22"/>
      <c r="M27" s="48" t="s">
        <v>716</v>
      </c>
      <c r="N27" s="28"/>
      <c r="O27" s="41">
        <f t="shared" si="1"/>
        <v>200</v>
      </c>
      <c r="P27" s="42"/>
    </row>
    <row r="28" spans="3:16" ht="16.5" customHeight="1">
      <c r="C28" s="180" t="s">
        <v>400</v>
      </c>
      <c r="G28" s="53">
        <v>36866</v>
      </c>
      <c r="H28" s="104">
        <v>37043</v>
      </c>
      <c r="I28" s="3"/>
      <c r="J28" s="103">
        <v>37043</v>
      </c>
      <c r="K28" s="41">
        <v>150</v>
      </c>
      <c r="L28" s="22"/>
      <c r="M28" s="48" t="s">
        <v>716</v>
      </c>
      <c r="N28" s="28"/>
      <c r="O28" s="41">
        <f t="shared" si="1"/>
        <v>150</v>
      </c>
      <c r="P28" s="42"/>
    </row>
    <row r="29" spans="3:16" ht="16.5" customHeight="1">
      <c r="C29" s="180" t="s">
        <v>401</v>
      </c>
      <c r="G29" s="53">
        <v>36866</v>
      </c>
      <c r="H29" s="104">
        <v>37049</v>
      </c>
      <c r="I29" s="3"/>
      <c r="J29" s="103">
        <v>37049</v>
      </c>
      <c r="K29" s="41">
        <v>200</v>
      </c>
      <c r="L29" s="22"/>
      <c r="M29" s="48" t="s">
        <v>716</v>
      </c>
      <c r="N29" s="28"/>
      <c r="O29" s="41">
        <f t="shared" si="1"/>
        <v>200</v>
      </c>
      <c r="P29" s="42"/>
    </row>
    <row r="30" spans="3:16" ht="16.5" customHeight="1">
      <c r="C30" s="180" t="s">
        <v>402</v>
      </c>
      <c r="G30" s="53">
        <v>36837</v>
      </c>
      <c r="H30" s="104">
        <v>37074</v>
      </c>
      <c r="I30" s="3"/>
      <c r="J30" s="103">
        <v>37074</v>
      </c>
      <c r="K30" s="41">
        <v>205</v>
      </c>
      <c r="L30" s="22"/>
      <c r="M30" s="48" t="s">
        <v>716</v>
      </c>
      <c r="N30" s="28"/>
      <c r="O30" s="41">
        <f t="shared" si="1"/>
        <v>205</v>
      </c>
      <c r="P30" s="42"/>
    </row>
    <row r="31" spans="3:16" ht="16.5" customHeight="1">
      <c r="C31" s="180" t="s">
        <v>402</v>
      </c>
      <c r="G31" s="53">
        <v>36866</v>
      </c>
      <c r="H31" s="104">
        <v>37074</v>
      </c>
      <c r="I31" s="3"/>
      <c r="J31" s="103">
        <v>37074</v>
      </c>
      <c r="K31" s="41">
        <v>150</v>
      </c>
      <c r="L31" s="22"/>
      <c r="M31" s="48" t="s">
        <v>716</v>
      </c>
      <c r="N31" s="28"/>
      <c r="O31" s="41">
        <f t="shared" si="1"/>
        <v>150</v>
      </c>
      <c r="P31" s="42"/>
    </row>
    <row r="32" spans="3:16" ht="16.5" customHeight="1">
      <c r="C32" s="180" t="s">
        <v>403</v>
      </c>
      <c r="G32" s="53">
        <v>36866</v>
      </c>
      <c r="H32" s="104">
        <v>37077</v>
      </c>
      <c r="I32" s="3"/>
      <c r="J32" s="103">
        <v>37077</v>
      </c>
      <c r="K32" s="41">
        <v>200</v>
      </c>
      <c r="L32" s="22"/>
      <c r="M32" s="48" t="s">
        <v>716</v>
      </c>
      <c r="N32" s="28"/>
      <c r="O32" s="41">
        <f t="shared" si="1"/>
        <v>200</v>
      </c>
      <c r="P32" s="42"/>
    </row>
    <row r="33" spans="3:16" ht="16.5" customHeight="1">
      <c r="C33" s="180" t="s">
        <v>0</v>
      </c>
      <c r="G33" s="53">
        <v>36902</v>
      </c>
      <c r="H33" s="104">
        <v>37084</v>
      </c>
      <c r="I33" s="3"/>
      <c r="J33" s="103">
        <v>37084</v>
      </c>
      <c r="K33" s="41">
        <v>100</v>
      </c>
      <c r="L33" s="22"/>
      <c r="M33" s="48" t="s">
        <v>716</v>
      </c>
      <c r="N33" s="28"/>
      <c r="O33" s="41">
        <f>K33+M33</f>
        <v>100</v>
      </c>
      <c r="P33" s="42"/>
    </row>
    <row r="34" spans="3:16" ht="16.5" customHeight="1">
      <c r="C34" s="180" t="s">
        <v>404</v>
      </c>
      <c r="G34" s="53">
        <v>36866</v>
      </c>
      <c r="H34" s="104">
        <v>37104</v>
      </c>
      <c r="I34" s="3"/>
      <c r="J34" s="103">
        <v>37104</v>
      </c>
      <c r="K34" s="41">
        <v>150</v>
      </c>
      <c r="L34" s="22"/>
      <c r="M34" s="48" t="s">
        <v>716</v>
      </c>
      <c r="N34" s="28"/>
      <c r="O34" s="41">
        <f t="shared" si="1"/>
        <v>150</v>
      </c>
      <c r="P34" s="42"/>
    </row>
    <row r="35" spans="3:16" ht="16.5" customHeight="1">
      <c r="C35" s="180" t="s">
        <v>405</v>
      </c>
      <c r="G35" s="53">
        <v>36866</v>
      </c>
      <c r="H35" s="104">
        <v>37105</v>
      </c>
      <c r="I35" s="3"/>
      <c r="J35" s="103">
        <v>37105</v>
      </c>
      <c r="K35" s="41">
        <v>200</v>
      </c>
      <c r="L35" s="22"/>
      <c r="M35" s="48" t="s">
        <v>716</v>
      </c>
      <c r="N35" s="28"/>
      <c r="O35" s="41">
        <f t="shared" si="1"/>
        <v>200</v>
      </c>
      <c r="P35" s="42"/>
    </row>
    <row r="36" spans="3:16" ht="16.5" customHeight="1">
      <c r="C36" s="180" t="s">
        <v>406</v>
      </c>
      <c r="G36" s="53">
        <v>36866</v>
      </c>
      <c r="H36" s="104">
        <v>37138</v>
      </c>
      <c r="I36" s="3"/>
      <c r="J36" s="103">
        <v>37138</v>
      </c>
      <c r="K36" s="41">
        <v>150</v>
      </c>
      <c r="L36" s="22"/>
      <c r="M36" s="48" t="s">
        <v>716</v>
      </c>
      <c r="N36" s="28"/>
      <c r="O36" s="41">
        <f t="shared" si="1"/>
        <v>150</v>
      </c>
      <c r="P36" s="42"/>
    </row>
    <row r="37" spans="3:16" ht="16.5" customHeight="1">
      <c r="C37" s="180" t="s">
        <v>406</v>
      </c>
      <c r="G37" s="53">
        <v>36928</v>
      </c>
      <c r="H37" s="104">
        <v>37138</v>
      </c>
      <c r="I37" s="3"/>
      <c r="J37" s="103">
        <v>37138</v>
      </c>
      <c r="K37" s="41">
        <v>200</v>
      </c>
      <c r="L37" s="22"/>
      <c r="M37" s="48" t="s">
        <v>716</v>
      </c>
      <c r="N37" s="28"/>
      <c r="O37" s="41">
        <f>K37+M37</f>
        <v>200</v>
      </c>
      <c r="P37" s="42"/>
    </row>
    <row r="38" spans="3:16" ht="16.5" customHeight="1">
      <c r="C38" s="10" t="s">
        <v>849</v>
      </c>
      <c r="F38" s="232">
        <v>10</v>
      </c>
      <c r="G38" s="103">
        <v>32960</v>
      </c>
      <c r="H38" s="104">
        <v>43830</v>
      </c>
      <c r="I38" s="3"/>
      <c r="J38" s="103">
        <v>43830</v>
      </c>
      <c r="K38" s="41">
        <v>30220.229</v>
      </c>
      <c r="L38" s="22"/>
      <c r="M38" s="52">
        <v>-16808.265</v>
      </c>
      <c r="N38" s="22"/>
      <c r="O38" s="41">
        <f t="shared" si="1"/>
        <v>13411.964</v>
      </c>
      <c r="P38" s="22"/>
    </row>
    <row r="39" spans="3:16" ht="16.5" customHeight="1">
      <c r="C39" s="10" t="s">
        <v>850</v>
      </c>
      <c r="F39" s="232">
        <v>10</v>
      </c>
      <c r="G39" s="103">
        <v>33225</v>
      </c>
      <c r="H39" s="104">
        <v>43921</v>
      </c>
      <c r="I39" s="3"/>
      <c r="J39" s="103">
        <v>43921</v>
      </c>
      <c r="K39" s="41">
        <v>7258.009</v>
      </c>
      <c r="L39" s="22"/>
      <c r="M39" s="52">
        <v>-4536.703</v>
      </c>
      <c r="N39" s="22"/>
      <c r="O39" s="41">
        <f t="shared" si="1"/>
        <v>2721.3059999999996</v>
      </c>
      <c r="P39" s="22"/>
    </row>
    <row r="40" spans="3:16" ht="16.5" customHeight="1">
      <c r="C40" s="10" t="s">
        <v>854</v>
      </c>
      <c r="F40" s="232">
        <v>10</v>
      </c>
      <c r="G40" s="103">
        <v>34066</v>
      </c>
      <c r="H40" s="104">
        <v>45016</v>
      </c>
      <c r="I40" s="3"/>
      <c r="J40" s="103">
        <v>45016</v>
      </c>
      <c r="K40" s="41">
        <v>6685</v>
      </c>
      <c r="L40" s="22"/>
      <c r="M40" s="52">
        <v>-537.042</v>
      </c>
      <c r="N40" s="276"/>
      <c r="O40" s="41">
        <f t="shared" si="1"/>
        <v>6147.958</v>
      </c>
      <c r="P40" s="22"/>
    </row>
    <row r="41" spans="2:16" ht="20.25" customHeight="1" thickBot="1">
      <c r="B41" s="340" t="s">
        <v>855</v>
      </c>
      <c r="G41" s="35" t="s">
        <v>717</v>
      </c>
      <c r="H41" s="17" t="s">
        <v>717</v>
      </c>
      <c r="I41" s="3"/>
      <c r="J41" s="35" t="s">
        <v>717</v>
      </c>
      <c r="K41" s="333">
        <f>SUM(K23:K40)</f>
        <v>46818.238</v>
      </c>
      <c r="L41" s="334"/>
      <c r="M41" s="352">
        <f>SUM(M23:M40)</f>
        <v>-21882.010000000002</v>
      </c>
      <c r="N41" s="334"/>
      <c r="O41" s="333">
        <f>SUM(O23:O40)</f>
        <v>24936.228</v>
      </c>
      <c r="P41" s="334"/>
    </row>
    <row r="42" spans="7:15" ht="15.75" customHeight="1" thickTop="1">
      <c r="G42" s="15"/>
      <c r="H42" s="15"/>
      <c r="J42" s="15"/>
      <c r="K42" s="15"/>
      <c r="M42" s="15"/>
      <c r="O42" s="15"/>
    </row>
    <row r="43" spans="2:15" ht="21" customHeight="1">
      <c r="B43" s="10" t="s">
        <v>856</v>
      </c>
      <c r="G43" s="15"/>
      <c r="H43" s="15"/>
      <c r="J43" s="15"/>
      <c r="K43" s="15"/>
      <c r="M43" s="15"/>
      <c r="O43" s="15"/>
    </row>
    <row r="44" spans="3:15" ht="16.5" customHeight="1">
      <c r="C44" s="10" t="s">
        <v>857</v>
      </c>
      <c r="G44" s="15"/>
      <c r="H44" s="15"/>
      <c r="J44" s="15"/>
      <c r="K44" s="41"/>
      <c r="M44" s="41" t="s">
        <v>672</v>
      </c>
      <c r="O44" s="41"/>
    </row>
    <row r="45" spans="3:15" ht="16.5" customHeight="1">
      <c r="C45" s="10" t="s">
        <v>858</v>
      </c>
      <c r="G45" s="35" t="s">
        <v>831</v>
      </c>
      <c r="H45" s="17" t="s">
        <v>717</v>
      </c>
      <c r="I45" s="3"/>
      <c r="J45" s="35" t="s">
        <v>859</v>
      </c>
      <c r="K45" s="41">
        <v>49.692</v>
      </c>
      <c r="M45" s="52">
        <v>-48.639</v>
      </c>
      <c r="N45" s="44"/>
      <c r="O45" s="54">
        <f>(K45+M45)</f>
        <v>1.0529999999999973</v>
      </c>
    </row>
    <row r="46" spans="2:16" ht="20.25" customHeight="1" thickBot="1">
      <c r="B46" s="340" t="s">
        <v>860</v>
      </c>
      <c r="G46" s="35" t="s">
        <v>717</v>
      </c>
      <c r="H46" s="17" t="s">
        <v>717</v>
      </c>
      <c r="I46" s="3"/>
      <c r="J46" s="35" t="s">
        <v>717</v>
      </c>
      <c r="K46" s="333">
        <f>K45</f>
        <v>49.692</v>
      </c>
      <c r="L46" s="351"/>
      <c r="M46" s="333">
        <f>M45</f>
        <v>-48.639</v>
      </c>
      <c r="N46" s="351"/>
      <c r="O46" s="356">
        <f>(K46+M46)</f>
        <v>1.0529999999999973</v>
      </c>
      <c r="P46" s="351"/>
    </row>
    <row r="47" spans="7:15" ht="15.75" customHeight="1" thickTop="1">
      <c r="G47" s="15"/>
      <c r="H47" s="15"/>
      <c r="J47" s="15"/>
      <c r="K47" s="41"/>
      <c r="M47" s="41"/>
      <c r="O47" s="41"/>
    </row>
    <row r="48" spans="2:15" ht="21" customHeight="1">
      <c r="B48" s="10" t="s">
        <v>861</v>
      </c>
      <c r="G48" s="15"/>
      <c r="H48" s="15"/>
      <c r="J48" s="15"/>
      <c r="K48" s="15"/>
      <c r="M48" s="15"/>
      <c r="O48" s="15"/>
    </row>
    <row r="49" spans="3:15" ht="16.5" customHeight="1">
      <c r="C49" s="10" t="s">
        <v>862</v>
      </c>
      <c r="G49" s="15"/>
      <c r="H49" s="15"/>
      <c r="J49" s="15"/>
      <c r="K49" s="41"/>
      <c r="M49" s="41"/>
      <c r="O49" s="41"/>
    </row>
    <row r="50" spans="3:15" ht="16.5" customHeight="1">
      <c r="C50" s="10" t="s">
        <v>863</v>
      </c>
      <c r="G50" s="35" t="s">
        <v>831</v>
      </c>
      <c r="H50" s="17" t="s">
        <v>717</v>
      </c>
      <c r="I50" s="3"/>
      <c r="J50" s="35" t="s">
        <v>864</v>
      </c>
      <c r="K50" s="41">
        <v>82155.228</v>
      </c>
      <c r="M50" s="52">
        <v>-75587.774</v>
      </c>
      <c r="N50" s="44"/>
      <c r="O50" s="105">
        <f>(K50+M50)</f>
        <v>6567.453999999998</v>
      </c>
    </row>
    <row r="51" spans="3:15" ht="16.5" customHeight="1">
      <c r="C51" s="10" t="s">
        <v>865</v>
      </c>
      <c r="G51" s="15"/>
      <c r="H51" s="15"/>
      <c r="J51" s="15"/>
      <c r="K51" s="41"/>
      <c r="M51" s="52"/>
      <c r="N51" s="44"/>
      <c r="O51" s="41"/>
    </row>
    <row r="52" spans="3:15" ht="16.5" customHeight="1">
      <c r="C52" s="10" t="s">
        <v>866</v>
      </c>
      <c r="G52" s="35" t="s">
        <v>831</v>
      </c>
      <c r="H52" s="17" t="s">
        <v>717</v>
      </c>
      <c r="I52" s="3"/>
      <c r="J52" s="35" t="s">
        <v>831</v>
      </c>
      <c r="K52" s="41">
        <v>256426.462</v>
      </c>
      <c r="M52" s="52">
        <v>-134763.491</v>
      </c>
      <c r="N52" s="44"/>
      <c r="O52" s="105">
        <f>(K52+M52)</f>
        <v>121662.97099999999</v>
      </c>
    </row>
    <row r="53" spans="3:15" ht="16.5" customHeight="1">
      <c r="C53" s="10" t="s">
        <v>868</v>
      </c>
      <c r="G53" s="15"/>
      <c r="H53" s="15"/>
      <c r="J53" s="15"/>
      <c r="K53" s="41"/>
      <c r="M53" s="52"/>
      <c r="N53" s="44"/>
      <c r="O53" s="41"/>
    </row>
    <row r="54" spans="3:15" ht="16.5" customHeight="1">
      <c r="C54" s="10" t="s">
        <v>866</v>
      </c>
      <c r="G54" s="35" t="s">
        <v>831</v>
      </c>
      <c r="H54" s="17" t="s">
        <v>717</v>
      </c>
      <c r="I54" s="3"/>
      <c r="J54" s="35" t="s">
        <v>831</v>
      </c>
      <c r="K54" s="41">
        <v>35310.429</v>
      </c>
      <c r="M54" s="52">
        <v>-13742.848</v>
      </c>
      <c r="N54" s="44"/>
      <c r="O54" s="105">
        <f>(K54+M54)</f>
        <v>21567.581</v>
      </c>
    </row>
    <row r="55" spans="3:16" ht="16.5" customHeight="1">
      <c r="C55" s="10" t="s">
        <v>869</v>
      </c>
      <c r="F55" s="232">
        <v>10</v>
      </c>
      <c r="G55" s="35" t="s">
        <v>831</v>
      </c>
      <c r="H55" s="17" t="s">
        <v>717</v>
      </c>
      <c r="I55" s="3"/>
      <c r="J55" s="35" t="s">
        <v>870</v>
      </c>
      <c r="K55" s="105">
        <v>1636.874</v>
      </c>
      <c r="L55" s="74" t="s">
        <v>672</v>
      </c>
      <c r="M55" s="268">
        <v>-1532.234</v>
      </c>
      <c r="N55" s="267" t="s">
        <v>672</v>
      </c>
      <c r="O55" s="105">
        <f>(K55+M55)</f>
        <v>104.6400000000001</v>
      </c>
      <c r="P55" s="74"/>
    </row>
    <row r="56" spans="3:16" ht="16.5" customHeight="1">
      <c r="C56" s="10" t="s">
        <v>867</v>
      </c>
      <c r="G56" s="35" t="s">
        <v>831</v>
      </c>
      <c r="H56" s="17" t="s">
        <v>717</v>
      </c>
      <c r="I56" s="3"/>
      <c r="J56" s="35" t="s">
        <v>717</v>
      </c>
      <c r="K56" s="83">
        <v>300.257</v>
      </c>
      <c r="L56" s="84"/>
      <c r="M56" s="262">
        <v>-298.949</v>
      </c>
      <c r="N56" s="263"/>
      <c r="O56" s="106">
        <f>(K56+M56)</f>
        <v>1.3079999999999927</v>
      </c>
      <c r="P56" s="84"/>
    </row>
    <row r="57" spans="2:16" ht="21" customHeight="1">
      <c r="B57" s="340" t="s">
        <v>871</v>
      </c>
      <c r="C57" s="10"/>
      <c r="F57" s="77"/>
      <c r="G57" s="35"/>
      <c r="H57" s="17"/>
      <c r="I57" s="3"/>
      <c r="J57" s="35"/>
      <c r="K57" s="41"/>
      <c r="L57" s="74"/>
      <c r="M57" s="41"/>
      <c r="N57" s="74"/>
      <c r="O57" s="105"/>
      <c r="P57" s="74"/>
    </row>
    <row r="58" spans="2:16" ht="20.25" customHeight="1" thickBot="1">
      <c r="B58" s="340" t="s">
        <v>872</v>
      </c>
      <c r="G58" s="35" t="s">
        <v>717</v>
      </c>
      <c r="H58" s="17" t="s">
        <v>717</v>
      </c>
      <c r="I58" s="3"/>
      <c r="J58" s="35" t="s">
        <v>717</v>
      </c>
      <c r="K58" s="356">
        <f>SUM(K50:K56)</f>
        <v>375829.25</v>
      </c>
      <c r="L58" s="357"/>
      <c r="M58" s="358">
        <f>SUM(M50:M56)</f>
        <v>-225925.296</v>
      </c>
      <c r="N58" s="359"/>
      <c r="O58" s="356">
        <f>K58+M58</f>
        <v>149903.954</v>
      </c>
      <c r="P58" s="357"/>
    </row>
    <row r="59" spans="7:15" ht="15.75" customHeight="1" thickTop="1">
      <c r="G59" s="15"/>
      <c r="H59" s="15"/>
      <c r="J59" s="15"/>
      <c r="K59" s="15"/>
      <c r="L59" s="22"/>
      <c r="M59" s="15"/>
      <c r="O59" s="15"/>
    </row>
    <row r="60" spans="2:15" ht="21" customHeight="1">
      <c r="B60" s="10" t="s">
        <v>873</v>
      </c>
      <c r="G60" s="15"/>
      <c r="H60" s="15"/>
      <c r="J60" s="15"/>
      <c r="K60" s="15"/>
      <c r="L60" s="22"/>
      <c r="M60" s="15"/>
      <c r="O60" s="15"/>
    </row>
    <row r="61" spans="3:15" ht="18" customHeight="1">
      <c r="C61" s="10" t="s">
        <v>874</v>
      </c>
      <c r="F61" s="232" t="s">
        <v>647</v>
      </c>
      <c r="G61" s="15"/>
      <c r="H61" s="15"/>
      <c r="J61" s="15"/>
      <c r="K61" s="15"/>
      <c r="M61" s="246"/>
      <c r="O61" s="15"/>
    </row>
    <row r="62" spans="4:15" ht="16.5" customHeight="1">
      <c r="D62" s="10" t="s">
        <v>875</v>
      </c>
      <c r="F62" s="232">
        <v>12</v>
      </c>
      <c r="G62" s="35" t="s">
        <v>831</v>
      </c>
      <c r="H62" s="17" t="s">
        <v>876</v>
      </c>
      <c r="I62" s="3"/>
      <c r="J62" s="35" t="s">
        <v>877</v>
      </c>
      <c r="K62" s="41">
        <v>152292.409</v>
      </c>
      <c r="M62" s="52">
        <v>-112299.896</v>
      </c>
      <c r="N62" s="44"/>
      <c r="O62" s="105">
        <f>+K62+M62</f>
        <v>39992.51300000002</v>
      </c>
    </row>
    <row r="63" spans="4:15" ht="16.5" customHeight="1">
      <c r="D63" s="10" t="s">
        <v>878</v>
      </c>
      <c r="F63" s="232">
        <v>12</v>
      </c>
      <c r="G63" s="35" t="s">
        <v>831</v>
      </c>
      <c r="H63" s="17" t="s">
        <v>876</v>
      </c>
      <c r="I63" s="3"/>
      <c r="J63" s="35" t="s">
        <v>877</v>
      </c>
      <c r="K63" s="41">
        <v>219535.03</v>
      </c>
      <c r="M63" s="52">
        <v>-98158.197</v>
      </c>
      <c r="N63" s="44"/>
      <c r="O63" s="105">
        <f>+K63+M63</f>
        <v>121376.833</v>
      </c>
    </row>
    <row r="64" spans="4:15" ht="16.5" customHeight="1">
      <c r="D64" s="180" t="s">
        <v>879</v>
      </c>
      <c r="F64" s="232"/>
      <c r="G64" s="15"/>
      <c r="H64" s="15"/>
      <c r="J64" s="15"/>
      <c r="K64" s="15"/>
      <c r="M64" s="246"/>
      <c r="N64" s="44"/>
      <c r="O64" s="15"/>
    </row>
    <row r="65" spans="4:15" ht="16.5" customHeight="1">
      <c r="D65" s="10" t="s">
        <v>880</v>
      </c>
      <c r="F65" s="232"/>
      <c r="G65" s="35" t="s">
        <v>831</v>
      </c>
      <c r="H65" s="17" t="s">
        <v>876</v>
      </c>
      <c r="I65" s="3"/>
      <c r="J65" s="35" t="s">
        <v>877</v>
      </c>
      <c r="K65" s="41">
        <v>212.84</v>
      </c>
      <c r="M65" s="52">
        <v>-428.413</v>
      </c>
      <c r="N65" s="44"/>
      <c r="O65" s="105">
        <f>+K65+M65</f>
        <v>-215.573</v>
      </c>
    </row>
    <row r="66" spans="4:15" ht="16.5" customHeight="1">
      <c r="D66" s="10" t="s">
        <v>881</v>
      </c>
      <c r="F66" s="235"/>
      <c r="G66" s="35" t="s">
        <v>831</v>
      </c>
      <c r="H66" s="17" t="s">
        <v>876</v>
      </c>
      <c r="I66" s="3"/>
      <c r="J66" s="35" t="s">
        <v>859</v>
      </c>
      <c r="K66" s="41">
        <v>5433.591</v>
      </c>
      <c r="M66" s="52">
        <v>-4650.492</v>
      </c>
      <c r="N66" s="44"/>
      <c r="O66" s="105">
        <f>(K66+M66)</f>
        <v>783.0990000000002</v>
      </c>
    </row>
    <row r="67" spans="4:15" ht="16.5" customHeight="1">
      <c r="D67" s="10" t="s">
        <v>882</v>
      </c>
      <c r="F67" s="235"/>
      <c r="G67" s="35" t="s">
        <v>831</v>
      </c>
      <c r="H67" s="17" t="s">
        <v>876</v>
      </c>
      <c r="I67" s="3"/>
      <c r="J67" s="35" t="s">
        <v>859</v>
      </c>
      <c r="K67" s="41">
        <v>18204.829</v>
      </c>
      <c r="M67" s="52">
        <v>-6308.262</v>
      </c>
      <c r="N67" s="44"/>
      <c r="O67" s="105">
        <f>(K67+M67)</f>
        <v>11896.567000000003</v>
      </c>
    </row>
    <row r="68" spans="4:15" ht="16.5" customHeight="1">
      <c r="D68" s="10" t="s">
        <v>883</v>
      </c>
      <c r="F68" s="235"/>
      <c r="G68" s="35" t="s">
        <v>831</v>
      </c>
      <c r="H68" s="17" t="s">
        <v>876</v>
      </c>
      <c r="I68" s="3"/>
      <c r="J68" s="35" t="s">
        <v>859</v>
      </c>
      <c r="K68" s="41">
        <v>24.693</v>
      </c>
      <c r="M68" s="52" t="s">
        <v>407</v>
      </c>
      <c r="N68" s="44"/>
      <c r="O68" s="105">
        <f>(K68+M68)</f>
        <v>24.693</v>
      </c>
    </row>
    <row r="69" spans="4:15" ht="16.5" customHeight="1">
      <c r="D69" s="10" t="s">
        <v>884</v>
      </c>
      <c r="F69" s="232">
        <v>12</v>
      </c>
      <c r="G69" s="35" t="s">
        <v>831</v>
      </c>
      <c r="H69" s="17" t="s">
        <v>876</v>
      </c>
      <c r="I69" s="3"/>
      <c r="J69" s="35" t="s">
        <v>877</v>
      </c>
      <c r="K69" s="41">
        <v>3286.695</v>
      </c>
      <c r="M69" s="52">
        <v>-95.565</v>
      </c>
      <c r="N69" s="44"/>
      <c r="O69" s="105">
        <f>(K69+M69)</f>
        <v>3191.13</v>
      </c>
    </row>
    <row r="70" spans="3:16" ht="18" customHeight="1">
      <c r="C70" s="10" t="s">
        <v>885</v>
      </c>
      <c r="F70" s="235"/>
      <c r="G70" s="35" t="s">
        <v>717</v>
      </c>
      <c r="H70" s="17" t="s">
        <v>717</v>
      </c>
      <c r="I70" s="3"/>
      <c r="J70" s="35" t="s">
        <v>717</v>
      </c>
      <c r="K70" s="57">
        <f>SUM(K62:K69)</f>
        <v>398990.0870000001</v>
      </c>
      <c r="L70" s="58"/>
      <c r="M70" s="57">
        <f>SUM(M62:M69)</f>
        <v>-221940.82499999998</v>
      </c>
      <c r="N70" s="58"/>
      <c r="O70" s="57">
        <f>+K70+M70</f>
        <v>177049.26200000013</v>
      </c>
      <c r="P70" s="58"/>
    </row>
    <row r="71" spans="3:15" ht="16.5" customHeight="1">
      <c r="C71" s="10" t="s">
        <v>886</v>
      </c>
      <c r="F71" s="235"/>
      <c r="G71" s="15"/>
      <c r="H71" s="15"/>
      <c r="J71" s="15"/>
      <c r="K71" s="15"/>
      <c r="M71" s="41"/>
      <c r="O71" s="15"/>
    </row>
    <row r="72" spans="3:15" ht="16.5" customHeight="1">
      <c r="C72" s="10" t="s">
        <v>887</v>
      </c>
      <c r="F72" s="234" t="s">
        <v>648</v>
      </c>
      <c r="G72" s="35" t="s">
        <v>831</v>
      </c>
      <c r="H72" s="17" t="s">
        <v>876</v>
      </c>
      <c r="I72" s="3"/>
      <c r="J72" s="35" t="s">
        <v>877</v>
      </c>
      <c r="K72" s="41">
        <v>80.583</v>
      </c>
      <c r="M72" s="41">
        <v>-67.495</v>
      </c>
      <c r="O72" s="105">
        <f>(K72+M72)</f>
        <v>13.087999999999994</v>
      </c>
    </row>
    <row r="73" spans="3:16" ht="16.5" customHeight="1">
      <c r="C73" s="10" t="s">
        <v>888</v>
      </c>
      <c r="F73" s="235"/>
      <c r="G73" s="15"/>
      <c r="H73" s="15"/>
      <c r="J73" s="15"/>
      <c r="K73" s="15"/>
      <c r="M73" s="41"/>
      <c r="O73" s="15"/>
      <c r="P73" s="22"/>
    </row>
    <row r="74" spans="3:16" ht="16.5" customHeight="1">
      <c r="C74" s="10" t="s">
        <v>889</v>
      </c>
      <c r="F74" s="232">
        <v>14</v>
      </c>
      <c r="G74" s="35" t="s">
        <v>831</v>
      </c>
      <c r="H74" s="17" t="s">
        <v>876</v>
      </c>
      <c r="I74" s="3"/>
      <c r="J74" s="35" t="s">
        <v>877</v>
      </c>
      <c r="K74" s="41">
        <v>371.03</v>
      </c>
      <c r="L74" s="22"/>
      <c r="M74" s="41">
        <v>-321.409</v>
      </c>
      <c r="N74" s="22"/>
      <c r="O74" s="105">
        <f>(K74+M74)</f>
        <v>49.62099999999998</v>
      </c>
      <c r="P74" s="22"/>
    </row>
    <row r="75" spans="2:16" ht="20.25" customHeight="1">
      <c r="B75" s="10" t="s">
        <v>820</v>
      </c>
      <c r="G75" s="35"/>
      <c r="H75" s="17" t="s">
        <v>717</v>
      </c>
      <c r="I75" s="3"/>
      <c r="J75" s="35" t="s">
        <v>717</v>
      </c>
      <c r="K75" s="57">
        <f>K70+K72+K74</f>
        <v>399441.7000000001</v>
      </c>
      <c r="L75" s="58"/>
      <c r="M75" s="57">
        <f>M70+M72+M74</f>
        <v>-222329.729</v>
      </c>
      <c r="N75" s="58"/>
      <c r="O75" s="57">
        <f>O70+O72+O74</f>
        <v>177111.97100000014</v>
      </c>
      <c r="P75" s="58"/>
    </row>
    <row r="76" spans="2:16" ht="15.75" customHeight="1">
      <c r="B76" s="10" t="s">
        <v>646</v>
      </c>
      <c r="G76" s="35"/>
      <c r="H76" s="17" t="s">
        <v>717</v>
      </c>
      <c r="I76" s="3"/>
      <c r="J76" s="35" t="s">
        <v>717</v>
      </c>
      <c r="K76" s="41">
        <f>7434.368+146.281</f>
        <v>7580.649</v>
      </c>
      <c r="L76" s="22"/>
      <c r="M76" s="48" t="s">
        <v>716</v>
      </c>
      <c r="N76" s="28"/>
      <c r="O76" s="105">
        <f>(K76+M76)</f>
        <v>7580.649</v>
      </c>
      <c r="P76" s="74"/>
    </row>
    <row r="77" spans="2:16" ht="15.75" customHeight="1" thickBot="1">
      <c r="B77" s="340" t="s">
        <v>649</v>
      </c>
      <c r="G77" s="35"/>
      <c r="H77" s="17" t="s">
        <v>717</v>
      </c>
      <c r="I77" s="3"/>
      <c r="J77" s="35" t="s">
        <v>717</v>
      </c>
      <c r="K77" s="333">
        <f>+K75+K76</f>
        <v>407022.3490000001</v>
      </c>
      <c r="L77" s="351"/>
      <c r="M77" s="333">
        <f>+M75+M76</f>
        <v>-222329.729</v>
      </c>
      <c r="N77" s="351"/>
      <c r="O77" s="333">
        <f>+O75+O76</f>
        <v>184692.62000000014</v>
      </c>
      <c r="P77" s="55"/>
    </row>
    <row r="78" spans="2:16" ht="15.75" customHeight="1" thickTop="1">
      <c r="B78" s="10"/>
      <c r="G78" s="177"/>
      <c r="H78" s="110"/>
      <c r="I78" s="3"/>
      <c r="J78" s="177"/>
      <c r="K78" s="141"/>
      <c r="L78" s="74"/>
      <c r="M78" s="141"/>
      <c r="N78" s="74"/>
      <c r="O78" s="141"/>
      <c r="P78" s="74"/>
    </row>
    <row r="79" s="113" customFormat="1" ht="15.75" customHeight="1" thickBot="1"/>
    <row r="80" ht="15.75" thickTop="1"/>
  </sheetData>
  <printOptions horizontalCentered="1"/>
  <pageMargins left="0" right="0" top="0.5" bottom="0.1" header="0" footer="0"/>
  <pageSetup horizontalDpi="300" verticalDpi="300" orientation="portrait" scale="47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285"/>
  <sheetViews>
    <sheetView showGridLines="0" view="pageBreakPreview" zoomScale="75" zoomScaleNormal="65" zoomScaleSheetLayoutView="75" workbookViewId="0" topLeftCell="E240">
      <selection activeCell="L251" sqref="L251"/>
    </sheetView>
  </sheetViews>
  <sheetFormatPr defaultColWidth="9.77734375" defaultRowHeight="15"/>
  <cols>
    <col min="1" max="2" width="2.77734375" style="0" customWidth="1"/>
    <col min="3" max="3" width="2.99609375" style="0" customWidth="1"/>
    <col min="4" max="4" width="26.77734375" style="0" customWidth="1"/>
    <col min="5" max="5" width="11.77734375" style="0" customWidth="1"/>
    <col min="6" max="6" width="9.77734375" style="0" customWidth="1"/>
    <col min="7" max="7" width="14.77734375" style="0" customWidth="1"/>
    <col min="8" max="8" width="13.77734375" style="0" customWidth="1"/>
    <col min="9" max="9" width="6.77734375" style="0" customWidth="1"/>
    <col min="10" max="10" width="16.77734375" style="0" customWidth="1"/>
    <col min="11" max="11" width="6.77734375" style="0" customWidth="1"/>
    <col min="12" max="12" width="17.77734375" style="0" customWidth="1"/>
    <col min="13" max="13" width="6.77734375" style="0" customWidth="1"/>
    <col min="14" max="14" width="5.3359375" style="0" customWidth="1"/>
    <col min="16" max="16" width="12.5546875" style="0" bestFit="1" customWidth="1"/>
  </cols>
  <sheetData>
    <row r="1" spans="2:13" ht="16.5" customHeight="1">
      <c r="B1" s="2" t="str">
        <f>(Marketable!B91)</f>
        <v>TABLE III - DETAIL OF TREASURY SECURITIES OUTSTANDING, FEBRUARY 28, 2001 -- Continued</v>
      </c>
      <c r="C1" s="3"/>
      <c r="D1" s="2"/>
      <c r="E1" s="3"/>
      <c r="F1" s="3"/>
      <c r="G1" s="3"/>
      <c r="H1" s="3"/>
      <c r="I1" s="3"/>
      <c r="J1" s="3"/>
      <c r="K1" s="3"/>
      <c r="L1" s="3"/>
      <c r="M1" s="59">
        <v>7</v>
      </c>
    </row>
    <row r="2" spans="4:13" ht="11.25" customHeight="1" thickBot="1">
      <c r="D2" s="2"/>
      <c r="E2" s="3"/>
      <c r="F2" s="3"/>
      <c r="G2" s="3"/>
      <c r="H2" s="3"/>
      <c r="I2" s="3"/>
      <c r="J2" s="3"/>
      <c r="K2" s="3"/>
      <c r="L2" s="3"/>
      <c r="M2" s="59"/>
    </row>
    <row r="3" spans="1:13" ht="15.75" customHeight="1" thickTop="1">
      <c r="A3" s="33"/>
      <c r="B3" s="33"/>
      <c r="C3" s="33"/>
      <c r="D3" s="33"/>
      <c r="E3" s="33"/>
      <c r="F3" s="33"/>
      <c r="G3" s="33"/>
      <c r="H3" s="27"/>
      <c r="I3" s="33"/>
      <c r="J3" s="33"/>
      <c r="K3" s="33"/>
      <c r="L3" s="33"/>
      <c r="M3" s="33"/>
    </row>
    <row r="4" spans="8:13" ht="15.75" customHeight="1">
      <c r="H4" s="17" t="s">
        <v>705</v>
      </c>
      <c r="I4" s="3"/>
      <c r="J4" s="3"/>
      <c r="K4" s="3"/>
      <c r="L4" s="3"/>
      <c r="M4" s="3"/>
    </row>
    <row r="5" spans="1:13" ht="15.75" customHeight="1">
      <c r="A5" s="3" t="s">
        <v>706</v>
      </c>
      <c r="B5" s="3"/>
      <c r="C5" s="3"/>
      <c r="D5" s="3"/>
      <c r="E5" s="3"/>
      <c r="F5" s="3"/>
      <c r="G5" s="3"/>
      <c r="H5" s="17" t="s">
        <v>672</v>
      </c>
      <c r="I5" s="3"/>
      <c r="J5" s="3"/>
      <c r="K5" s="3"/>
      <c r="L5" s="3"/>
      <c r="M5" s="3"/>
    </row>
    <row r="6" spans="1:13" ht="16.5" customHeight="1">
      <c r="A6" s="16"/>
      <c r="B6" s="16"/>
      <c r="C6" s="16"/>
      <c r="D6" s="16"/>
      <c r="E6" s="16"/>
      <c r="F6" s="16"/>
      <c r="G6" s="16"/>
      <c r="H6" s="38" t="s">
        <v>710</v>
      </c>
      <c r="I6" s="39"/>
      <c r="J6" s="38" t="s">
        <v>711</v>
      </c>
      <c r="K6" s="39"/>
      <c r="L6" s="38" t="s">
        <v>675</v>
      </c>
      <c r="M6" s="39"/>
    </row>
    <row r="7" spans="8:12" ht="15.75" customHeight="1">
      <c r="H7" s="15"/>
      <c r="J7" s="15"/>
      <c r="L7" s="15"/>
    </row>
    <row r="8" spans="1:12" ht="18" customHeight="1">
      <c r="A8" s="44"/>
      <c r="B8" s="7" t="s">
        <v>890</v>
      </c>
      <c r="H8" s="15"/>
      <c r="J8" s="15"/>
      <c r="L8" s="15"/>
    </row>
    <row r="9" spans="2:13" ht="21" customHeight="1">
      <c r="B9" s="240" t="s">
        <v>631</v>
      </c>
      <c r="C9" s="89"/>
      <c r="D9" s="89"/>
      <c r="H9" s="41"/>
      <c r="I9" s="22"/>
      <c r="J9" s="41"/>
      <c r="K9" s="22"/>
      <c r="L9" s="41"/>
      <c r="M9" s="22"/>
    </row>
    <row r="10" spans="3:15" ht="15.75" customHeight="1">
      <c r="C10" s="10" t="s">
        <v>690</v>
      </c>
      <c r="H10" s="41">
        <v>683.498</v>
      </c>
      <c r="I10" s="22" t="s">
        <v>672</v>
      </c>
      <c r="J10" s="41">
        <v>-3.631</v>
      </c>
      <c r="K10" s="22"/>
      <c r="L10" s="41">
        <f>(H10+J10)</f>
        <v>679.8670000000001</v>
      </c>
      <c r="M10" s="22"/>
      <c r="O10" s="434"/>
    </row>
    <row r="11" spans="3:15" ht="15.75" customHeight="1">
      <c r="C11" s="10"/>
      <c r="H11" s="41"/>
      <c r="I11" s="22"/>
      <c r="J11" s="41"/>
      <c r="K11" s="22"/>
      <c r="L11" s="41"/>
      <c r="M11" s="22"/>
      <c r="O11" s="434"/>
    </row>
    <row r="12" spans="3:15" ht="15.75" customHeight="1">
      <c r="C12" s="10" t="s">
        <v>60</v>
      </c>
      <c r="H12" s="52">
        <v>24.341</v>
      </c>
      <c r="I12" s="22"/>
      <c r="J12" s="48" t="s">
        <v>716</v>
      </c>
      <c r="K12" s="28"/>
      <c r="L12" s="41">
        <f>(H12+J12)</f>
        <v>24.341</v>
      </c>
      <c r="M12" s="22"/>
      <c r="O12" s="434"/>
    </row>
    <row r="13" spans="3:15" ht="15.75" customHeight="1">
      <c r="C13" s="10"/>
      <c r="H13" s="52"/>
      <c r="I13" s="22"/>
      <c r="J13" s="52"/>
      <c r="K13" s="28"/>
      <c r="L13" s="41"/>
      <c r="M13" s="22"/>
      <c r="O13" s="434"/>
    </row>
    <row r="14" spans="3:15" ht="15.75" customHeight="1">
      <c r="C14" s="10" t="s">
        <v>98</v>
      </c>
      <c r="H14" s="41">
        <v>282.856</v>
      </c>
      <c r="I14" s="22"/>
      <c r="J14" s="41">
        <v>-122.501</v>
      </c>
      <c r="K14" s="22"/>
      <c r="L14" s="41">
        <f>(H14+J14)</f>
        <v>160.355</v>
      </c>
      <c r="M14" s="22"/>
      <c r="O14" s="434"/>
    </row>
    <row r="15" spans="3:15" ht="15.75" customHeight="1">
      <c r="C15" s="10"/>
      <c r="H15" s="41"/>
      <c r="I15" s="22"/>
      <c r="J15" s="41"/>
      <c r="K15" s="22"/>
      <c r="L15" s="41"/>
      <c r="M15" s="22"/>
      <c r="O15" s="434"/>
    </row>
    <row r="16" spans="3:15" ht="15.75" customHeight="1">
      <c r="C16" s="10" t="s">
        <v>83</v>
      </c>
      <c r="H16" s="52" t="s">
        <v>3</v>
      </c>
      <c r="I16" s="22"/>
      <c r="J16" s="48" t="s">
        <v>716</v>
      </c>
      <c r="K16" s="28"/>
      <c r="L16" s="52" t="s">
        <v>3</v>
      </c>
      <c r="M16" s="22"/>
      <c r="O16" s="434"/>
    </row>
    <row r="17" spans="3:15" ht="15.75" customHeight="1">
      <c r="C17" s="10"/>
      <c r="H17" s="52"/>
      <c r="I17" s="22"/>
      <c r="J17" s="48"/>
      <c r="K17" s="28"/>
      <c r="L17" s="52"/>
      <c r="M17" s="22"/>
      <c r="O17" s="434"/>
    </row>
    <row r="18" spans="3:15" ht="15.75" customHeight="1">
      <c r="C18" s="10" t="s">
        <v>459</v>
      </c>
      <c r="H18" s="52" t="s">
        <v>3</v>
      </c>
      <c r="I18" s="22"/>
      <c r="J18" s="48" t="s">
        <v>716</v>
      </c>
      <c r="K18" s="28"/>
      <c r="L18" s="52" t="s">
        <v>3</v>
      </c>
      <c r="M18" s="22"/>
      <c r="O18" s="434"/>
    </row>
    <row r="19" spans="3:15" ht="15.75" customHeight="1">
      <c r="C19" s="180"/>
      <c r="H19" s="52"/>
      <c r="I19" s="22"/>
      <c r="J19" s="48"/>
      <c r="K19" s="28"/>
      <c r="L19" s="52"/>
      <c r="M19" s="22"/>
      <c r="O19" s="434"/>
    </row>
    <row r="20" spans="3:15" ht="15.75" customHeight="1">
      <c r="C20" s="10" t="s">
        <v>462</v>
      </c>
      <c r="H20" s="41">
        <v>31.33</v>
      </c>
      <c r="I20" s="22"/>
      <c r="J20" s="48" t="s">
        <v>716</v>
      </c>
      <c r="K20" s="3"/>
      <c r="L20" s="41">
        <f>(H20+J20)</f>
        <v>31.33</v>
      </c>
      <c r="M20" s="22"/>
      <c r="O20" s="434"/>
    </row>
    <row r="21" spans="3:15" ht="15.75" customHeight="1">
      <c r="C21" s="180"/>
      <c r="H21" s="52"/>
      <c r="I21" s="22"/>
      <c r="J21" s="48"/>
      <c r="K21" s="28"/>
      <c r="L21" s="52"/>
      <c r="M21" s="22"/>
      <c r="O21" s="434"/>
    </row>
    <row r="22" spans="3:15" ht="15.75" customHeight="1">
      <c r="C22" s="10" t="s">
        <v>669</v>
      </c>
      <c r="H22" s="41"/>
      <c r="I22" s="22"/>
      <c r="J22" s="41"/>
      <c r="K22" s="22"/>
      <c r="L22" s="41"/>
      <c r="M22" s="22"/>
      <c r="O22" s="434"/>
    </row>
    <row r="23" spans="3:15" ht="15.75" customHeight="1">
      <c r="C23" s="10" t="s">
        <v>144</v>
      </c>
      <c r="H23" s="41">
        <v>283.59</v>
      </c>
      <c r="I23" s="22"/>
      <c r="J23" s="48" t="s">
        <v>716</v>
      </c>
      <c r="K23" s="28"/>
      <c r="L23" s="41">
        <f>(H23-J23)</f>
        <v>283.59</v>
      </c>
      <c r="M23" s="22"/>
      <c r="O23" s="434"/>
    </row>
    <row r="24" spans="3:15" ht="15.75" customHeight="1">
      <c r="C24" s="10"/>
      <c r="H24" s="41"/>
      <c r="I24" s="22"/>
      <c r="J24" s="48"/>
      <c r="K24" s="28"/>
      <c r="L24" s="41"/>
      <c r="M24" s="22"/>
      <c r="O24" s="434"/>
    </row>
    <row r="25" spans="3:15" ht="15.75" customHeight="1">
      <c r="C25" s="10" t="s">
        <v>158</v>
      </c>
      <c r="H25" s="41">
        <v>553.769</v>
      </c>
      <c r="I25" s="22"/>
      <c r="J25" s="48" t="s">
        <v>716</v>
      </c>
      <c r="K25" s="28"/>
      <c r="L25" s="41">
        <f>(H25-J25)</f>
        <v>553.769</v>
      </c>
      <c r="M25" s="22"/>
      <c r="O25" s="434"/>
    </row>
    <row r="26" spans="3:15" ht="15.75" customHeight="1">
      <c r="C26" s="10" t="s">
        <v>114</v>
      </c>
      <c r="H26" s="41">
        <v>1</v>
      </c>
      <c r="I26" s="22"/>
      <c r="J26" s="48" t="s">
        <v>716</v>
      </c>
      <c r="K26" s="28"/>
      <c r="L26" s="41">
        <f>(H26-J26)</f>
        <v>1</v>
      </c>
      <c r="M26" s="22"/>
      <c r="O26" s="434"/>
    </row>
    <row r="27" spans="3:15" ht="15.75" customHeight="1">
      <c r="C27" s="10" t="s">
        <v>161</v>
      </c>
      <c r="H27" s="41">
        <v>1012.224</v>
      </c>
      <c r="I27" s="22"/>
      <c r="J27" s="48" t="s">
        <v>716</v>
      </c>
      <c r="K27" s="28"/>
      <c r="L27" s="41">
        <f>(H27-J27)</f>
        <v>1012.224</v>
      </c>
      <c r="M27" s="22"/>
      <c r="O27" s="434"/>
    </row>
    <row r="28" spans="3:15" ht="15.75" customHeight="1">
      <c r="C28" s="10"/>
      <c r="H28" s="41"/>
      <c r="I28" s="22"/>
      <c r="J28" s="48"/>
      <c r="K28" s="28"/>
      <c r="L28" s="41"/>
      <c r="M28" s="22"/>
      <c r="O28" s="434"/>
    </row>
    <row r="29" spans="3:15" ht="15.75" customHeight="1">
      <c r="C29" s="10" t="s">
        <v>164</v>
      </c>
      <c r="H29" s="41">
        <v>33564.215</v>
      </c>
      <c r="I29" s="22"/>
      <c r="J29" s="48" t="s">
        <v>716</v>
      </c>
      <c r="K29" s="28"/>
      <c r="L29" s="41">
        <f>(H29+J29)</f>
        <v>33564.215</v>
      </c>
      <c r="M29" s="22"/>
      <c r="O29" s="434"/>
    </row>
    <row r="30" spans="3:15" ht="15.75" customHeight="1">
      <c r="C30" s="10" t="s">
        <v>165</v>
      </c>
      <c r="H30" s="41">
        <v>19.354</v>
      </c>
      <c r="I30" s="22"/>
      <c r="J30" s="48" t="s">
        <v>716</v>
      </c>
      <c r="K30" s="28"/>
      <c r="L30" s="41">
        <f>(H30+J30)</f>
        <v>19.354</v>
      </c>
      <c r="M30" s="22"/>
      <c r="O30" s="434"/>
    </row>
    <row r="31" spans="3:15" ht="15.75" customHeight="1">
      <c r="C31" s="10"/>
      <c r="H31" s="41"/>
      <c r="I31" s="22"/>
      <c r="J31" s="48"/>
      <c r="K31" s="28"/>
      <c r="L31" s="41"/>
      <c r="M31" s="22"/>
      <c r="O31" s="434"/>
    </row>
    <row r="32" spans="3:15" ht="15.75" customHeight="1">
      <c r="C32" s="10" t="s">
        <v>168</v>
      </c>
      <c r="H32" s="52">
        <v>3.144</v>
      </c>
      <c r="I32" s="22"/>
      <c r="J32" s="48" t="s">
        <v>716</v>
      </c>
      <c r="K32" s="28"/>
      <c r="L32" s="41">
        <f>(H32+J32)</f>
        <v>3.144</v>
      </c>
      <c r="M32" s="22"/>
      <c r="O32" s="434"/>
    </row>
    <row r="33" spans="3:15" ht="15.75" customHeight="1">
      <c r="C33" s="10"/>
      <c r="H33" s="52"/>
      <c r="I33" s="22"/>
      <c r="J33" s="48"/>
      <c r="K33" s="28"/>
      <c r="L33" s="41"/>
      <c r="M33" s="22"/>
      <c r="O33" s="434"/>
    </row>
    <row r="34" spans="3:15" ht="15.75" customHeight="1">
      <c r="C34" s="10" t="s">
        <v>466</v>
      </c>
      <c r="H34" s="41">
        <v>4.599</v>
      </c>
      <c r="I34" s="22"/>
      <c r="J34" s="48" t="s">
        <v>716</v>
      </c>
      <c r="K34" s="28"/>
      <c r="L34" s="41">
        <f>(H34-J34)</f>
        <v>4.599</v>
      </c>
      <c r="M34" s="22"/>
      <c r="O34" s="434"/>
    </row>
    <row r="35" spans="2:13" s="86" customFormat="1" ht="15.75" customHeight="1" thickBot="1">
      <c r="B35" s="86" t="s">
        <v>632</v>
      </c>
      <c r="C35" s="400"/>
      <c r="H35" s="401">
        <f>SUM(H10:H34)</f>
        <v>36463.92</v>
      </c>
      <c r="I35" s="402"/>
      <c r="J35" s="401">
        <f>SUM(J10:J34)</f>
        <v>-126.132</v>
      </c>
      <c r="K35" s="403"/>
      <c r="L35" s="401">
        <f>SUM(L10:L34)</f>
        <v>36337.788</v>
      </c>
      <c r="M35" s="402"/>
    </row>
    <row r="36" spans="3:13" ht="15.75" customHeight="1" thickTop="1">
      <c r="C36" s="180"/>
      <c r="H36" s="52"/>
      <c r="I36" s="22"/>
      <c r="J36" s="48"/>
      <c r="K36" s="28"/>
      <c r="L36" s="52"/>
      <c r="M36" s="22"/>
    </row>
    <row r="37" spans="2:13" ht="15.75" customHeight="1">
      <c r="B37" t="s">
        <v>633</v>
      </c>
      <c r="C37" s="180"/>
      <c r="H37" s="52"/>
      <c r="I37" s="22"/>
      <c r="J37" s="48"/>
      <c r="K37" s="28"/>
      <c r="L37" s="52"/>
      <c r="M37" s="22"/>
    </row>
    <row r="38" spans="3:15" ht="15.75" customHeight="1">
      <c r="C38" s="10" t="s">
        <v>891</v>
      </c>
      <c r="H38" s="41"/>
      <c r="I38" s="22"/>
      <c r="J38" s="41"/>
      <c r="K38" s="22"/>
      <c r="L38" s="41"/>
      <c r="M38" s="22"/>
      <c r="O38" s="434"/>
    </row>
    <row r="39" spans="3:15" ht="15.75" customHeight="1">
      <c r="C39" s="10" t="s">
        <v>892</v>
      </c>
      <c r="H39" s="41">
        <v>2125.772</v>
      </c>
      <c r="I39" s="22"/>
      <c r="J39" s="52">
        <v>-364.552</v>
      </c>
      <c r="K39" s="3"/>
      <c r="L39" s="41">
        <f>(H39+J39)</f>
        <v>1761.2199999999998</v>
      </c>
      <c r="M39" s="42" t="s">
        <v>672</v>
      </c>
      <c r="O39" s="434"/>
    </row>
    <row r="40" spans="3:15" ht="15.75" customHeight="1">
      <c r="C40" s="10" t="s">
        <v>894</v>
      </c>
      <c r="H40" s="41">
        <v>20199.961</v>
      </c>
      <c r="I40" s="22" t="s">
        <v>672</v>
      </c>
      <c r="J40" s="52">
        <v>-6459.94</v>
      </c>
      <c r="K40" s="28"/>
      <c r="L40" s="41">
        <f>(H40+J40)</f>
        <v>13740.021</v>
      </c>
      <c r="M40" s="22"/>
      <c r="O40" s="434"/>
    </row>
    <row r="41" spans="3:15" ht="15.75" customHeight="1">
      <c r="C41" s="10" t="s">
        <v>895</v>
      </c>
      <c r="H41" s="41">
        <v>1.028</v>
      </c>
      <c r="I41" s="22"/>
      <c r="J41" s="48" t="s">
        <v>716</v>
      </c>
      <c r="K41" s="28"/>
      <c r="L41" s="41">
        <f>(H41+J41)</f>
        <v>1.028</v>
      </c>
      <c r="M41" s="22"/>
      <c r="O41" s="434"/>
    </row>
    <row r="42" spans="3:15" ht="15.75" customHeight="1">
      <c r="C42" s="10" t="s">
        <v>896</v>
      </c>
      <c r="H42" s="41">
        <f>78.315+1159.854</f>
        <v>1238.169</v>
      </c>
      <c r="I42" s="22"/>
      <c r="J42" s="48" t="s">
        <v>716</v>
      </c>
      <c r="K42" s="28"/>
      <c r="L42" s="41">
        <f>(H42+J42)</f>
        <v>1238.169</v>
      </c>
      <c r="M42" s="22"/>
      <c r="O42" s="434"/>
    </row>
    <row r="43" spans="3:15" ht="15.75" customHeight="1">
      <c r="C43" s="10" t="s">
        <v>897</v>
      </c>
      <c r="H43" s="41">
        <v>99.14</v>
      </c>
      <c r="I43" s="22"/>
      <c r="J43" s="48" t="s">
        <v>716</v>
      </c>
      <c r="K43" s="28"/>
      <c r="L43" s="41">
        <f>(H43-J43)</f>
        <v>99.14</v>
      </c>
      <c r="M43" s="22"/>
      <c r="O43" s="434"/>
    </row>
    <row r="44" spans="3:15" ht="15.75" customHeight="1">
      <c r="C44" s="10" t="s">
        <v>902</v>
      </c>
      <c r="H44" s="41">
        <v>372.762</v>
      </c>
      <c r="I44" s="22"/>
      <c r="J44" s="48" t="s">
        <v>716</v>
      </c>
      <c r="K44" s="28"/>
      <c r="L44" s="41">
        <f>(H44+J44)</f>
        <v>372.762</v>
      </c>
      <c r="M44" s="22"/>
      <c r="O44" s="434"/>
    </row>
    <row r="45" spans="3:15" ht="15.75" customHeight="1">
      <c r="C45" s="10" t="s">
        <v>903</v>
      </c>
      <c r="H45" s="41">
        <v>533.249</v>
      </c>
      <c r="I45" s="22"/>
      <c r="J45" s="48" t="s">
        <v>716</v>
      </c>
      <c r="K45" s="28"/>
      <c r="L45" s="41">
        <f>(H45+J45)</f>
        <v>533.249</v>
      </c>
      <c r="M45" s="22"/>
      <c r="O45" s="434"/>
    </row>
    <row r="46" spans="3:15" ht="15.75" customHeight="1">
      <c r="C46" s="10" t="s">
        <v>1</v>
      </c>
      <c r="F46" s="135"/>
      <c r="H46" s="41">
        <v>79.28</v>
      </c>
      <c r="I46" s="22"/>
      <c r="J46" s="48" t="s">
        <v>716</v>
      </c>
      <c r="K46" s="28"/>
      <c r="L46" s="41">
        <f>(H46+J46)</f>
        <v>79.28</v>
      </c>
      <c r="M46" s="22"/>
      <c r="O46" s="434"/>
    </row>
    <row r="47" spans="8:15" ht="15.75" customHeight="1">
      <c r="H47" s="41"/>
      <c r="I47" s="22"/>
      <c r="J47" s="41"/>
      <c r="K47" s="22"/>
      <c r="L47" s="41"/>
      <c r="M47" s="22"/>
      <c r="O47" s="434"/>
    </row>
    <row r="48" spans="3:15" ht="15.75" customHeight="1">
      <c r="C48" s="10" t="s">
        <v>2</v>
      </c>
      <c r="H48" s="41">
        <f>29955.272+173.193</f>
        <v>30128.465</v>
      </c>
      <c r="I48" s="22"/>
      <c r="J48" s="52">
        <v>-118</v>
      </c>
      <c r="K48" s="28"/>
      <c r="L48" s="41">
        <f>(H48+J48)</f>
        <v>30010.465</v>
      </c>
      <c r="M48" s="22"/>
      <c r="O48" s="434"/>
    </row>
    <row r="49" spans="3:15" ht="15.75" customHeight="1">
      <c r="C49" s="10" t="s">
        <v>513</v>
      </c>
      <c r="H49" s="52"/>
      <c r="I49" s="22"/>
      <c r="J49" s="48"/>
      <c r="K49" s="28"/>
      <c r="L49" s="41"/>
      <c r="M49" s="156"/>
      <c r="O49" s="434"/>
    </row>
    <row r="50" spans="3:15" ht="15.75" customHeight="1">
      <c r="C50" s="10" t="s">
        <v>514</v>
      </c>
      <c r="H50" s="52" t="s">
        <v>3</v>
      </c>
      <c r="I50" s="22"/>
      <c r="J50" s="48" t="s">
        <v>716</v>
      </c>
      <c r="K50" s="28"/>
      <c r="L50" s="52" t="s">
        <v>3</v>
      </c>
      <c r="M50" s="156"/>
      <c r="O50" s="434"/>
    </row>
    <row r="51" spans="3:15" ht="15.75" customHeight="1">
      <c r="C51" s="10" t="s">
        <v>450</v>
      </c>
      <c r="H51" s="52">
        <v>1.5</v>
      </c>
      <c r="I51" s="22"/>
      <c r="J51" s="48" t="s">
        <v>716</v>
      </c>
      <c r="K51" s="28"/>
      <c r="L51" s="41">
        <f>(H51+J51)</f>
        <v>1.5</v>
      </c>
      <c r="M51" s="156"/>
      <c r="O51" s="434"/>
    </row>
    <row r="52" spans="3:15" ht="15.75" customHeight="1">
      <c r="C52" s="10" t="s">
        <v>451</v>
      </c>
      <c r="H52" s="52" t="s">
        <v>3</v>
      </c>
      <c r="I52" s="22"/>
      <c r="J52" s="48" t="s">
        <v>716</v>
      </c>
      <c r="K52" s="28"/>
      <c r="L52" s="52" t="s">
        <v>3</v>
      </c>
      <c r="M52" s="156"/>
      <c r="O52" s="434"/>
    </row>
    <row r="53" spans="8:15" ht="15.75" customHeight="1">
      <c r="H53" s="41"/>
      <c r="I53" s="142"/>
      <c r="J53" s="48"/>
      <c r="K53" s="28"/>
      <c r="L53" s="41"/>
      <c r="M53" s="22"/>
      <c r="O53" s="434"/>
    </row>
    <row r="54" spans="3:15" ht="15.75" customHeight="1">
      <c r="C54" s="10" t="s">
        <v>4</v>
      </c>
      <c r="H54" s="41">
        <v>30.665</v>
      </c>
      <c r="I54" s="22"/>
      <c r="J54" s="48" t="s">
        <v>716</v>
      </c>
      <c r="K54" s="28"/>
      <c r="L54" s="41">
        <f>(H54-J54)</f>
        <v>30.665</v>
      </c>
      <c r="M54" s="22"/>
      <c r="O54" s="434"/>
    </row>
    <row r="55" spans="3:15" ht="15.75" customHeight="1">
      <c r="C55" s="10" t="s">
        <v>515</v>
      </c>
      <c r="H55" s="41"/>
      <c r="I55" s="22"/>
      <c r="J55" s="48"/>
      <c r="K55" s="28"/>
      <c r="L55" s="41"/>
      <c r="M55" s="22"/>
      <c r="O55" s="434"/>
    </row>
    <row r="56" spans="3:15" ht="15.75" customHeight="1">
      <c r="C56" s="10" t="s">
        <v>516</v>
      </c>
      <c r="H56" s="52">
        <v>11.762</v>
      </c>
      <c r="I56" s="22"/>
      <c r="J56" s="48" t="s">
        <v>716</v>
      </c>
      <c r="K56" s="28"/>
      <c r="L56" s="41">
        <f>(H56-J56)</f>
        <v>11.762</v>
      </c>
      <c r="M56" s="156"/>
      <c r="O56" s="434"/>
    </row>
    <row r="57" spans="3:15" ht="15.75" customHeight="1">
      <c r="C57" s="10" t="s">
        <v>5</v>
      </c>
      <c r="H57" s="41"/>
      <c r="I57" s="22"/>
      <c r="J57" s="41"/>
      <c r="K57" s="22"/>
      <c r="L57" s="41"/>
      <c r="M57" s="22"/>
      <c r="O57" s="434"/>
    </row>
    <row r="58" spans="3:15" ht="15.75" customHeight="1">
      <c r="C58" s="10" t="s">
        <v>6</v>
      </c>
      <c r="H58" s="41">
        <v>5.187</v>
      </c>
      <c r="I58" s="22"/>
      <c r="J58" s="48" t="s">
        <v>716</v>
      </c>
      <c r="K58" s="28"/>
      <c r="L58" s="41">
        <f>(H58-J58)</f>
        <v>5.187</v>
      </c>
      <c r="M58" s="22"/>
      <c r="O58" s="434"/>
    </row>
    <row r="59" spans="3:15" ht="15.75" customHeight="1">
      <c r="C59" s="10" t="s">
        <v>7</v>
      </c>
      <c r="H59" s="41">
        <v>592406.921</v>
      </c>
      <c r="I59" s="22"/>
      <c r="J59" s="41">
        <v>-90726.761</v>
      </c>
      <c r="K59" s="22"/>
      <c r="L59" s="41">
        <f>(H59+J59)</f>
        <v>501680.16</v>
      </c>
      <c r="M59" s="22"/>
      <c r="O59" s="434"/>
    </row>
    <row r="60" spans="3:15" ht="15.75" customHeight="1">
      <c r="C60" s="10" t="s">
        <v>8</v>
      </c>
      <c r="H60" s="41">
        <v>9.255</v>
      </c>
      <c r="I60" s="22"/>
      <c r="J60" s="48" t="s">
        <v>716</v>
      </c>
      <c r="K60" s="28"/>
      <c r="L60" s="41">
        <f aca="true" t="shared" si="0" ref="L60:L67">(H60-J60)</f>
        <v>9.255</v>
      </c>
      <c r="M60" s="22"/>
      <c r="O60" s="434"/>
    </row>
    <row r="61" spans="3:15" ht="15.75" customHeight="1">
      <c r="C61" s="10" t="s">
        <v>9</v>
      </c>
      <c r="H61" s="41">
        <v>1.456</v>
      </c>
      <c r="I61" s="22"/>
      <c r="J61" s="48" t="s">
        <v>716</v>
      </c>
      <c r="K61" s="28"/>
      <c r="L61" s="41">
        <f t="shared" si="0"/>
        <v>1.456</v>
      </c>
      <c r="M61" s="22"/>
      <c r="O61" s="434"/>
    </row>
    <row r="62" spans="3:15" ht="15.75" customHeight="1">
      <c r="C62" s="10" t="s">
        <v>29</v>
      </c>
      <c r="H62" s="41">
        <v>98.247</v>
      </c>
      <c r="I62" s="22"/>
      <c r="J62" s="48" t="s">
        <v>716</v>
      </c>
      <c r="K62" s="28"/>
      <c r="L62" s="41">
        <f t="shared" si="0"/>
        <v>98.247</v>
      </c>
      <c r="M62" s="22"/>
      <c r="O62" s="434"/>
    </row>
    <row r="63" spans="3:15" ht="15.75" customHeight="1">
      <c r="C63" s="10" t="s">
        <v>53</v>
      </c>
      <c r="H63" s="41"/>
      <c r="I63" s="22"/>
      <c r="J63" s="48"/>
      <c r="K63" s="28"/>
      <c r="L63" s="41"/>
      <c r="M63" s="22"/>
      <c r="O63" s="434"/>
    </row>
    <row r="64" spans="3:15" ht="15.75" customHeight="1">
      <c r="C64" s="10" t="s">
        <v>54</v>
      </c>
      <c r="H64" s="41">
        <v>1.88</v>
      </c>
      <c r="I64" s="22"/>
      <c r="J64" s="48" t="s">
        <v>716</v>
      </c>
      <c r="K64" s="28"/>
      <c r="L64" s="41">
        <f t="shared" si="0"/>
        <v>1.88</v>
      </c>
      <c r="M64" s="22"/>
      <c r="O64" s="434"/>
    </row>
    <row r="65" spans="3:15" ht="15.75" customHeight="1">
      <c r="C65" s="10" t="s">
        <v>452</v>
      </c>
      <c r="H65" s="41">
        <v>3.2</v>
      </c>
      <c r="I65" s="22"/>
      <c r="J65" s="48" t="s">
        <v>716</v>
      </c>
      <c r="K65" s="28"/>
      <c r="L65" s="41">
        <f t="shared" si="0"/>
        <v>3.2</v>
      </c>
      <c r="M65" s="22"/>
      <c r="O65" s="434"/>
    </row>
    <row r="66" spans="3:15" ht="15.75" customHeight="1">
      <c r="C66" s="10" t="s">
        <v>30</v>
      </c>
      <c r="H66" s="41">
        <v>66.9</v>
      </c>
      <c r="I66" s="22"/>
      <c r="J66" s="48" t="s">
        <v>716</v>
      </c>
      <c r="K66" s="28"/>
      <c r="L66" s="41">
        <f t="shared" si="0"/>
        <v>66.9</v>
      </c>
      <c r="M66" s="22"/>
      <c r="O66" s="434"/>
    </row>
    <row r="67" spans="3:15" ht="15.75" customHeight="1">
      <c r="C67" s="10" t="s">
        <v>32</v>
      </c>
      <c r="H67" s="41">
        <v>4.828</v>
      </c>
      <c r="I67" s="22"/>
      <c r="J67" s="48" t="s">
        <v>716</v>
      </c>
      <c r="K67" s="28"/>
      <c r="L67" s="41">
        <f t="shared" si="0"/>
        <v>4.828</v>
      </c>
      <c r="M67" s="22"/>
      <c r="O67" s="434"/>
    </row>
    <row r="68" spans="3:15" ht="15.75" customHeight="1">
      <c r="C68" s="10"/>
      <c r="H68" s="41"/>
      <c r="I68" s="22"/>
      <c r="J68" s="48"/>
      <c r="K68" s="28"/>
      <c r="L68" s="41"/>
      <c r="M68" s="22"/>
      <c r="O68" s="434"/>
    </row>
    <row r="69" spans="3:15" ht="15.75" customHeight="1">
      <c r="C69" s="10" t="s">
        <v>33</v>
      </c>
      <c r="H69" s="41">
        <v>1.267</v>
      </c>
      <c r="I69" s="22"/>
      <c r="J69" s="48" t="s">
        <v>716</v>
      </c>
      <c r="K69" s="28"/>
      <c r="L69" s="41">
        <f>(H69-J69)</f>
        <v>1.267</v>
      </c>
      <c r="M69" s="22"/>
      <c r="O69" s="434"/>
    </row>
    <row r="70" spans="3:15" ht="15.75" customHeight="1">
      <c r="C70" s="10" t="s">
        <v>34</v>
      </c>
      <c r="H70" s="41">
        <v>786.082</v>
      </c>
      <c r="I70" s="22"/>
      <c r="J70" s="41">
        <v>-2.812</v>
      </c>
      <c r="K70" s="28"/>
      <c r="L70" s="41">
        <f>(H70+J70)</f>
        <v>783.27</v>
      </c>
      <c r="M70" s="22"/>
      <c r="O70" s="434"/>
    </row>
    <row r="71" spans="3:15" ht="15.75" customHeight="1">
      <c r="C71" s="10" t="s">
        <v>35</v>
      </c>
      <c r="H71" s="41">
        <v>170545.837</v>
      </c>
      <c r="I71" s="22"/>
      <c r="J71" s="41">
        <v>-7021.959</v>
      </c>
      <c r="K71" s="22"/>
      <c r="L71" s="41">
        <f>(H71+J71)</f>
        <v>163523.878</v>
      </c>
      <c r="M71" s="22"/>
      <c r="O71" s="434"/>
    </row>
    <row r="72" spans="3:15" ht="15.75" customHeight="1">
      <c r="C72" s="10" t="s">
        <v>36</v>
      </c>
      <c r="H72" s="41">
        <v>1.335</v>
      </c>
      <c r="I72" s="22"/>
      <c r="J72" s="52" t="s">
        <v>37</v>
      </c>
      <c r="K72" s="3"/>
      <c r="L72" s="41">
        <f>(H72-J72)</f>
        <v>1.335</v>
      </c>
      <c r="M72" s="22"/>
      <c r="O72" s="434"/>
    </row>
    <row r="73" spans="3:15" ht="15.75" customHeight="1">
      <c r="C73" s="10" t="s">
        <v>38</v>
      </c>
      <c r="H73" s="52">
        <v>1.058</v>
      </c>
      <c r="I73" s="22"/>
      <c r="J73" s="48" t="s">
        <v>716</v>
      </c>
      <c r="K73" s="28"/>
      <c r="L73" s="41">
        <f>(H73-J73)</f>
        <v>1.058</v>
      </c>
      <c r="M73" s="22"/>
      <c r="O73" s="434"/>
    </row>
    <row r="74" spans="3:15" ht="15.75" customHeight="1">
      <c r="C74" s="10" t="s">
        <v>39</v>
      </c>
      <c r="H74" s="52">
        <v>2.141</v>
      </c>
      <c r="I74" s="22"/>
      <c r="J74" s="48" t="s">
        <v>716</v>
      </c>
      <c r="K74" s="28"/>
      <c r="L74" s="41">
        <f>(H74-J74)</f>
        <v>2.141</v>
      </c>
      <c r="M74" s="141"/>
      <c r="O74" s="434"/>
    </row>
    <row r="75" spans="3:15" ht="15.75" customHeight="1">
      <c r="C75" s="10" t="s">
        <v>41</v>
      </c>
      <c r="H75" s="41">
        <v>81.62</v>
      </c>
      <c r="I75" s="22"/>
      <c r="J75" s="48" t="s">
        <v>716</v>
      </c>
      <c r="K75" s="28"/>
      <c r="L75" s="41">
        <f>(H75-J75)</f>
        <v>81.62</v>
      </c>
      <c r="M75" s="22"/>
      <c r="O75" s="434"/>
    </row>
    <row r="76" spans="3:15" ht="15.75" customHeight="1">
      <c r="C76" s="10" t="s">
        <v>587</v>
      </c>
      <c r="H76" s="41">
        <v>2872.714</v>
      </c>
      <c r="I76" s="22"/>
      <c r="J76" s="48" t="s">
        <v>716</v>
      </c>
      <c r="K76" s="28"/>
      <c r="L76" s="41">
        <f>(H76-J76)</f>
        <v>2872.714</v>
      </c>
      <c r="M76" s="22" t="s">
        <v>672</v>
      </c>
      <c r="O76" s="434"/>
    </row>
    <row r="77" spans="3:15" ht="15.75" customHeight="1">
      <c r="C77" s="10"/>
      <c r="H77" s="41"/>
      <c r="I77" s="22"/>
      <c r="J77" s="48"/>
      <c r="K77" s="28"/>
      <c r="L77" s="41"/>
      <c r="M77" s="22"/>
      <c r="O77" s="434"/>
    </row>
    <row r="78" spans="3:15" ht="15.75" customHeight="1">
      <c r="C78" s="10" t="s">
        <v>42</v>
      </c>
      <c r="H78" s="41">
        <v>10.939</v>
      </c>
      <c r="I78" s="22"/>
      <c r="J78" s="41">
        <v>-3.462</v>
      </c>
      <c r="K78" s="22"/>
      <c r="L78" s="41">
        <f aca="true" t="shared" si="1" ref="L78:L83">(H78+J78)</f>
        <v>7.477</v>
      </c>
      <c r="M78" s="22"/>
      <c r="O78" s="434"/>
    </row>
    <row r="79" spans="3:15" ht="15.75" customHeight="1">
      <c r="C79" s="10" t="s">
        <v>670</v>
      </c>
      <c r="H79" s="41">
        <v>9843.131</v>
      </c>
      <c r="I79" s="22"/>
      <c r="J79" s="41">
        <v>-3744.61</v>
      </c>
      <c r="K79" s="22"/>
      <c r="L79" s="41">
        <f t="shared" si="1"/>
        <v>6098.520999999999</v>
      </c>
      <c r="M79" s="22"/>
      <c r="O79" s="434"/>
    </row>
    <row r="80" spans="3:15" ht="15.75" customHeight="1">
      <c r="C80" s="10" t="s">
        <v>59</v>
      </c>
      <c r="H80" s="41">
        <v>23025.173</v>
      </c>
      <c r="I80" s="22"/>
      <c r="J80" s="48" t="s">
        <v>716</v>
      </c>
      <c r="K80" s="28"/>
      <c r="L80" s="41">
        <f t="shared" si="1"/>
        <v>23025.173</v>
      </c>
      <c r="M80" s="22"/>
      <c r="O80" s="434"/>
    </row>
    <row r="81" spans="3:15" ht="15.75" customHeight="1">
      <c r="C81" s="10" t="s">
        <v>667</v>
      </c>
      <c r="H81" s="41">
        <v>0.521</v>
      </c>
      <c r="I81" s="22"/>
      <c r="J81" s="48" t="s">
        <v>716</v>
      </c>
      <c r="K81" s="28"/>
      <c r="L81" s="41">
        <f t="shared" si="1"/>
        <v>0.521</v>
      </c>
      <c r="M81" s="22"/>
      <c r="O81" s="434"/>
    </row>
    <row r="82" spans="3:15" ht="15.75" customHeight="1">
      <c r="C82" s="10" t="s">
        <v>680</v>
      </c>
      <c r="H82" s="52">
        <v>956.488</v>
      </c>
      <c r="I82" s="22"/>
      <c r="J82" s="48" t="s">
        <v>716</v>
      </c>
      <c r="K82" s="28"/>
      <c r="L82" s="41">
        <f>(H82+J82)</f>
        <v>956.488</v>
      </c>
      <c r="M82" s="22"/>
      <c r="O82" s="434"/>
    </row>
    <row r="83" spans="1:15" ht="15.75" customHeight="1">
      <c r="A83" s="74"/>
      <c r="B83" s="74"/>
      <c r="C83" s="209" t="s">
        <v>483</v>
      </c>
      <c r="D83" s="74"/>
      <c r="E83" s="74"/>
      <c r="F83" s="74"/>
      <c r="G83" s="74"/>
      <c r="H83" s="52">
        <v>2</v>
      </c>
      <c r="I83" s="141"/>
      <c r="J83" s="48" t="s">
        <v>716</v>
      </c>
      <c r="K83" s="142"/>
      <c r="L83" s="41">
        <f t="shared" si="1"/>
        <v>2</v>
      </c>
      <c r="M83" s="141" t="s">
        <v>672</v>
      </c>
      <c r="O83" s="434"/>
    </row>
    <row r="84" spans="3:15" ht="15.75" customHeight="1">
      <c r="C84" s="10" t="s">
        <v>61</v>
      </c>
      <c r="H84" s="52" t="s">
        <v>3</v>
      </c>
      <c r="I84" s="22"/>
      <c r="J84" s="48" t="s">
        <v>716</v>
      </c>
      <c r="K84" s="28"/>
      <c r="L84" s="52" t="s">
        <v>3</v>
      </c>
      <c r="M84" s="22"/>
      <c r="O84" s="434"/>
    </row>
    <row r="85" spans="3:15" ht="15.75" customHeight="1">
      <c r="C85" s="10" t="s">
        <v>62</v>
      </c>
      <c r="H85" s="52">
        <v>10025.618</v>
      </c>
      <c r="I85" s="22"/>
      <c r="J85" s="48" t="s">
        <v>716</v>
      </c>
      <c r="K85" s="28"/>
      <c r="L85" s="41">
        <f>(H85+J85)</f>
        <v>10025.618</v>
      </c>
      <c r="M85" s="22"/>
      <c r="O85" s="434"/>
    </row>
    <row r="86" spans="3:15" ht="15.75" customHeight="1">
      <c r="C86" s="10" t="s">
        <v>180</v>
      </c>
      <c r="H86" s="41">
        <v>151.442</v>
      </c>
      <c r="I86" s="22"/>
      <c r="J86" s="48" t="s">
        <v>716</v>
      </c>
      <c r="K86" s="28"/>
      <c r="L86" s="41">
        <f>(H86+J86)</f>
        <v>151.442</v>
      </c>
      <c r="M86" s="22"/>
      <c r="O86" s="434"/>
    </row>
    <row r="87" spans="3:15" ht="15.75" customHeight="1">
      <c r="C87" s="10"/>
      <c r="H87" s="41"/>
      <c r="I87" s="22"/>
      <c r="J87" s="48"/>
      <c r="K87" s="28"/>
      <c r="L87" s="41"/>
      <c r="M87" s="22"/>
      <c r="O87" s="434"/>
    </row>
    <row r="88" spans="3:15" ht="15.75" customHeight="1">
      <c r="C88" s="10" t="s">
        <v>63</v>
      </c>
      <c r="H88" s="41"/>
      <c r="I88" s="22"/>
      <c r="J88" s="41"/>
      <c r="K88" s="22"/>
      <c r="L88" s="41"/>
      <c r="M88" s="22"/>
      <c r="O88" s="434"/>
    </row>
    <row r="89" spans="3:15" ht="15.75" customHeight="1">
      <c r="C89" s="10" t="s">
        <v>64</v>
      </c>
      <c r="H89" s="41">
        <v>1577.715</v>
      </c>
      <c r="I89" s="22"/>
      <c r="J89" s="48" t="s">
        <v>716</v>
      </c>
      <c r="K89" s="28"/>
      <c r="L89" s="41">
        <f>(H89-J89)</f>
        <v>1577.715</v>
      </c>
      <c r="M89" s="22"/>
      <c r="O89" s="434"/>
    </row>
    <row r="90" spans="1:13" ht="15.75" customHeight="1" thickBot="1">
      <c r="A90" s="113"/>
      <c r="B90" s="113"/>
      <c r="C90" s="115"/>
      <c r="D90" s="113"/>
      <c r="E90" s="113"/>
      <c r="F90" s="113"/>
      <c r="G90" s="113"/>
      <c r="H90" s="250"/>
      <c r="I90" s="116"/>
      <c r="J90" s="117"/>
      <c r="K90" s="117"/>
      <c r="L90" s="116"/>
      <c r="M90" s="116"/>
    </row>
    <row r="91" spans="1:13" ht="16.5" customHeight="1" thickTop="1">
      <c r="A91" s="111">
        <v>8</v>
      </c>
      <c r="B91" s="2" t="str">
        <f>(Marketable!B91)</f>
        <v>TABLE III - DETAIL OF TREASURY SECURITIES OUTSTANDING, FEBRUARY 28, 2001 -- Continued</v>
      </c>
      <c r="C91" s="2"/>
      <c r="D91" s="2"/>
      <c r="E91" s="3"/>
      <c r="F91" s="3"/>
      <c r="G91" s="3"/>
      <c r="H91" s="3"/>
      <c r="I91" s="30"/>
      <c r="J91" s="3"/>
      <c r="K91" s="3"/>
      <c r="L91" s="3"/>
      <c r="M91" s="2"/>
    </row>
    <row r="92" spans="1:13" ht="10.5" customHeight="1" thickBot="1">
      <c r="A92" s="60"/>
      <c r="B92" s="60"/>
      <c r="C92" s="7"/>
      <c r="D92" s="2"/>
      <c r="E92" s="3"/>
      <c r="F92" s="3"/>
      <c r="G92" s="3"/>
      <c r="H92" s="3"/>
      <c r="I92" s="30"/>
      <c r="J92" s="3"/>
      <c r="K92" s="3"/>
      <c r="L92" s="3"/>
      <c r="M92" s="2"/>
    </row>
    <row r="93" spans="1:13" ht="15.75" customHeight="1" thickTop="1">
      <c r="A93" s="33"/>
      <c r="B93" s="33"/>
      <c r="C93" s="33"/>
      <c r="D93" s="33"/>
      <c r="E93" s="33"/>
      <c r="F93" s="33"/>
      <c r="G93" s="33"/>
      <c r="H93" s="27"/>
      <c r="I93" s="33"/>
      <c r="J93" s="33"/>
      <c r="K93" s="33"/>
      <c r="L93" s="33"/>
      <c r="M93" s="33"/>
    </row>
    <row r="94" spans="8:13" ht="15.75" customHeight="1">
      <c r="H94" s="17" t="s">
        <v>705</v>
      </c>
      <c r="I94" s="3"/>
      <c r="J94" s="3"/>
      <c r="K94" s="3"/>
      <c r="L94" s="3"/>
      <c r="M94" s="3"/>
    </row>
    <row r="95" spans="1:13" ht="15.75" customHeight="1">
      <c r="A95" s="3" t="s">
        <v>706</v>
      </c>
      <c r="B95" s="3"/>
      <c r="C95" s="3"/>
      <c r="D95" s="3"/>
      <c r="E95" s="3"/>
      <c r="F95" s="3"/>
      <c r="G95" s="3"/>
      <c r="H95" s="17" t="s">
        <v>672</v>
      </c>
      <c r="I95" s="3"/>
      <c r="J95" s="3"/>
      <c r="K95" s="3"/>
      <c r="L95" s="3"/>
      <c r="M95" s="3"/>
    </row>
    <row r="96" spans="1:13" ht="16.5" customHeight="1">
      <c r="A96" s="16"/>
      <c r="B96" s="16"/>
      <c r="C96" s="16"/>
      <c r="D96" s="16"/>
      <c r="E96" s="16"/>
      <c r="F96" s="16"/>
      <c r="G96" s="16"/>
      <c r="H96" s="38" t="s">
        <v>710</v>
      </c>
      <c r="I96" s="39"/>
      <c r="J96" s="38" t="s">
        <v>711</v>
      </c>
      <c r="K96" s="39"/>
      <c r="L96" s="38" t="s">
        <v>675</v>
      </c>
      <c r="M96" s="39"/>
    </row>
    <row r="97" spans="8:12" ht="15.75" customHeight="1">
      <c r="H97" s="15"/>
      <c r="J97" s="15"/>
      <c r="L97" s="15"/>
    </row>
    <row r="98" spans="2:12" ht="18" customHeight="1">
      <c r="B98" s="7" t="s">
        <v>890</v>
      </c>
      <c r="E98" s="44"/>
      <c r="H98" s="15"/>
      <c r="J98" s="15"/>
      <c r="L98" s="15"/>
    </row>
    <row r="99" spans="2:12" ht="18" customHeight="1">
      <c r="B99" s="89" t="s">
        <v>634</v>
      </c>
      <c r="E99" s="44"/>
      <c r="H99" s="15"/>
      <c r="J99" s="15"/>
      <c r="L99" s="15"/>
    </row>
    <row r="100" spans="3:15" ht="15.75" customHeight="1">
      <c r="C100" s="10" t="s">
        <v>67</v>
      </c>
      <c r="H100" s="41">
        <v>434.328</v>
      </c>
      <c r="I100" s="22"/>
      <c r="J100" s="52">
        <v>-2.755</v>
      </c>
      <c r="K100" s="28"/>
      <c r="L100" s="41">
        <f>(H100+J100)</f>
        <v>431.573</v>
      </c>
      <c r="M100" s="22"/>
      <c r="O100" s="434"/>
    </row>
    <row r="101" spans="3:15" ht="15.75" customHeight="1">
      <c r="C101" s="10" t="s">
        <v>68</v>
      </c>
      <c r="H101" s="41">
        <v>154256.704</v>
      </c>
      <c r="I101" s="22"/>
      <c r="J101" s="41">
        <v>-32633.929</v>
      </c>
      <c r="K101" s="22"/>
      <c r="L101" s="41">
        <f>(H101+J101)</f>
        <v>121622.775</v>
      </c>
      <c r="M101" s="22"/>
      <c r="O101" s="434"/>
    </row>
    <row r="102" spans="3:15" ht="15.75" customHeight="1">
      <c r="C102" s="10" t="s">
        <v>69</v>
      </c>
      <c r="H102" s="41">
        <v>259420.178</v>
      </c>
      <c r="I102" s="22"/>
      <c r="J102" s="52">
        <v>-75815.827</v>
      </c>
      <c r="K102" s="28"/>
      <c r="L102" s="41">
        <f>(H102+J102)</f>
        <v>183604.35100000002</v>
      </c>
      <c r="M102" s="22"/>
      <c r="O102" s="434"/>
    </row>
    <row r="103" spans="3:15" ht="15.75" customHeight="1">
      <c r="C103" s="10" t="s">
        <v>454</v>
      </c>
      <c r="H103" s="41"/>
      <c r="I103" s="22"/>
      <c r="J103" s="48"/>
      <c r="K103" s="28"/>
      <c r="L103" s="41"/>
      <c r="M103" s="22"/>
      <c r="O103" s="434"/>
    </row>
    <row r="104" spans="3:15" ht="15.75" customHeight="1">
      <c r="C104" s="10" t="s">
        <v>455</v>
      </c>
      <c r="H104" s="41">
        <v>233.192</v>
      </c>
      <c r="I104" s="22"/>
      <c r="J104" s="48" t="s">
        <v>716</v>
      </c>
      <c r="K104" s="28"/>
      <c r="L104" s="41">
        <f>(H104+J104)</f>
        <v>233.192</v>
      </c>
      <c r="M104" s="22"/>
      <c r="O104" s="434"/>
    </row>
    <row r="105" spans="3:15" ht="15.75" customHeight="1">
      <c r="C105" s="10" t="s">
        <v>70</v>
      </c>
      <c r="H105" s="41"/>
      <c r="I105" s="22"/>
      <c r="J105" s="41"/>
      <c r="K105" s="22"/>
      <c r="L105" s="41"/>
      <c r="M105" s="22"/>
      <c r="O105" s="434"/>
    </row>
    <row r="106" spans="3:15" ht="15.75" customHeight="1">
      <c r="C106" s="10" t="s">
        <v>456</v>
      </c>
      <c r="H106" s="41">
        <v>8.04</v>
      </c>
      <c r="I106" s="22"/>
      <c r="J106" s="52" t="s">
        <v>37</v>
      </c>
      <c r="K106" s="28"/>
      <c r="L106" s="41">
        <f>(H106+J106)</f>
        <v>8.04</v>
      </c>
      <c r="M106" s="22"/>
      <c r="O106" s="434"/>
    </row>
    <row r="107" spans="3:15" ht="15.75" customHeight="1">
      <c r="C107" s="10" t="s">
        <v>457</v>
      </c>
      <c r="H107" s="41"/>
      <c r="I107" s="22"/>
      <c r="J107" s="48"/>
      <c r="K107" s="28"/>
      <c r="L107" s="41"/>
      <c r="M107" s="22"/>
      <c r="O107" s="434"/>
    </row>
    <row r="108" spans="3:15" ht="15.75" customHeight="1">
      <c r="C108" s="10" t="s">
        <v>455</v>
      </c>
      <c r="H108" s="41">
        <v>22.489</v>
      </c>
      <c r="I108" s="22"/>
      <c r="J108" s="48" t="s">
        <v>716</v>
      </c>
      <c r="K108" s="28"/>
      <c r="L108" s="41">
        <f>(H108+J108)</f>
        <v>22.489</v>
      </c>
      <c r="M108" s="22"/>
      <c r="O108" s="434"/>
    </row>
    <row r="109" spans="3:15" ht="15.75" customHeight="1">
      <c r="C109" s="10" t="s">
        <v>100</v>
      </c>
      <c r="H109" s="41">
        <f>23.076+18344.517</f>
        <v>18367.593</v>
      </c>
      <c r="I109" s="22"/>
      <c r="J109" s="48" t="s">
        <v>716</v>
      </c>
      <c r="K109" s="28"/>
      <c r="L109" s="41">
        <f>(H109-J109)</f>
        <v>18367.593</v>
      </c>
      <c r="M109" s="22"/>
      <c r="O109" s="434"/>
    </row>
    <row r="110" spans="3:15" ht="15.75" customHeight="1">
      <c r="C110" s="10" t="s">
        <v>99</v>
      </c>
      <c r="D110" s="10"/>
      <c r="H110" s="41">
        <v>1144909.465</v>
      </c>
      <c r="I110" s="22"/>
      <c r="J110" s="52">
        <v>-196008.48</v>
      </c>
      <c r="K110" s="28"/>
      <c r="L110" s="41">
        <f>(H110+J110)</f>
        <v>948900.9850000001</v>
      </c>
      <c r="M110" s="22"/>
      <c r="O110" s="434"/>
    </row>
    <row r="111" spans="3:15" ht="15.75" customHeight="1">
      <c r="C111" s="10" t="s">
        <v>97</v>
      </c>
      <c r="E111" s="44"/>
      <c r="H111" s="41">
        <v>862.58</v>
      </c>
      <c r="I111" s="22"/>
      <c r="J111" s="48" t="s">
        <v>716</v>
      </c>
      <c r="K111" s="28"/>
      <c r="L111" s="41">
        <f>(H111+J111)</f>
        <v>862.58</v>
      </c>
      <c r="M111" s="22"/>
      <c r="O111" s="434"/>
    </row>
    <row r="112" spans="3:15" ht="15.75" customHeight="1">
      <c r="C112" s="10" t="s">
        <v>76</v>
      </c>
      <c r="H112" s="41">
        <v>81315.669</v>
      </c>
      <c r="I112" s="22"/>
      <c r="J112" s="41">
        <v>-35736.245</v>
      </c>
      <c r="K112" s="22"/>
      <c r="L112" s="41">
        <f>(H112+J112)</f>
        <v>45579.42399999999</v>
      </c>
      <c r="M112" s="22"/>
      <c r="O112" s="434"/>
    </row>
    <row r="113" spans="3:15" ht="15.75" customHeight="1">
      <c r="C113" s="10" t="s">
        <v>73</v>
      </c>
      <c r="H113" s="41"/>
      <c r="I113" s="22"/>
      <c r="J113" s="48"/>
      <c r="K113" s="28"/>
      <c r="L113" s="41"/>
      <c r="M113" s="22"/>
      <c r="O113" s="434"/>
    </row>
    <row r="114" spans="3:15" ht="15.75" customHeight="1">
      <c r="C114" s="10" t="s">
        <v>96</v>
      </c>
      <c r="H114" s="41">
        <v>1.558</v>
      </c>
      <c r="I114" s="22"/>
      <c r="J114" s="48" t="s">
        <v>716</v>
      </c>
      <c r="K114" s="28"/>
      <c r="L114" s="41">
        <f>(H114-J114)</f>
        <v>1.558</v>
      </c>
      <c r="M114" s="22"/>
      <c r="O114" s="434"/>
    </row>
    <row r="115" spans="3:15" ht="15.75" customHeight="1">
      <c r="C115" s="10" t="s">
        <v>458</v>
      </c>
      <c r="H115" s="41"/>
      <c r="I115" s="22"/>
      <c r="J115" s="48"/>
      <c r="K115" s="28"/>
      <c r="L115" s="41"/>
      <c r="M115" s="22"/>
      <c r="O115" s="434"/>
    </row>
    <row r="116" spans="3:15" ht="15.75" customHeight="1">
      <c r="C116" s="10" t="s">
        <v>96</v>
      </c>
      <c r="H116" s="41">
        <v>1.572</v>
      </c>
      <c r="I116" s="22"/>
      <c r="J116" s="48" t="s">
        <v>716</v>
      </c>
      <c r="K116" s="28"/>
      <c r="L116" s="41">
        <f>(H116-J116)</f>
        <v>1.572</v>
      </c>
      <c r="M116" s="22"/>
      <c r="O116" s="434"/>
    </row>
    <row r="117" spans="3:15" ht="15.75" customHeight="1">
      <c r="C117" s="10" t="s">
        <v>77</v>
      </c>
      <c r="H117" s="41">
        <v>11178.958</v>
      </c>
      <c r="I117" s="22"/>
      <c r="J117" s="52">
        <v>-147.53</v>
      </c>
      <c r="K117" s="28"/>
      <c r="L117" s="41">
        <f>(H117+J117)</f>
        <v>11031.428</v>
      </c>
      <c r="M117" s="22"/>
      <c r="O117" s="434"/>
    </row>
    <row r="118" spans="3:15" ht="15.75" customHeight="1">
      <c r="C118" s="10" t="s">
        <v>173</v>
      </c>
      <c r="H118" s="41">
        <v>2477.393</v>
      </c>
      <c r="I118" s="22"/>
      <c r="J118" s="48" t="s">
        <v>716</v>
      </c>
      <c r="K118" s="28"/>
      <c r="L118" s="41">
        <f>(H118+J118)</f>
        <v>2477.393</v>
      </c>
      <c r="M118" s="22"/>
      <c r="O118" s="434"/>
    </row>
    <row r="119" spans="3:15" ht="15.75" customHeight="1">
      <c r="C119" s="10"/>
      <c r="H119" s="105"/>
      <c r="I119" s="22"/>
      <c r="J119" s="420"/>
      <c r="K119" s="28"/>
      <c r="L119" s="105"/>
      <c r="M119" s="22"/>
      <c r="O119" s="434"/>
    </row>
    <row r="120" spans="3:15" ht="15.75" customHeight="1">
      <c r="C120" s="10" t="s">
        <v>80</v>
      </c>
      <c r="H120" s="41">
        <v>53.126</v>
      </c>
      <c r="I120" s="22"/>
      <c r="J120" s="48" t="s">
        <v>716</v>
      </c>
      <c r="K120" s="28"/>
      <c r="L120" s="41">
        <f>(H120+J120)</f>
        <v>53.126</v>
      </c>
      <c r="M120" s="22"/>
      <c r="O120" s="434"/>
    </row>
    <row r="121" spans="3:15" ht="15.75" customHeight="1">
      <c r="C121" s="10" t="s">
        <v>74</v>
      </c>
      <c r="H121" s="41">
        <v>5.907</v>
      </c>
      <c r="I121" s="22"/>
      <c r="J121" s="48" t="s">
        <v>716</v>
      </c>
      <c r="K121" s="28"/>
      <c r="L121" s="41">
        <f>(H121+J121)</f>
        <v>5.907</v>
      </c>
      <c r="M121" s="22"/>
      <c r="O121" s="434"/>
    </row>
    <row r="122" spans="3:15" ht="15" customHeight="1">
      <c r="C122" s="10" t="s">
        <v>55</v>
      </c>
      <c r="H122" s="52" t="s">
        <v>3</v>
      </c>
      <c r="I122" s="22"/>
      <c r="J122" s="48" t="s">
        <v>716</v>
      </c>
      <c r="K122" s="28"/>
      <c r="L122" s="52" t="s">
        <v>3</v>
      </c>
      <c r="M122" s="22"/>
      <c r="O122" s="434"/>
    </row>
    <row r="123" spans="3:15" ht="15.75" customHeight="1">
      <c r="C123" s="10" t="s">
        <v>183</v>
      </c>
      <c r="H123" s="52">
        <v>0.947</v>
      </c>
      <c r="I123" s="22"/>
      <c r="J123" s="48" t="s">
        <v>716</v>
      </c>
      <c r="K123" s="28"/>
      <c r="L123" s="41">
        <f>(H123+J123)</f>
        <v>0.947</v>
      </c>
      <c r="M123" s="22"/>
      <c r="O123" s="434"/>
    </row>
    <row r="124" spans="3:15" ht="15.75" customHeight="1">
      <c r="C124" s="10" t="s">
        <v>81</v>
      </c>
      <c r="H124" s="52">
        <v>1.44</v>
      </c>
      <c r="I124" s="22"/>
      <c r="J124" s="48" t="s">
        <v>716</v>
      </c>
      <c r="K124" s="28"/>
      <c r="L124" s="41">
        <f>(H124+J124)</f>
        <v>1.44</v>
      </c>
      <c r="M124" s="22"/>
      <c r="O124" s="434"/>
    </row>
    <row r="125" spans="3:15" ht="15.75" customHeight="1">
      <c r="C125" s="10" t="s">
        <v>82</v>
      </c>
      <c r="H125" s="52" t="s">
        <v>3</v>
      </c>
      <c r="I125" s="22"/>
      <c r="J125" s="48" t="s">
        <v>716</v>
      </c>
      <c r="K125" s="28"/>
      <c r="L125" s="52" t="s">
        <v>3</v>
      </c>
      <c r="M125" s="22"/>
      <c r="O125" s="434"/>
    </row>
    <row r="126" spans="3:15" ht="14.25" customHeight="1">
      <c r="C126" s="10" t="s">
        <v>84</v>
      </c>
      <c r="H126" s="41"/>
      <c r="I126" s="22"/>
      <c r="J126" s="41"/>
      <c r="K126" s="22"/>
      <c r="L126" s="41"/>
      <c r="M126" s="22"/>
      <c r="O126" s="434"/>
    </row>
    <row r="127" spans="3:15" ht="15.75" customHeight="1">
      <c r="C127" s="10" t="s">
        <v>85</v>
      </c>
      <c r="H127" s="41">
        <v>6391.184</v>
      </c>
      <c r="I127" s="22"/>
      <c r="J127" s="48" t="s">
        <v>716</v>
      </c>
      <c r="K127" s="28"/>
      <c r="L127" s="41">
        <f>(H127+J127)</f>
        <v>6391.184</v>
      </c>
      <c r="M127" s="22"/>
      <c r="O127" s="434"/>
    </row>
    <row r="128" spans="2:15" ht="18" customHeight="1">
      <c r="B128" s="7"/>
      <c r="E128" s="44"/>
      <c r="H128" s="15"/>
      <c r="J128" s="15"/>
      <c r="L128" s="15"/>
      <c r="O128" s="434"/>
    </row>
    <row r="129" spans="3:15" ht="15.75" customHeight="1">
      <c r="C129" s="10" t="s">
        <v>88</v>
      </c>
      <c r="H129" s="41">
        <v>1700.892</v>
      </c>
      <c r="I129" s="22"/>
      <c r="J129" s="48" t="s">
        <v>716</v>
      </c>
      <c r="K129" s="28"/>
      <c r="L129" s="41">
        <f>(H129+J129)</f>
        <v>1700.892</v>
      </c>
      <c r="M129" s="22"/>
      <c r="O129" s="434"/>
    </row>
    <row r="130" spans="3:15" ht="15.75" customHeight="1">
      <c r="C130" s="10" t="s">
        <v>89</v>
      </c>
      <c r="H130" s="41"/>
      <c r="I130" s="22"/>
      <c r="J130" s="41"/>
      <c r="K130" s="22"/>
      <c r="L130" s="41"/>
      <c r="M130" s="22"/>
      <c r="O130" s="434"/>
    </row>
    <row r="131" spans="3:15" ht="15.75" customHeight="1">
      <c r="C131" s="10" t="s">
        <v>91</v>
      </c>
      <c r="H131" s="41">
        <v>63.149</v>
      </c>
      <c r="I131" s="22"/>
      <c r="J131" s="41">
        <v>-6.648</v>
      </c>
      <c r="K131" s="22"/>
      <c r="L131" s="41">
        <f>(H131+J131)</f>
        <v>56.501000000000005</v>
      </c>
      <c r="M131" s="22"/>
      <c r="O131" s="434"/>
    </row>
    <row r="132" spans="3:15" ht="15.75" customHeight="1">
      <c r="C132" s="10" t="s">
        <v>678</v>
      </c>
      <c r="H132" s="41">
        <v>4058.147</v>
      </c>
      <c r="I132" s="22"/>
      <c r="J132" s="48" t="s">
        <v>716</v>
      </c>
      <c r="K132" s="28"/>
      <c r="L132" s="41">
        <f>(H132+J132)</f>
        <v>4058.147</v>
      </c>
      <c r="M132" s="22"/>
      <c r="O132" s="434"/>
    </row>
    <row r="133" spans="3:15" ht="15.75" customHeight="1">
      <c r="C133" s="10" t="s">
        <v>92</v>
      </c>
      <c r="H133" s="41">
        <f>10631.66+40737.019</f>
        <v>51368.679000000004</v>
      </c>
      <c r="I133" s="22"/>
      <c r="J133" s="52">
        <f>-5812.742-19532.449</f>
        <v>-25345.191</v>
      </c>
      <c r="K133" s="22"/>
      <c r="L133" s="41">
        <f>(H133+J133)</f>
        <v>26023.488000000005</v>
      </c>
      <c r="M133" s="22"/>
      <c r="O133" s="434"/>
    </row>
    <row r="134" spans="3:15" ht="15.75" customHeight="1">
      <c r="C134" s="10" t="s">
        <v>43</v>
      </c>
      <c r="H134" s="52">
        <v>7.154</v>
      </c>
      <c r="I134" s="22"/>
      <c r="J134" s="52">
        <v>-2.904</v>
      </c>
      <c r="K134" s="28"/>
      <c r="L134" s="41">
        <f>(H134+J134)</f>
        <v>4.25</v>
      </c>
      <c r="M134" s="22"/>
      <c r="O134" s="434"/>
    </row>
    <row r="135" spans="3:15" ht="15.75" customHeight="1">
      <c r="C135" s="10"/>
      <c r="H135" s="41"/>
      <c r="I135" s="22"/>
      <c r="J135" s="41"/>
      <c r="K135" s="28"/>
      <c r="L135" s="41"/>
      <c r="M135" s="22"/>
      <c r="O135" s="434"/>
    </row>
    <row r="136" spans="3:15" ht="15.75" customHeight="1">
      <c r="C136" s="10" t="s">
        <v>94</v>
      </c>
      <c r="H136" s="41">
        <v>410.168</v>
      </c>
      <c r="I136" s="22"/>
      <c r="J136" s="48" t="s">
        <v>716</v>
      </c>
      <c r="K136" s="28"/>
      <c r="L136" s="41">
        <f>(H136+J136)</f>
        <v>410.168</v>
      </c>
      <c r="M136" s="22"/>
      <c r="O136" s="434"/>
    </row>
    <row r="137" spans="3:15" ht="15.75" customHeight="1">
      <c r="C137" s="10" t="s">
        <v>460</v>
      </c>
      <c r="H137" s="41"/>
      <c r="I137" s="22"/>
      <c r="J137" s="48"/>
      <c r="K137" s="28"/>
      <c r="L137" s="41"/>
      <c r="M137" s="22"/>
      <c r="O137" s="434"/>
    </row>
    <row r="138" spans="3:15" ht="15.75" customHeight="1">
      <c r="C138" s="10" t="s">
        <v>461</v>
      </c>
      <c r="H138" s="52">
        <v>2.003</v>
      </c>
      <c r="I138" s="22"/>
      <c r="J138" s="48" t="s">
        <v>716</v>
      </c>
      <c r="K138" s="28"/>
      <c r="L138" s="41">
        <f>(H138+J138)</f>
        <v>2.003</v>
      </c>
      <c r="M138" s="22"/>
      <c r="O138" s="434"/>
    </row>
    <row r="139" spans="3:15" ht="15.75" customHeight="1">
      <c r="C139" s="180" t="s">
        <v>95</v>
      </c>
      <c r="H139" s="52" t="s">
        <v>3</v>
      </c>
      <c r="I139" s="22"/>
      <c r="J139" s="48" t="s">
        <v>716</v>
      </c>
      <c r="K139" s="28"/>
      <c r="L139" s="52" t="s">
        <v>3</v>
      </c>
      <c r="M139" s="22"/>
      <c r="O139" s="434"/>
    </row>
    <row r="140" spans="3:15" ht="15.75" customHeight="1">
      <c r="C140" s="10" t="s">
        <v>117</v>
      </c>
      <c r="H140" s="41">
        <v>4.427</v>
      </c>
      <c r="I140" s="22"/>
      <c r="J140" s="52" t="s">
        <v>37</v>
      </c>
      <c r="K140" s="3"/>
      <c r="L140" s="41">
        <f>(H140+J140)</f>
        <v>4.427</v>
      </c>
      <c r="M140" s="22"/>
      <c r="O140" s="434"/>
    </row>
    <row r="141" spans="8:15" ht="15.75" customHeight="1">
      <c r="H141" s="15"/>
      <c r="J141" s="15"/>
      <c r="L141" s="15"/>
      <c r="O141" s="434"/>
    </row>
    <row r="142" spans="3:15" ht="15.75" customHeight="1">
      <c r="C142" s="10" t="s">
        <v>118</v>
      </c>
      <c r="H142" s="41">
        <v>44.224</v>
      </c>
      <c r="I142" s="22"/>
      <c r="J142" s="41">
        <v>-5.996</v>
      </c>
      <c r="K142" s="28"/>
      <c r="L142" s="41">
        <f>(H142+J142)</f>
        <v>38.227999999999994</v>
      </c>
      <c r="M142" s="22"/>
      <c r="O142" s="434"/>
    </row>
    <row r="143" spans="3:15" ht="15.75" customHeight="1">
      <c r="C143" s="10" t="s">
        <v>119</v>
      </c>
      <c r="H143" s="41"/>
      <c r="I143" s="22"/>
      <c r="J143" s="41"/>
      <c r="K143" s="22"/>
      <c r="L143" s="41"/>
      <c r="M143" s="22"/>
      <c r="O143" s="434"/>
    </row>
    <row r="144" spans="3:15" ht="15.75" customHeight="1">
      <c r="C144" s="10" t="s">
        <v>120</v>
      </c>
      <c r="H144" s="41">
        <v>42.132</v>
      </c>
      <c r="I144" s="22"/>
      <c r="J144" s="52" t="s">
        <v>37</v>
      </c>
      <c r="K144" s="28"/>
      <c r="L144" s="41">
        <f>(H144+J144)</f>
        <v>42.132</v>
      </c>
      <c r="M144" s="22"/>
      <c r="O144" s="434"/>
    </row>
    <row r="145" spans="3:15" ht="15.75" customHeight="1">
      <c r="C145" s="10" t="s">
        <v>121</v>
      </c>
      <c r="H145" s="41">
        <v>10.091</v>
      </c>
      <c r="I145" s="22"/>
      <c r="J145" s="52" t="s">
        <v>37</v>
      </c>
      <c r="K145" s="28"/>
      <c r="L145" s="41">
        <f>(H145+J145)</f>
        <v>10.091</v>
      </c>
      <c r="M145" s="22"/>
      <c r="O145" s="434"/>
    </row>
    <row r="146" spans="3:15" ht="15.75" customHeight="1">
      <c r="C146" s="10" t="s">
        <v>122</v>
      </c>
      <c r="H146" s="41">
        <v>147.753</v>
      </c>
      <c r="I146" s="22"/>
      <c r="J146" s="48" t="s">
        <v>716</v>
      </c>
      <c r="K146" s="28"/>
      <c r="L146" s="41">
        <f>(H146+J146)</f>
        <v>147.753</v>
      </c>
      <c r="M146" s="22"/>
      <c r="O146" s="434"/>
    </row>
    <row r="147" spans="3:15" ht="15.75" customHeight="1">
      <c r="C147" s="10" t="s">
        <v>124</v>
      </c>
      <c r="H147" s="41">
        <v>362.101</v>
      </c>
      <c r="I147" s="22"/>
      <c r="J147" s="41">
        <v>-1.264</v>
      </c>
      <c r="K147" s="22"/>
      <c r="L147" s="41">
        <f>(H147+J147)</f>
        <v>360.837</v>
      </c>
      <c r="M147" s="22"/>
      <c r="O147" s="434"/>
    </row>
    <row r="148" spans="8:15" ht="15.75" customHeight="1">
      <c r="H148" s="41"/>
      <c r="I148" s="22"/>
      <c r="J148" s="41"/>
      <c r="K148" s="22"/>
      <c r="L148" s="41"/>
      <c r="M148" s="22"/>
      <c r="O148" s="434"/>
    </row>
    <row r="149" spans="3:15" ht="15.75" customHeight="1">
      <c r="C149" s="10" t="s">
        <v>125</v>
      </c>
      <c r="H149" s="41">
        <v>5.211</v>
      </c>
      <c r="I149" s="22"/>
      <c r="J149" s="52" t="s">
        <v>37</v>
      </c>
      <c r="K149" s="3"/>
      <c r="L149" s="41">
        <f>(H149+J149)</f>
        <v>5.211</v>
      </c>
      <c r="M149" s="22"/>
      <c r="O149" s="434"/>
    </row>
    <row r="150" spans="8:15" ht="15.75" customHeight="1">
      <c r="H150" s="41"/>
      <c r="I150" s="22"/>
      <c r="J150" s="41"/>
      <c r="K150" s="22"/>
      <c r="L150" s="41"/>
      <c r="M150" s="22"/>
      <c r="O150" s="434"/>
    </row>
    <row r="151" spans="3:15" ht="15.75" customHeight="1">
      <c r="C151" s="10" t="s">
        <v>126</v>
      </c>
      <c r="H151" s="41">
        <v>1711.168</v>
      </c>
      <c r="I151" s="22"/>
      <c r="J151" s="48" t="s">
        <v>716</v>
      </c>
      <c r="K151" s="28"/>
      <c r="L151" s="41">
        <f>(H151+J151)</f>
        <v>1711.168</v>
      </c>
      <c r="M151" s="22"/>
      <c r="O151" s="434"/>
    </row>
    <row r="152" spans="3:15" ht="15.75" customHeight="1">
      <c r="C152" s="10" t="s">
        <v>465</v>
      </c>
      <c r="H152" s="41">
        <v>7.494</v>
      </c>
      <c r="I152" s="22"/>
      <c r="J152" s="48" t="s">
        <v>716</v>
      </c>
      <c r="K152" s="28"/>
      <c r="L152" s="41">
        <f>(H152+J152)</f>
        <v>7.494</v>
      </c>
      <c r="M152" s="22"/>
      <c r="O152" s="434"/>
    </row>
    <row r="153" spans="3:15" ht="15.75" customHeight="1">
      <c r="C153" s="10" t="s">
        <v>127</v>
      </c>
      <c r="H153" s="41">
        <v>43.608</v>
      </c>
      <c r="I153" s="22"/>
      <c r="J153" s="48" t="s">
        <v>716</v>
      </c>
      <c r="K153" s="28"/>
      <c r="L153" s="41">
        <f>(H153-J153)</f>
        <v>43.608</v>
      </c>
      <c r="M153" s="22"/>
      <c r="O153" s="434"/>
    </row>
    <row r="154" spans="3:15" ht="15.75" customHeight="1">
      <c r="C154" s="10" t="s">
        <v>517</v>
      </c>
      <c r="H154" s="41">
        <v>4.132</v>
      </c>
      <c r="I154" s="22"/>
      <c r="J154" s="48" t="s">
        <v>716</v>
      </c>
      <c r="K154" s="28"/>
      <c r="L154" s="41">
        <f>(H154-J154)</f>
        <v>4.132</v>
      </c>
      <c r="M154" s="22"/>
      <c r="O154" s="434"/>
    </row>
    <row r="155" spans="8:15" ht="15.75" customHeight="1">
      <c r="H155" s="41"/>
      <c r="I155" s="22"/>
      <c r="J155" s="41"/>
      <c r="K155" s="22"/>
      <c r="L155" s="41"/>
      <c r="M155" s="22"/>
      <c r="O155" s="434"/>
    </row>
    <row r="156" spans="3:15" ht="15.75" customHeight="1">
      <c r="C156" s="10" t="s">
        <v>128</v>
      </c>
      <c r="H156" s="41" t="s">
        <v>672</v>
      </c>
      <c r="I156" s="22"/>
      <c r="J156" s="41"/>
      <c r="K156" s="22"/>
      <c r="L156" s="41"/>
      <c r="M156" s="22"/>
      <c r="O156" s="434"/>
    </row>
    <row r="157" spans="3:15" ht="15.75" customHeight="1">
      <c r="C157" s="10" t="s">
        <v>130</v>
      </c>
      <c r="H157" s="41">
        <v>25.645</v>
      </c>
      <c r="I157" s="22"/>
      <c r="J157" s="48" t="s">
        <v>716</v>
      </c>
      <c r="K157" s="28"/>
      <c r="L157" s="41">
        <f>(H157-J157)</f>
        <v>25.645</v>
      </c>
      <c r="M157" s="22"/>
      <c r="O157" s="434"/>
    </row>
    <row r="158" spans="8:15" ht="15.75" customHeight="1">
      <c r="H158" s="41"/>
      <c r="I158" s="22"/>
      <c r="J158" s="41"/>
      <c r="K158" s="22"/>
      <c r="L158" s="41"/>
      <c r="M158" s="22"/>
      <c r="O158" s="434"/>
    </row>
    <row r="159" spans="3:15" ht="15.75" customHeight="1">
      <c r="C159" s="10" t="s">
        <v>101</v>
      </c>
      <c r="H159" s="41">
        <v>12.925</v>
      </c>
      <c r="I159" s="22"/>
      <c r="J159" s="48" t="s">
        <v>716</v>
      </c>
      <c r="K159" s="28"/>
      <c r="L159" s="41">
        <f>(H159-J159)</f>
        <v>12.925</v>
      </c>
      <c r="M159" s="22"/>
      <c r="O159" s="434"/>
    </row>
    <row r="160" spans="3:15" ht="15.75" customHeight="1">
      <c r="C160" s="10" t="s">
        <v>102</v>
      </c>
      <c r="H160" s="41">
        <v>4511.145</v>
      </c>
      <c r="I160" s="22"/>
      <c r="J160" s="48" t="s">
        <v>716</v>
      </c>
      <c r="K160" s="28"/>
      <c r="L160" s="41">
        <f>(H160-J160)</f>
        <v>4511.145</v>
      </c>
      <c r="M160" s="22"/>
      <c r="O160" s="434"/>
    </row>
    <row r="161" spans="3:15" ht="15.75" customHeight="1">
      <c r="C161" s="10" t="s">
        <v>668</v>
      </c>
      <c r="H161" s="41">
        <v>6.483</v>
      </c>
      <c r="I161" s="22"/>
      <c r="J161" s="48" t="s">
        <v>716</v>
      </c>
      <c r="K161" s="28"/>
      <c r="L161" s="41">
        <f>(H161-J161)</f>
        <v>6.483</v>
      </c>
      <c r="M161" s="22"/>
      <c r="O161" s="434"/>
    </row>
    <row r="162" spans="3:15" ht="15.75" customHeight="1">
      <c r="C162" s="10" t="s">
        <v>104</v>
      </c>
      <c r="H162" s="52">
        <v>5.363</v>
      </c>
      <c r="I162" s="22"/>
      <c r="J162" s="48" t="s">
        <v>716</v>
      </c>
      <c r="K162" s="28"/>
      <c r="L162" s="41">
        <f>(H162-J162)</f>
        <v>5.363</v>
      </c>
      <c r="M162" s="22"/>
      <c r="O162" s="434"/>
    </row>
    <row r="163" spans="3:15" ht="15.75" customHeight="1">
      <c r="C163" s="10" t="s">
        <v>105</v>
      </c>
      <c r="H163" s="41">
        <v>13.451</v>
      </c>
      <c r="I163" s="22"/>
      <c r="J163" s="48" t="s">
        <v>716</v>
      </c>
      <c r="K163" s="28"/>
      <c r="L163" s="41">
        <f>(H163+J163)</f>
        <v>13.451</v>
      </c>
      <c r="M163" s="22"/>
      <c r="O163" s="434"/>
    </row>
    <row r="164" spans="3:15" ht="15.75" customHeight="1">
      <c r="C164" s="10" t="s">
        <v>106</v>
      </c>
      <c r="H164" s="41">
        <v>42.429</v>
      </c>
      <c r="I164" s="22"/>
      <c r="J164" s="48" t="s">
        <v>716</v>
      </c>
      <c r="K164" s="28"/>
      <c r="L164" s="41">
        <f>(H164+J164)</f>
        <v>42.429</v>
      </c>
      <c r="M164" s="22"/>
      <c r="O164" s="434"/>
    </row>
    <row r="165" spans="3:15" ht="15.75" customHeight="1">
      <c r="C165" s="10" t="s">
        <v>107</v>
      </c>
      <c r="H165" s="41">
        <v>23146.781</v>
      </c>
      <c r="I165" s="22"/>
      <c r="J165" s="52">
        <v>-11319.383</v>
      </c>
      <c r="K165" s="28"/>
      <c r="L165" s="41">
        <f>(H165+J165)</f>
        <v>11827.398</v>
      </c>
      <c r="M165" s="22"/>
      <c r="O165" s="434"/>
    </row>
    <row r="166" spans="3:15" ht="15.75" customHeight="1">
      <c r="C166" s="10" t="s">
        <v>108</v>
      </c>
      <c r="H166" s="41">
        <v>339.905</v>
      </c>
      <c r="I166" s="22"/>
      <c r="J166" s="41">
        <v>-8.228</v>
      </c>
      <c r="K166" s="22"/>
      <c r="L166" s="41">
        <f>(H166+J166)</f>
        <v>331.67699999999996</v>
      </c>
      <c r="M166" s="22"/>
      <c r="O166" s="434"/>
    </row>
    <row r="167" spans="3:15" ht="15.75" customHeight="1">
      <c r="C167" s="10" t="s">
        <v>109</v>
      </c>
      <c r="H167" s="41">
        <v>29.359</v>
      </c>
      <c r="I167" s="22"/>
      <c r="J167" s="48" t="s">
        <v>716</v>
      </c>
      <c r="K167" s="28"/>
      <c r="L167" s="41">
        <f>(H167-J167)</f>
        <v>29.359</v>
      </c>
      <c r="M167" s="22"/>
      <c r="O167" s="434"/>
    </row>
    <row r="168" spans="3:15" ht="15.75" customHeight="1">
      <c r="C168" s="10" t="s">
        <v>132</v>
      </c>
      <c r="H168" s="41"/>
      <c r="I168" s="22"/>
      <c r="J168" s="41"/>
      <c r="K168" s="22"/>
      <c r="L168" s="41"/>
      <c r="M168" s="22"/>
      <c r="O168" s="434"/>
    </row>
    <row r="169" spans="3:15" ht="15.75" customHeight="1">
      <c r="C169" s="10" t="s">
        <v>133</v>
      </c>
      <c r="H169" s="41">
        <v>124.263</v>
      </c>
      <c r="I169" s="22"/>
      <c r="J169" s="52" t="s">
        <v>37</v>
      </c>
      <c r="K169" s="3"/>
      <c r="L169" s="41">
        <f>(H169+J169)</f>
        <v>124.263</v>
      </c>
      <c r="M169" s="22"/>
      <c r="O169" s="434"/>
    </row>
    <row r="170" spans="3:15" ht="15.75" customHeight="1">
      <c r="C170" s="10" t="s">
        <v>134</v>
      </c>
      <c r="H170" s="41">
        <f>4485.814+15695</f>
        <v>20180.814</v>
      </c>
      <c r="I170" s="22"/>
      <c r="J170" s="41">
        <v>-536.33</v>
      </c>
      <c r="K170" s="22"/>
      <c r="L170" s="41">
        <f>(H170+J170)</f>
        <v>19644.483999999997</v>
      </c>
      <c r="M170" s="22"/>
      <c r="O170" s="434"/>
    </row>
    <row r="171" spans="8:15" ht="15.75" customHeight="1">
      <c r="H171" s="41"/>
      <c r="I171" s="22"/>
      <c r="J171" s="41"/>
      <c r="K171" s="22"/>
      <c r="L171" s="41"/>
      <c r="M171" s="22"/>
      <c r="O171" s="434"/>
    </row>
    <row r="172" spans="3:15" ht="15.75" customHeight="1">
      <c r="C172" s="10" t="s">
        <v>135</v>
      </c>
      <c r="H172" s="41">
        <v>1172.073</v>
      </c>
      <c r="I172" s="22"/>
      <c r="J172" s="52" t="s">
        <v>37</v>
      </c>
      <c r="K172" s="3"/>
      <c r="L172" s="41">
        <f>(H172+J172)</f>
        <v>1172.073</v>
      </c>
      <c r="M172" s="22"/>
      <c r="O172" s="434"/>
    </row>
    <row r="173" spans="3:15" ht="15.75" customHeight="1">
      <c r="C173" s="10" t="s">
        <v>463</v>
      </c>
      <c r="H173" s="41">
        <v>0.603</v>
      </c>
      <c r="I173" s="22"/>
      <c r="J173" s="48" t="s">
        <v>716</v>
      </c>
      <c r="K173" s="3"/>
      <c r="L173" s="41">
        <f>(H173+J173)</f>
        <v>0.603</v>
      </c>
      <c r="M173" s="22"/>
      <c r="O173" s="434"/>
    </row>
    <row r="174" spans="3:15" ht="15.75" customHeight="1">
      <c r="C174" s="10" t="s">
        <v>137</v>
      </c>
      <c r="H174" s="52" t="s">
        <v>3</v>
      </c>
      <c r="I174" s="22"/>
      <c r="J174" s="48" t="s">
        <v>716</v>
      </c>
      <c r="K174" s="28"/>
      <c r="L174" s="52" t="s">
        <v>3</v>
      </c>
      <c r="M174" s="22"/>
      <c r="O174" s="434"/>
    </row>
    <row r="175" spans="3:15" ht="15.75" customHeight="1">
      <c r="C175" s="10" t="s">
        <v>138</v>
      </c>
      <c r="H175" s="52">
        <v>5.392</v>
      </c>
      <c r="I175" s="22"/>
      <c r="J175" s="48" t="s">
        <v>716</v>
      </c>
      <c r="K175" s="28"/>
      <c r="L175" s="41">
        <f>(H175+J175)</f>
        <v>5.392</v>
      </c>
      <c r="M175" s="22"/>
      <c r="O175" s="434"/>
    </row>
    <row r="176" spans="3:15" ht="15.75" customHeight="1">
      <c r="C176" s="10" t="s">
        <v>139</v>
      </c>
      <c r="H176" s="41">
        <v>24.866</v>
      </c>
      <c r="I176" s="22"/>
      <c r="J176" s="48" t="s">
        <v>716</v>
      </c>
      <c r="K176" s="28"/>
      <c r="L176" s="41">
        <f>(H176-J176)</f>
        <v>24.866</v>
      </c>
      <c r="M176" s="22"/>
      <c r="O176" s="434"/>
    </row>
    <row r="177" spans="3:15" ht="15.75" customHeight="1">
      <c r="C177" s="10" t="s">
        <v>140</v>
      </c>
      <c r="H177" s="41"/>
      <c r="I177" s="22"/>
      <c r="J177" s="41"/>
      <c r="K177" s="22"/>
      <c r="L177" s="41"/>
      <c r="M177" s="22"/>
      <c r="O177" s="434"/>
    </row>
    <row r="178" spans="3:15" ht="15.75" customHeight="1">
      <c r="C178" s="10" t="s">
        <v>141</v>
      </c>
      <c r="H178" s="41">
        <v>3334.47</v>
      </c>
      <c r="I178" s="22"/>
      <c r="J178" s="41">
        <v>-94.72</v>
      </c>
      <c r="K178" s="22"/>
      <c r="L178" s="41">
        <f>(H178+J178)</f>
        <v>3239.75</v>
      </c>
      <c r="M178" s="22"/>
      <c r="O178" s="434"/>
    </row>
    <row r="179" spans="8:15" ht="15.75" customHeight="1">
      <c r="H179" s="41"/>
      <c r="I179" s="22"/>
      <c r="J179" s="41"/>
      <c r="K179" s="22"/>
      <c r="L179" s="41"/>
      <c r="M179" s="22"/>
      <c r="O179" s="434"/>
    </row>
    <row r="180" spans="3:15" ht="15.75" customHeight="1">
      <c r="C180" s="10" t="s">
        <v>142</v>
      </c>
      <c r="H180" s="41">
        <v>74.258</v>
      </c>
      <c r="I180" s="22"/>
      <c r="J180" s="48" t="s">
        <v>716</v>
      </c>
      <c r="K180" s="28"/>
      <c r="L180" s="41">
        <f>(H180+J180)</f>
        <v>74.258</v>
      </c>
      <c r="M180" s="22"/>
      <c r="O180" s="434"/>
    </row>
    <row r="181" spans="3:13" s="113" customFormat="1" ht="15.75" customHeight="1" thickBot="1">
      <c r="C181" s="115"/>
      <c r="H181" s="250"/>
      <c r="I181" s="116"/>
      <c r="J181" s="117"/>
      <c r="K181" s="117"/>
      <c r="L181" s="116"/>
      <c r="M181" s="116"/>
    </row>
    <row r="182" spans="1:13" ht="16.5" customHeight="1" thickTop="1">
      <c r="A182" s="60"/>
      <c r="B182" s="2" t="str">
        <f>(Marketable!B91)</f>
        <v>TABLE III - DETAIL OF TREASURY SECURITIES OUTSTANDING, FEBRUARY 28, 2001 -- Continued</v>
      </c>
      <c r="C182" s="2"/>
      <c r="D182" s="2"/>
      <c r="E182" s="3"/>
      <c r="F182" s="3"/>
      <c r="G182" s="3"/>
      <c r="H182" s="3"/>
      <c r="I182" s="30"/>
      <c r="J182" s="3"/>
      <c r="K182" s="3"/>
      <c r="L182" s="3"/>
      <c r="M182" s="112">
        <v>9</v>
      </c>
    </row>
    <row r="183" spans="1:13" ht="10.5" customHeight="1" thickBot="1">
      <c r="A183" s="60"/>
      <c r="B183" s="60"/>
      <c r="C183" s="7"/>
      <c r="D183" s="2"/>
      <c r="E183" s="3"/>
      <c r="F183" s="3"/>
      <c r="G183" s="3"/>
      <c r="H183" s="3"/>
      <c r="I183" s="30"/>
      <c r="J183" s="3"/>
      <c r="K183" s="3"/>
      <c r="L183" s="3"/>
      <c r="M183" s="59"/>
    </row>
    <row r="184" spans="1:13" ht="15.75" customHeight="1" thickTop="1">
      <c r="A184" s="33"/>
      <c r="B184" s="33"/>
      <c r="C184" s="33"/>
      <c r="D184" s="33"/>
      <c r="E184" s="33"/>
      <c r="F184" s="33"/>
      <c r="G184" s="33"/>
      <c r="H184" s="27"/>
      <c r="I184" s="33"/>
      <c r="J184" s="33"/>
      <c r="K184" s="33"/>
      <c r="L184" s="33"/>
      <c r="M184" s="33"/>
    </row>
    <row r="185" spans="8:13" ht="15.75" customHeight="1">
      <c r="H185" s="17" t="s">
        <v>705</v>
      </c>
      <c r="I185" s="3"/>
      <c r="J185" s="3"/>
      <c r="K185" s="3"/>
      <c r="L185" s="3"/>
      <c r="M185" s="3"/>
    </row>
    <row r="186" spans="1:13" ht="15.75" customHeight="1">
      <c r="A186" s="3" t="s">
        <v>706</v>
      </c>
      <c r="B186" s="3"/>
      <c r="C186" s="3"/>
      <c r="D186" s="3"/>
      <c r="E186" s="3"/>
      <c r="F186" s="3"/>
      <c r="G186" s="3"/>
      <c r="H186" s="17" t="s">
        <v>672</v>
      </c>
      <c r="I186" s="3"/>
      <c r="J186" s="3"/>
      <c r="K186" s="3"/>
      <c r="L186" s="3"/>
      <c r="M186" s="3"/>
    </row>
    <row r="187" spans="1:13" ht="16.5" customHeight="1">
      <c r="A187" s="16"/>
      <c r="B187" s="16"/>
      <c r="C187" s="16"/>
      <c r="D187" s="16"/>
      <c r="E187" s="16"/>
      <c r="F187" s="16"/>
      <c r="G187" s="16"/>
      <c r="H187" s="38" t="s">
        <v>710</v>
      </c>
      <c r="I187" s="39"/>
      <c r="J187" s="38" t="s">
        <v>711</v>
      </c>
      <c r="K187" s="39"/>
      <c r="L187" s="38" t="s">
        <v>675</v>
      </c>
      <c r="M187" s="39"/>
    </row>
    <row r="188" spans="8:12" ht="15.75" customHeight="1">
      <c r="H188" s="15"/>
      <c r="J188" s="15"/>
      <c r="L188" s="15"/>
    </row>
    <row r="189" spans="2:12" ht="18" customHeight="1">
      <c r="B189" s="7" t="s">
        <v>890</v>
      </c>
      <c r="E189" s="44"/>
      <c r="H189" s="15"/>
      <c r="J189" s="15"/>
      <c r="L189" s="15"/>
    </row>
    <row r="190" spans="2:12" ht="18" customHeight="1">
      <c r="B190" s="89" t="s">
        <v>634</v>
      </c>
      <c r="E190" s="44"/>
      <c r="H190" s="15"/>
      <c r="J190" s="15"/>
      <c r="L190" s="15"/>
    </row>
    <row r="191" spans="3:15" ht="15.75" customHeight="1">
      <c r="C191" s="10" t="s">
        <v>143</v>
      </c>
      <c r="H191" s="52">
        <v>0.533</v>
      </c>
      <c r="I191" s="22"/>
      <c r="J191" s="48" t="s">
        <v>716</v>
      </c>
      <c r="K191" s="28"/>
      <c r="L191" s="41">
        <f>(H191-J191)</f>
        <v>0.533</v>
      </c>
      <c r="M191" s="22"/>
      <c r="O191" s="434"/>
    </row>
    <row r="192" spans="3:15" ht="15.75" customHeight="1">
      <c r="C192" s="10" t="s">
        <v>145</v>
      </c>
      <c r="H192" s="41">
        <v>438.855</v>
      </c>
      <c r="I192" s="22"/>
      <c r="J192" s="52" t="s">
        <v>37</v>
      </c>
      <c r="K192" s="28"/>
      <c r="L192" s="41">
        <f>(H192+J192)</f>
        <v>438.855</v>
      </c>
      <c r="M192" s="22"/>
      <c r="O192" s="434"/>
    </row>
    <row r="193" spans="3:15" ht="15.75" customHeight="1">
      <c r="C193" s="10" t="s">
        <v>147</v>
      </c>
      <c r="H193" s="41">
        <v>17579.31</v>
      </c>
      <c r="I193" s="22"/>
      <c r="J193" s="41">
        <v>-6437.399</v>
      </c>
      <c r="K193" s="22"/>
      <c r="L193" s="41">
        <f>(H193+J193)</f>
        <v>11141.911</v>
      </c>
      <c r="M193" s="22"/>
      <c r="O193" s="434"/>
    </row>
    <row r="194" spans="3:15" ht="15.75" customHeight="1">
      <c r="C194" s="10" t="s">
        <v>175</v>
      </c>
      <c r="H194" s="41">
        <v>31.371</v>
      </c>
      <c r="I194" s="22"/>
      <c r="J194" s="48" t="s">
        <v>716</v>
      </c>
      <c r="K194" s="28"/>
      <c r="L194" s="41">
        <f>(H194-J194)</f>
        <v>31.371</v>
      </c>
      <c r="M194" s="22"/>
      <c r="O194" s="434"/>
    </row>
    <row r="195" spans="3:15" ht="15.75" customHeight="1">
      <c r="C195" s="10" t="s">
        <v>691</v>
      </c>
      <c r="H195" s="52" t="s">
        <v>3</v>
      </c>
      <c r="I195" s="22"/>
      <c r="J195" s="48" t="s">
        <v>716</v>
      </c>
      <c r="K195" s="28"/>
      <c r="L195" s="52" t="s">
        <v>3</v>
      </c>
      <c r="M195" s="22"/>
      <c r="O195" s="434"/>
    </row>
    <row r="196" spans="3:15" ht="15.75" customHeight="1">
      <c r="C196" s="10" t="s">
        <v>692</v>
      </c>
      <c r="H196" s="52">
        <v>19.3</v>
      </c>
      <c r="I196" s="22"/>
      <c r="J196" s="48" t="s">
        <v>716</v>
      </c>
      <c r="K196" s="28"/>
      <c r="L196" s="41">
        <f>(H196-J196)</f>
        <v>19.3</v>
      </c>
      <c r="M196" s="22"/>
      <c r="O196" s="434"/>
    </row>
    <row r="197" spans="3:15" ht="15.75" customHeight="1">
      <c r="C197" s="10" t="s">
        <v>176</v>
      </c>
      <c r="H197" s="52">
        <v>160.283</v>
      </c>
      <c r="I197" s="22"/>
      <c r="J197" s="48" t="s">
        <v>716</v>
      </c>
      <c r="K197" s="28"/>
      <c r="L197" s="41">
        <f>(H197-J197)</f>
        <v>160.283</v>
      </c>
      <c r="M197" s="22"/>
      <c r="O197" s="434"/>
    </row>
    <row r="198" spans="3:15" ht="15.75" customHeight="1">
      <c r="C198" s="10" t="s">
        <v>152</v>
      </c>
      <c r="H198" s="52"/>
      <c r="I198" s="22"/>
      <c r="J198" s="48"/>
      <c r="K198" s="28"/>
      <c r="L198" s="41"/>
      <c r="M198" s="22"/>
      <c r="O198" s="434"/>
    </row>
    <row r="199" spans="3:15" ht="15.75" customHeight="1">
      <c r="C199" s="10" t="s">
        <v>177</v>
      </c>
      <c r="H199" s="52">
        <v>3</v>
      </c>
      <c r="I199" s="22"/>
      <c r="J199" s="48" t="s">
        <v>716</v>
      </c>
      <c r="K199" s="28"/>
      <c r="L199" s="41">
        <f>(H199-J199)</f>
        <v>3</v>
      </c>
      <c r="M199" s="22"/>
      <c r="O199" s="434"/>
    </row>
    <row r="200" spans="8:15" ht="15">
      <c r="H200" s="52"/>
      <c r="I200" s="22"/>
      <c r="J200" s="48"/>
      <c r="K200" s="28"/>
      <c r="L200" s="41"/>
      <c r="O200" s="434"/>
    </row>
    <row r="201" spans="3:15" ht="15.75" customHeight="1">
      <c r="C201" s="10" t="s">
        <v>178</v>
      </c>
      <c r="H201" s="41">
        <f>15931.007+14009</f>
        <v>29940.006999999998</v>
      </c>
      <c r="I201" s="22"/>
      <c r="J201" s="41">
        <f>-6320.351-782</f>
        <v>-7102.351</v>
      </c>
      <c r="K201" s="22"/>
      <c r="L201" s="41">
        <f>(H201+J201)</f>
        <v>22837.656</v>
      </c>
      <c r="M201" s="22"/>
      <c r="O201" s="434"/>
    </row>
    <row r="202" spans="3:15" ht="15.75" customHeight="1">
      <c r="C202" s="10" t="s">
        <v>179</v>
      </c>
      <c r="H202" s="41">
        <v>68.019</v>
      </c>
      <c r="I202" s="22"/>
      <c r="J202" s="41">
        <v>-6.051</v>
      </c>
      <c r="K202" s="22"/>
      <c r="L202" s="41">
        <f>(H202+J202)</f>
        <v>61.968</v>
      </c>
      <c r="M202" s="22"/>
      <c r="O202" s="434"/>
    </row>
    <row r="203" spans="3:15" ht="15.75" customHeight="1">
      <c r="C203" s="10" t="s">
        <v>153</v>
      </c>
      <c r="H203" s="41"/>
      <c r="I203" s="22"/>
      <c r="J203" s="48"/>
      <c r="K203" s="28"/>
      <c r="L203" s="41"/>
      <c r="M203" s="22"/>
      <c r="O203" s="434"/>
    </row>
    <row r="204" spans="3:15" ht="15.75" customHeight="1">
      <c r="C204" s="10" t="s">
        <v>174</v>
      </c>
      <c r="H204" s="41">
        <v>50.758</v>
      </c>
      <c r="I204" s="22"/>
      <c r="J204" s="48" t="s">
        <v>716</v>
      </c>
      <c r="K204" s="28"/>
      <c r="L204" s="41">
        <f>(H204+J204)</f>
        <v>50.758</v>
      </c>
      <c r="M204" s="22"/>
      <c r="O204" s="434"/>
    </row>
    <row r="205" spans="3:15" ht="15.75" customHeight="1">
      <c r="C205" s="10" t="s">
        <v>154</v>
      </c>
      <c r="H205" s="41"/>
      <c r="I205" s="22"/>
      <c r="J205" s="48"/>
      <c r="K205" s="28"/>
      <c r="L205" s="41"/>
      <c r="M205" s="22"/>
      <c r="O205" s="434"/>
    </row>
    <row r="206" spans="3:15" ht="15.75" customHeight="1">
      <c r="C206" s="10" t="s">
        <v>110</v>
      </c>
      <c r="H206" s="52">
        <v>5.145</v>
      </c>
      <c r="I206" s="22"/>
      <c r="J206" s="48" t="s">
        <v>716</v>
      </c>
      <c r="K206" s="28"/>
      <c r="L206" s="41">
        <f>(H206+J206)</f>
        <v>5.145</v>
      </c>
      <c r="M206" s="22"/>
      <c r="O206" s="434"/>
    </row>
    <row r="207" spans="3:15" ht="15.75" customHeight="1">
      <c r="C207" s="10" t="s">
        <v>464</v>
      </c>
      <c r="H207" s="41">
        <v>13.739</v>
      </c>
      <c r="I207" s="22"/>
      <c r="J207" s="48" t="s">
        <v>716</v>
      </c>
      <c r="K207" s="28"/>
      <c r="L207" s="41">
        <f>(H207+J207)</f>
        <v>13.739</v>
      </c>
      <c r="M207" s="22"/>
      <c r="O207" s="434"/>
    </row>
    <row r="208" spans="3:15" ht="15.75" customHeight="1">
      <c r="C208" s="10" t="s">
        <v>155</v>
      </c>
      <c r="H208" s="41">
        <v>4.082</v>
      </c>
      <c r="I208" s="22"/>
      <c r="J208" s="52" t="s">
        <v>37</v>
      </c>
      <c r="K208" s="28"/>
      <c r="L208" s="41">
        <f>(H208+J208)</f>
        <v>4.082</v>
      </c>
      <c r="M208" s="22"/>
      <c r="O208" s="434"/>
    </row>
    <row r="209" spans="3:15" ht="15.75" customHeight="1">
      <c r="C209" s="10" t="s">
        <v>111</v>
      </c>
      <c r="H209" s="41">
        <v>18.987</v>
      </c>
      <c r="I209" s="22"/>
      <c r="J209" s="48" t="s">
        <v>716</v>
      </c>
      <c r="K209" s="28"/>
      <c r="L209" s="41">
        <f>(H209-J209)</f>
        <v>18.987</v>
      </c>
      <c r="M209" s="22"/>
      <c r="O209" s="434"/>
    </row>
    <row r="210" spans="8:15" ht="15.75" customHeight="1">
      <c r="H210" s="41"/>
      <c r="I210" s="22"/>
      <c r="J210" s="41"/>
      <c r="K210" s="22"/>
      <c r="L210" s="41"/>
      <c r="M210" s="22"/>
      <c r="O210" s="434"/>
    </row>
    <row r="211" spans="3:15" ht="15.75" customHeight="1">
      <c r="C211" s="10" t="s">
        <v>156</v>
      </c>
      <c r="H211" s="41">
        <f>10987.961+73.706</f>
        <v>11061.667</v>
      </c>
      <c r="I211" s="22"/>
      <c r="J211" s="48" t="s">
        <v>716</v>
      </c>
      <c r="K211" s="28"/>
      <c r="L211" s="41">
        <f>(H211+J211)</f>
        <v>11061.667</v>
      </c>
      <c r="M211" s="22"/>
      <c r="O211" s="434"/>
    </row>
    <row r="212" spans="3:15" ht="15.75" customHeight="1">
      <c r="C212" s="10" t="s">
        <v>157</v>
      </c>
      <c r="H212" s="41"/>
      <c r="I212" s="22"/>
      <c r="J212" s="41"/>
      <c r="K212" s="22"/>
      <c r="L212" s="41"/>
      <c r="M212" s="22"/>
      <c r="O212" s="434"/>
    </row>
    <row r="213" spans="3:15" ht="15.75" customHeight="1">
      <c r="C213" s="10" t="s">
        <v>113</v>
      </c>
      <c r="H213" s="41">
        <v>12.812</v>
      </c>
      <c r="I213" s="22"/>
      <c r="J213" s="48" t="s">
        <v>716</v>
      </c>
      <c r="K213" s="28"/>
      <c r="L213" s="41">
        <f>(H213-J213)</f>
        <v>12.812</v>
      </c>
      <c r="M213" s="22"/>
      <c r="O213" s="434"/>
    </row>
    <row r="214" spans="3:15" ht="15.75" customHeight="1">
      <c r="C214" s="10" t="s">
        <v>543</v>
      </c>
      <c r="H214" s="41">
        <v>218.919</v>
      </c>
      <c r="I214" s="22"/>
      <c r="J214" s="48" t="s">
        <v>716</v>
      </c>
      <c r="K214" s="28"/>
      <c r="L214" s="41">
        <f>(H214-J214)</f>
        <v>218.919</v>
      </c>
      <c r="M214" s="22"/>
      <c r="O214" s="434"/>
    </row>
    <row r="215" spans="3:15" ht="15.75" customHeight="1">
      <c r="C215" s="10" t="s">
        <v>160</v>
      </c>
      <c r="H215" s="52">
        <v>5.168</v>
      </c>
      <c r="I215" s="22"/>
      <c r="J215" s="48" t="s">
        <v>716</v>
      </c>
      <c r="K215" s="28"/>
      <c r="L215" s="41">
        <f>(H215-J215)</f>
        <v>5.168</v>
      </c>
      <c r="M215" s="22"/>
      <c r="O215" s="434"/>
    </row>
    <row r="216" spans="3:15" ht="15.75" customHeight="1">
      <c r="C216" s="10" t="s">
        <v>115</v>
      </c>
      <c r="H216" s="41">
        <v>4284.025</v>
      </c>
      <c r="I216" s="22"/>
      <c r="J216" s="41">
        <v>-2043.012</v>
      </c>
      <c r="K216" s="22"/>
      <c r="L216" s="41">
        <f>(H216+J216)</f>
        <v>2241.013</v>
      </c>
      <c r="M216" s="22"/>
      <c r="O216" s="434"/>
    </row>
    <row r="217" spans="3:15" ht="15.75" customHeight="1">
      <c r="C217" s="10" t="s">
        <v>697</v>
      </c>
      <c r="H217" s="52">
        <v>30.893</v>
      </c>
      <c r="I217" s="22"/>
      <c r="J217" s="48" t="s">
        <v>716</v>
      </c>
      <c r="K217" s="28"/>
      <c r="L217" s="41">
        <f>(H217+J217)</f>
        <v>30.893</v>
      </c>
      <c r="M217" s="22"/>
      <c r="O217" s="434"/>
    </row>
    <row r="218" spans="3:15" ht="15.75" customHeight="1">
      <c r="C218" s="10" t="s">
        <v>116</v>
      </c>
      <c r="H218" s="52">
        <v>39.705</v>
      </c>
      <c r="I218" s="22"/>
      <c r="J218" s="48" t="s">
        <v>716</v>
      </c>
      <c r="K218" s="28"/>
      <c r="L218" s="41">
        <f>(H218+J218)</f>
        <v>39.705</v>
      </c>
      <c r="M218" s="22" t="s">
        <v>672</v>
      </c>
      <c r="O218" s="434"/>
    </row>
    <row r="219" spans="3:15" ht="15.75" customHeight="1">
      <c r="C219" s="10"/>
      <c r="H219" s="41"/>
      <c r="I219" s="22"/>
      <c r="J219" s="48"/>
      <c r="K219" s="28"/>
      <c r="L219" s="41"/>
      <c r="M219" s="22"/>
      <c r="O219" s="434"/>
    </row>
    <row r="220" spans="3:15" ht="15.75" customHeight="1">
      <c r="C220" s="10" t="s">
        <v>163</v>
      </c>
      <c r="H220" s="41">
        <v>6.992</v>
      </c>
      <c r="I220" s="22"/>
      <c r="J220" s="48" t="s">
        <v>716</v>
      </c>
      <c r="K220" s="28"/>
      <c r="L220" s="41">
        <f>(H220+J220)</f>
        <v>6.992</v>
      </c>
      <c r="M220" s="22"/>
      <c r="O220" s="434"/>
    </row>
    <row r="221" spans="3:15" ht="15.75" customHeight="1">
      <c r="C221" s="10" t="s">
        <v>166</v>
      </c>
      <c r="H221" s="41">
        <v>125.216</v>
      </c>
      <c r="I221" s="22"/>
      <c r="J221" s="48" t="s">
        <v>716</v>
      </c>
      <c r="K221" s="28"/>
      <c r="L221" s="41">
        <f>(H221+J221)</f>
        <v>125.216</v>
      </c>
      <c r="M221" s="22"/>
      <c r="O221" s="434"/>
    </row>
    <row r="222" spans="3:15" ht="15.75" customHeight="1">
      <c r="C222" s="10" t="s">
        <v>45</v>
      </c>
      <c r="H222" s="41">
        <v>4.415</v>
      </c>
      <c r="I222" s="22"/>
      <c r="J222" s="48" t="s">
        <v>716</v>
      </c>
      <c r="K222" s="28"/>
      <c r="L222" s="41">
        <f>(H222+J222)</f>
        <v>4.415</v>
      </c>
      <c r="M222" s="22"/>
      <c r="O222" s="434"/>
    </row>
    <row r="223" spans="3:15" ht="15.75" customHeight="1">
      <c r="C223" s="10" t="s">
        <v>167</v>
      </c>
      <c r="H223" s="41">
        <v>62.566</v>
      </c>
      <c r="I223" s="22"/>
      <c r="J223" s="41">
        <v>-0.575</v>
      </c>
      <c r="K223" s="22"/>
      <c r="L223" s="41">
        <f>(H223+J223)</f>
        <v>61.991</v>
      </c>
      <c r="M223" s="22"/>
      <c r="O223" s="434"/>
    </row>
    <row r="224" spans="3:15" ht="15.75" customHeight="1">
      <c r="C224" s="10" t="s">
        <v>56</v>
      </c>
      <c r="H224" s="41">
        <v>0.715</v>
      </c>
      <c r="I224" s="22"/>
      <c r="J224" s="52" t="s">
        <v>716</v>
      </c>
      <c r="K224" s="22"/>
      <c r="L224" s="41">
        <f>(H224+J224)</f>
        <v>0.715</v>
      </c>
      <c r="M224" s="22"/>
      <c r="O224" s="434"/>
    </row>
    <row r="225" spans="3:15" ht="15.75" customHeight="1">
      <c r="C225" s="10"/>
      <c r="H225" s="41"/>
      <c r="I225" s="22"/>
      <c r="J225" s="41"/>
      <c r="K225" s="22"/>
      <c r="L225" s="41" t="s">
        <v>672</v>
      </c>
      <c r="M225" s="22"/>
      <c r="O225" s="434"/>
    </row>
    <row r="226" spans="3:15" ht="15.75" customHeight="1">
      <c r="C226" s="10" t="s">
        <v>689</v>
      </c>
      <c r="H226" s="52" t="s">
        <v>3</v>
      </c>
      <c r="I226" s="22"/>
      <c r="J226" s="48" t="s">
        <v>716</v>
      </c>
      <c r="K226" s="28"/>
      <c r="L226" s="52" t="s">
        <v>3</v>
      </c>
      <c r="M226" s="22"/>
      <c r="O226" s="434"/>
    </row>
    <row r="227" spans="3:15" ht="15.75" customHeight="1">
      <c r="C227" s="10" t="s">
        <v>184</v>
      </c>
      <c r="H227" s="41">
        <v>96942.006</v>
      </c>
      <c r="I227" s="22"/>
      <c r="J227" s="52">
        <v>-11001.379</v>
      </c>
      <c r="K227" s="28"/>
      <c r="L227" s="41">
        <f>(H227+J227)</f>
        <v>85940.627</v>
      </c>
      <c r="M227" s="22"/>
      <c r="O227" s="434"/>
    </row>
    <row r="228" spans="3:15" ht="15.75" customHeight="1">
      <c r="C228" s="10" t="s">
        <v>103</v>
      </c>
      <c r="H228" s="41">
        <v>1267.968</v>
      </c>
      <c r="I228" s="22"/>
      <c r="J228" s="48" t="s">
        <v>716</v>
      </c>
      <c r="K228" s="28"/>
      <c r="L228" s="41">
        <f>(H228+J228)</f>
        <v>1267.968</v>
      </c>
      <c r="M228" s="22"/>
      <c r="O228" s="434"/>
    </row>
    <row r="229" spans="3:15" ht="15.75" customHeight="1">
      <c r="C229" s="10" t="s">
        <v>169</v>
      </c>
      <c r="H229" s="41">
        <v>137.401</v>
      </c>
      <c r="I229" s="22"/>
      <c r="J229" s="41">
        <v>-65.942</v>
      </c>
      <c r="K229" s="28"/>
      <c r="L229" s="41">
        <f>(H229+J229)</f>
        <v>71.45900000000002</v>
      </c>
      <c r="M229" s="22"/>
      <c r="O229" s="434"/>
    </row>
    <row r="230" spans="3:15" ht="15.75" customHeight="1">
      <c r="C230" s="10" t="s">
        <v>170</v>
      </c>
      <c r="H230" s="41">
        <v>7.832</v>
      </c>
      <c r="I230" s="22"/>
      <c r="J230" s="41">
        <v>-0.757</v>
      </c>
      <c r="K230" s="28"/>
      <c r="L230" s="41">
        <f>(H230+J230)</f>
        <v>7.075</v>
      </c>
      <c r="M230" s="22"/>
      <c r="O230" s="434"/>
    </row>
    <row r="231" spans="3:15" ht="15.75" customHeight="1">
      <c r="C231" s="10" t="s">
        <v>171</v>
      </c>
      <c r="H231" s="41">
        <v>126.423</v>
      </c>
      <c r="I231" s="22"/>
      <c r="J231" s="48" t="s">
        <v>716</v>
      </c>
      <c r="K231" s="28"/>
      <c r="L231" s="41">
        <f>(H231-J231)</f>
        <v>126.423</v>
      </c>
      <c r="M231" s="22"/>
      <c r="O231" s="434"/>
    </row>
    <row r="232" spans="3:15" ht="15.75" customHeight="1">
      <c r="C232" s="10" t="s">
        <v>172</v>
      </c>
      <c r="H232" s="41">
        <v>2532.115</v>
      </c>
      <c r="I232" s="22"/>
      <c r="J232" s="48" t="s">
        <v>716</v>
      </c>
      <c r="K232" s="28"/>
      <c r="L232" s="41">
        <f>(H232-J232)</f>
        <v>2532.115</v>
      </c>
      <c r="M232" s="22"/>
      <c r="O232" s="434"/>
    </row>
    <row r="233" spans="3:15" ht="15.75" customHeight="1">
      <c r="C233" s="10" t="s">
        <v>182</v>
      </c>
      <c r="H233" s="41">
        <v>122.314</v>
      </c>
      <c r="I233" s="22"/>
      <c r="J233" s="48" t="s">
        <v>716</v>
      </c>
      <c r="K233" s="28"/>
      <c r="L233" s="41">
        <f>(H233-J233)</f>
        <v>122.314</v>
      </c>
      <c r="M233" s="22"/>
      <c r="O233" s="434"/>
    </row>
    <row r="234" spans="8:15" ht="15.75" customHeight="1">
      <c r="H234" s="41"/>
      <c r="I234" s="22"/>
      <c r="J234" s="41"/>
      <c r="K234" s="22"/>
      <c r="L234" s="41"/>
      <c r="M234" s="22"/>
      <c r="O234" s="434"/>
    </row>
    <row r="235" spans="3:15" ht="15.75" customHeight="1">
      <c r="C235" s="10" t="s">
        <v>185</v>
      </c>
      <c r="H235" s="41">
        <v>1633.901</v>
      </c>
      <c r="I235" s="22"/>
      <c r="J235" s="48" t="s">
        <v>716</v>
      </c>
      <c r="K235" s="28"/>
      <c r="L235" s="41">
        <f>(H235+J235)</f>
        <v>1633.901</v>
      </c>
      <c r="M235" s="22"/>
      <c r="O235" s="434"/>
    </row>
    <row r="236" spans="3:15" ht="15.75" customHeight="1">
      <c r="C236" s="10" t="s">
        <v>186</v>
      </c>
      <c r="H236" s="41">
        <v>935.825</v>
      </c>
      <c r="I236" s="22"/>
      <c r="J236" s="52">
        <v>-435.77</v>
      </c>
      <c r="K236" s="28"/>
      <c r="L236" s="41">
        <f>(H236+J236)</f>
        <v>500.05500000000006</v>
      </c>
      <c r="M236" s="22"/>
      <c r="O236" s="434"/>
    </row>
    <row r="237" spans="3:15" ht="15.75" customHeight="1">
      <c r="C237" s="180" t="s">
        <v>187</v>
      </c>
      <c r="H237" s="41"/>
      <c r="I237" s="22"/>
      <c r="J237" s="48"/>
      <c r="K237" s="28"/>
      <c r="L237" s="41"/>
      <c r="M237" s="22"/>
      <c r="O237" s="434"/>
    </row>
    <row r="238" spans="3:15" ht="15.75" customHeight="1">
      <c r="C238" s="10" t="s">
        <v>188</v>
      </c>
      <c r="H238" s="41">
        <v>3112.896</v>
      </c>
      <c r="I238" s="22"/>
      <c r="J238" s="52">
        <v>-1371.488</v>
      </c>
      <c r="K238" s="28"/>
      <c r="L238" s="41">
        <f>(H238+J238)</f>
        <v>1741.4080000000001</v>
      </c>
      <c r="M238" s="22"/>
      <c r="O238" s="434"/>
    </row>
    <row r="239" spans="3:15" ht="15.75" customHeight="1">
      <c r="C239" s="180" t="s">
        <v>189</v>
      </c>
      <c r="H239" s="52" t="s">
        <v>3</v>
      </c>
      <c r="I239" s="22"/>
      <c r="J239" s="48" t="s">
        <v>716</v>
      </c>
      <c r="K239" s="28"/>
      <c r="L239" s="52" t="s">
        <v>3</v>
      </c>
      <c r="M239" s="22" t="s">
        <v>672</v>
      </c>
      <c r="O239" s="434"/>
    </row>
    <row r="240" spans="3:15" ht="15.75" customHeight="1">
      <c r="C240" s="180" t="s">
        <v>190</v>
      </c>
      <c r="H240" s="41">
        <v>920.323</v>
      </c>
      <c r="I240" s="22"/>
      <c r="J240" s="52">
        <v>-13</v>
      </c>
      <c r="K240" s="28"/>
      <c r="L240" s="41">
        <f>(H240+J240)</f>
        <v>907.323</v>
      </c>
      <c r="M240" s="22"/>
      <c r="O240" s="434"/>
    </row>
    <row r="241" spans="3:15" ht="15.75" customHeight="1">
      <c r="C241" s="10"/>
      <c r="H241" s="41"/>
      <c r="I241" s="22"/>
      <c r="J241" s="48"/>
      <c r="K241" s="28"/>
      <c r="L241" s="41"/>
      <c r="M241" s="22"/>
      <c r="O241" s="434"/>
    </row>
    <row r="242" spans="3:15" ht="15.75" customHeight="1">
      <c r="C242" s="10" t="s">
        <v>191</v>
      </c>
      <c r="H242" s="41">
        <v>31</v>
      </c>
      <c r="I242" s="22"/>
      <c r="J242" s="48" t="s">
        <v>716</v>
      </c>
      <c r="K242" s="28"/>
      <c r="L242" s="41">
        <f>(H242-J242)</f>
        <v>31</v>
      </c>
      <c r="M242" s="22"/>
      <c r="O242" s="434"/>
    </row>
    <row r="243" spans="2:13" ht="15.75" customHeight="1">
      <c r="B243" s="10" t="s">
        <v>136</v>
      </c>
      <c r="H243" s="57">
        <f>SUM(H38:H242)+2</f>
        <v>2832248.2750000013</v>
      </c>
      <c r="I243" s="327"/>
      <c r="J243" s="57">
        <f>SUM(J38:J242)-1</f>
        <v>-514586.25</v>
      </c>
      <c r="K243" s="327"/>
      <c r="L243" s="57">
        <f>SUM(L38:L242)</f>
        <v>2317661.024999999</v>
      </c>
      <c r="M243" s="327"/>
    </row>
    <row r="244" spans="3:13" ht="15.75" customHeight="1">
      <c r="C244" s="10"/>
      <c r="H244" s="424" t="s">
        <v>672</v>
      </c>
      <c r="I244" s="425"/>
      <c r="J244" s="426"/>
      <c r="K244" s="427"/>
      <c r="L244" s="424"/>
      <c r="M244" s="425"/>
    </row>
    <row r="245" spans="2:13" ht="15.75" customHeight="1">
      <c r="B245" s="86"/>
      <c r="C245" s="10"/>
      <c r="H245" s="428"/>
      <c r="I245" s="429"/>
      <c r="J245" s="428"/>
      <c r="K245" s="430"/>
      <c r="L245" s="428"/>
      <c r="M245" s="429"/>
    </row>
    <row r="246" spans="2:13" ht="15.75" customHeight="1" thickBot="1">
      <c r="B246" s="86" t="s">
        <v>635</v>
      </c>
      <c r="C246" s="10"/>
      <c r="H246" s="356">
        <f>H35+H243</f>
        <v>2868712.195000001</v>
      </c>
      <c r="I246" s="422"/>
      <c r="J246" s="356">
        <f>J35+J243-1</f>
        <v>-514713.382</v>
      </c>
      <c r="K246" s="423"/>
      <c r="L246" s="356">
        <f>L35+L243+1</f>
        <v>2353999.812999999</v>
      </c>
      <c r="M246" s="422"/>
    </row>
    <row r="247" spans="2:13" ht="15.75" customHeight="1" thickTop="1">
      <c r="B247" s="86"/>
      <c r="C247" s="10"/>
      <c r="H247" s="404"/>
      <c r="I247" s="404"/>
      <c r="J247" s="404"/>
      <c r="K247" s="405"/>
      <c r="L247" s="406"/>
      <c r="M247" s="404"/>
    </row>
    <row r="248" spans="1:13" ht="18">
      <c r="A248" s="189" t="s">
        <v>650</v>
      </c>
      <c r="B248" s="189"/>
      <c r="C248" s="190"/>
      <c r="D248" s="190"/>
      <c r="E248" s="74"/>
      <c r="F248" s="74"/>
      <c r="G248" s="74"/>
      <c r="H248" s="74"/>
      <c r="I248" s="74"/>
      <c r="J248" s="74"/>
      <c r="K248" s="74"/>
      <c r="L248" s="421"/>
      <c r="M248" s="74"/>
    </row>
    <row r="249" spans="1:13" ht="15">
      <c r="A249" s="89"/>
      <c r="B249" s="191" t="s">
        <v>693</v>
      </c>
      <c r="C249" s="89"/>
      <c r="D249" s="89"/>
      <c r="E249" s="89"/>
      <c r="F249" s="89"/>
      <c r="G249" s="89"/>
      <c r="H249" s="431"/>
      <c r="I249" s="89"/>
      <c r="J249" s="89"/>
      <c r="K249" s="89"/>
      <c r="L249" s="93"/>
      <c r="M249" s="89"/>
    </row>
    <row r="250" spans="1:13" ht="15.75" customHeight="1">
      <c r="A250" s="89"/>
      <c r="B250" s="89"/>
      <c r="C250" s="191" t="s">
        <v>197</v>
      </c>
      <c r="D250" s="89"/>
      <c r="E250" s="89"/>
      <c r="F250" s="89"/>
      <c r="G250" s="89"/>
      <c r="H250" s="89"/>
      <c r="I250" s="89"/>
      <c r="J250" s="89"/>
      <c r="K250" s="241">
        <v>15</v>
      </c>
      <c r="L250" s="193">
        <v>265.047</v>
      </c>
      <c r="M250" s="89"/>
    </row>
    <row r="251" spans="1:13" ht="15.75" customHeight="1">
      <c r="A251" s="89"/>
      <c r="B251" s="89"/>
      <c r="C251" s="191" t="s">
        <v>218</v>
      </c>
      <c r="D251" s="89"/>
      <c r="E251" s="89"/>
      <c r="F251" s="89"/>
      <c r="G251" s="89"/>
      <c r="H251" s="89"/>
      <c r="I251" s="89"/>
      <c r="J251" s="89"/>
      <c r="K251" s="241">
        <v>16</v>
      </c>
      <c r="L251" s="193">
        <v>65.302</v>
      </c>
      <c r="M251" s="89"/>
    </row>
    <row r="252" spans="1:13" ht="15.75" customHeight="1">
      <c r="A252" s="89"/>
      <c r="B252" s="89"/>
      <c r="C252" s="191" t="s">
        <v>219</v>
      </c>
      <c r="D252" s="89"/>
      <c r="E252" s="89"/>
      <c r="F252" s="89"/>
      <c r="G252" s="89"/>
      <c r="H252" s="89"/>
      <c r="I252" s="89"/>
      <c r="J252" s="89"/>
      <c r="K252" s="241">
        <v>17</v>
      </c>
      <c r="L252" s="193">
        <v>182.856</v>
      </c>
      <c r="M252" s="89"/>
    </row>
    <row r="253" spans="1:13" ht="15.75" customHeight="1">
      <c r="A253" s="89"/>
      <c r="B253" s="89"/>
      <c r="C253" s="191" t="s">
        <v>467</v>
      </c>
      <c r="D253" s="89"/>
      <c r="E253" s="89"/>
      <c r="F253" s="89"/>
      <c r="G253" s="89"/>
      <c r="H253" s="89"/>
      <c r="I253" s="89"/>
      <c r="J253" s="89"/>
      <c r="K253" s="194"/>
      <c r="L253" s="193">
        <f>L254-L252-L251-L250</f>
        <v>11.45799999999997</v>
      </c>
      <c r="M253" s="89"/>
    </row>
    <row r="254" spans="1:13" ht="18" customHeight="1" thickBot="1">
      <c r="A254" s="89"/>
      <c r="B254" s="191" t="s">
        <v>151</v>
      </c>
      <c r="C254" s="89"/>
      <c r="D254" s="89"/>
      <c r="E254" s="89"/>
      <c r="F254" s="89"/>
      <c r="G254" s="89"/>
      <c r="H254" s="89"/>
      <c r="I254" s="89"/>
      <c r="J254" s="89"/>
      <c r="K254" s="89"/>
      <c r="L254" s="195">
        <v>524.663</v>
      </c>
      <c r="M254" s="196"/>
    </row>
    <row r="255" spans="1:13" ht="16.5" customHeight="1" thickTop="1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193"/>
      <c r="M255" s="162"/>
    </row>
    <row r="256" spans="1:13" ht="18" customHeight="1">
      <c r="A256" s="89"/>
      <c r="B256" s="191" t="s">
        <v>478</v>
      </c>
      <c r="C256" s="89"/>
      <c r="D256" s="89"/>
      <c r="E256" s="89"/>
      <c r="F256" s="89"/>
      <c r="G256" s="89"/>
      <c r="H256" s="89"/>
      <c r="I256" s="89"/>
      <c r="J256" s="89"/>
      <c r="K256" s="89"/>
      <c r="L256" s="193"/>
      <c r="M256" s="89"/>
    </row>
    <row r="257" spans="1:13" ht="15.75" customHeight="1">
      <c r="A257" s="89"/>
      <c r="B257" s="89"/>
      <c r="C257" s="191" t="s">
        <v>469</v>
      </c>
      <c r="D257" s="89"/>
      <c r="E257" s="89"/>
      <c r="F257" s="89"/>
      <c r="G257" s="89"/>
      <c r="H257" s="89"/>
      <c r="I257" s="89"/>
      <c r="J257" s="89"/>
      <c r="K257" s="241" t="s">
        <v>824</v>
      </c>
      <c r="L257" s="193">
        <v>2496.374</v>
      </c>
      <c r="M257" s="89"/>
    </row>
    <row r="258" spans="1:13" ht="15.75" customHeight="1">
      <c r="A258" s="89"/>
      <c r="B258" s="89"/>
      <c r="C258" s="191" t="s">
        <v>470</v>
      </c>
      <c r="D258" s="89"/>
      <c r="E258" s="89"/>
      <c r="F258" s="89"/>
      <c r="G258" s="89"/>
      <c r="H258" s="89"/>
      <c r="I258" s="89"/>
      <c r="J258" s="89"/>
      <c r="K258" s="194"/>
      <c r="L258" s="193">
        <v>45.067</v>
      </c>
      <c r="M258" s="89"/>
    </row>
    <row r="259" spans="1:13" ht="15.75" customHeight="1">
      <c r="A259" s="89"/>
      <c r="B259" s="89"/>
      <c r="C259" s="191" t="s">
        <v>467</v>
      </c>
      <c r="D259" s="89"/>
      <c r="E259" s="89"/>
      <c r="F259" s="89"/>
      <c r="G259" s="89"/>
      <c r="H259" s="89"/>
      <c r="I259" s="89"/>
      <c r="J259" s="89"/>
      <c r="K259" s="241"/>
      <c r="L259" s="193">
        <f>+L260-L257-L258</f>
        <v>6.399000000000349</v>
      </c>
      <c r="M259" s="89"/>
    </row>
    <row r="260" spans="1:13" ht="18" customHeight="1" thickBot="1">
      <c r="A260" s="89"/>
      <c r="B260" s="191" t="s">
        <v>148</v>
      </c>
      <c r="C260" s="89"/>
      <c r="D260" s="89"/>
      <c r="E260" s="89"/>
      <c r="F260" s="89"/>
      <c r="G260" s="89"/>
      <c r="H260" s="89"/>
      <c r="I260" s="89"/>
      <c r="J260" s="89"/>
      <c r="K260" s="194"/>
      <c r="L260" s="195">
        <v>2547.84</v>
      </c>
      <c r="M260" s="196"/>
    </row>
    <row r="261" spans="1:13" ht="21" customHeight="1" thickBot="1" thickTop="1">
      <c r="A261" s="189" t="s">
        <v>651</v>
      </c>
      <c r="B261" s="189"/>
      <c r="C261" s="190"/>
      <c r="D261" s="190"/>
      <c r="E261" s="270"/>
      <c r="F261" s="270"/>
      <c r="G261" s="270"/>
      <c r="H261" s="270"/>
      <c r="I261" s="270"/>
      <c r="J261" s="270"/>
      <c r="K261" s="360"/>
      <c r="L261" s="145">
        <f>+L254+L260</f>
        <v>3072.503</v>
      </c>
      <c r="M261" s="56"/>
    </row>
    <row r="262" spans="3:13" ht="15.75" customHeight="1" thickTop="1">
      <c r="C262" s="10"/>
      <c r="G262" s="74"/>
      <c r="H262" s="141"/>
      <c r="I262" s="141"/>
      <c r="J262" s="142"/>
      <c r="K262" s="28"/>
      <c r="L262" s="41"/>
      <c r="M262" s="22"/>
    </row>
    <row r="263" spans="1:13" ht="21" customHeight="1" thickBot="1">
      <c r="A263" s="24" t="s">
        <v>475</v>
      </c>
      <c r="B263" s="24"/>
      <c r="H263" s="151"/>
      <c r="I263" s="141"/>
      <c r="J263" s="151"/>
      <c r="K263" s="361"/>
      <c r="L263" s="145">
        <f>SUM(L246,L261,Nonmarketable!O20,Nonmarketable!O41,Nonmarketable!O46,Nonmarketable!O58,Nonmarketable!O77)</f>
        <v>2746601.948999999</v>
      </c>
      <c r="M263" s="249"/>
    </row>
    <row r="264" spans="3:13" ht="15.75" customHeight="1" thickTop="1">
      <c r="C264" s="10"/>
      <c r="G264" s="74"/>
      <c r="H264" s="141"/>
      <c r="I264" s="141"/>
      <c r="J264" s="142"/>
      <c r="K264" s="28"/>
      <c r="L264" s="363"/>
      <c r="M264" s="22"/>
    </row>
    <row r="265" spans="1:13" ht="24.75" customHeight="1" thickBot="1">
      <c r="A265" s="62" t="s">
        <v>58</v>
      </c>
      <c r="B265" s="62"/>
      <c r="C265" s="63"/>
      <c r="D265" s="63"/>
      <c r="E265" s="61"/>
      <c r="F265" s="61"/>
      <c r="G265" s="61"/>
      <c r="H265" s="61"/>
      <c r="I265" s="61"/>
      <c r="J265" s="61"/>
      <c r="K265" s="61"/>
      <c r="L265" s="362">
        <f>SUM(Marketable!O310,L263)-1</f>
        <v>5735859.306</v>
      </c>
      <c r="M265" s="70"/>
    </row>
    <row r="266" spans="1:13" ht="15.75" customHeight="1" thickTop="1">
      <c r="A266" s="269"/>
      <c r="B266" s="269"/>
      <c r="C266" s="187"/>
      <c r="D266" s="187"/>
      <c r="E266" s="270"/>
      <c r="F266" s="270"/>
      <c r="G266" s="270"/>
      <c r="H266" s="270"/>
      <c r="I266" s="270"/>
      <c r="J266" s="270"/>
      <c r="K266" s="270"/>
      <c r="L266" s="271"/>
      <c r="M266" s="110"/>
    </row>
    <row r="267" spans="1:13" ht="15.75" customHeight="1">
      <c r="A267" s="269"/>
      <c r="B267" s="269"/>
      <c r="C267" s="187"/>
      <c r="D267" s="187"/>
      <c r="E267" s="270"/>
      <c r="F267" s="270"/>
      <c r="G267" s="270"/>
      <c r="H267" s="270"/>
      <c r="I267" s="270"/>
      <c r="J267" s="270"/>
      <c r="K267" s="270"/>
      <c r="L267" s="271"/>
      <c r="M267" s="110"/>
    </row>
    <row r="268" spans="1:13" ht="15.75" customHeight="1">
      <c r="A268" s="269"/>
      <c r="B268" s="269"/>
      <c r="C268" s="187"/>
      <c r="D268" s="187"/>
      <c r="E268" s="270"/>
      <c r="F268" s="270"/>
      <c r="G268" s="270"/>
      <c r="H268" s="270"/>
      <c r="I268" s="270"/>
      <c r="J268" s="270"/>
      <c r="K268" s="270"/>
      <c r="L268" s="271"/>
      <c r="M268" s="110"/>
    </row>
    <row r="269" spans="1:13" ht="15.75" customHeight="1">
      <c r="A269" s="269"/>
      <c r="B269" s="269"/>
      <c r="C269" s="187"/>
      <c r="D269" s="187"/>
      <c r="E269" s="270"/>
      <c r="F269" s="270"/>
      <c r="G269" s="270"/>
      <c r="H269" s="270"/>
      <c r="I269" s="270"/>
      <c r="J269" s="270"/>
      <c r="K269" s="270"/>
      <c r="L269" s="271"/>
      <c r="M269" s="110"/>
    </row>
    <row r="270" spans="1:13" s="113" customFormat="1" ht="15.75" customHeight="1" thickBot="1">
      <c r="A270" s="272"/>
      <c r="B270" s="272"/>
      <c r="C270" s="273"/>
      <c r="D270" s="273"/>
      <c r="E270" s="274"/>
      <c r="F270" s="274"/>
      <c r="G270" s="274"/>
      <c r="H270" s="274"/>
      <c r="I270" s="274"/>
      <c r="J270" s="274"/>
      <c r="K270" s="274"/>
      <c r="L270" s="275"/>
      <c r="M270" s="176"/>
    </row>
    <row r="271" spans="1:13" ht="16.5" customHeight="1" thickTop="1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162"/>
      <c r="L271" s="264"/>
      <c r="M271" s="162"/>
    </row>
    <row r="272" spans="1:13" ht="16.5" customHeight="1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162"/>
      <c r="L272" s="264"/>
      <c r="M272" s="162"/>
    </row>
    <row r="273" spans="1:13" ht="16.5" customHeight="1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162"/>
      <c r="L273" s="264"/>
      <c r="M273" s="162"/>
    </row>
    <row r="274" spans="1:13" ht="16.5" customHeight="1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162"/>
      <c r="L274" s="264"/>
      <c r="M274" s="162"/>
    </row>
    <row r="275" spans="1:13" ht="16.5" customHeight="1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162"/>
      <c r="L275" s="264"/>
      <c r="M275" s="162"/>
    </row>
    <row r="276" spans="1:13" ht="16.5" customHeight="1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162"/>
      <c r="L276" s="264"/>
      <c r="M276" s="162"/>
    </row>
    <row r="277" spans="1:13" ht="16.5" customHeight="1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162"/>
      <c r="L277" s="264"/>
      <c r="M277" s="162"/>
    </row>
    <row r="278" spans="1:13" ht="16.5" customHeight="1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162"/>
      <c r="L278" s="264"/>
      <c r="M278" s="162"/>
    </row>
    <row r="279" spans="1:13" ht="16.5" customHeight="1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162"/>
      <c r="L279" s="264"/>
      <c r="M279" s="162"/>
    </row>
    <row r="280" spans="1:13" ht="16.5" customHeight="1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162"/>
      <c r="L280" s="264"/>
      <c r="M280" s="162"/>
    </row>
    <row r="281" spans="1:13" ht="16.5" customHeight="1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162"/>
      <c r="L281" s="264"/>
      <c r="M281" s="162"/>
    </row>
    <row r="282" spans="1:13" ht="16.5" customHeight="1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162"/>
      <c r="L282" s="264"/>
      <c r="M282" s="162"/>
    </row>
    <row r="283" spans="1:13" ht="16.5" customHeight="1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162"/>
      <c r="L283" s="264"/>
      <c r="M283" s="162"/>
    </row>
    <row r="284" spans="1:13" ht="16.5" customHeight="1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162"/>
      <c r="L284" s="264"/>
      <c r="M284" s="162"/>
    </row>
    <row r="285" spans="1:13" ht="16.5" customHeight="1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162"/>
      <c r="L285" s="264"/>
      <c r="M285" s="162"/>
    </row>
    <row r="287" s="113" customFormat="1" ht="15.75" thickBot="1"/>
    <row r="288" ht="15.75" thickTop="1"/>
  </sheetData>
  <printOptions horizontalCentered="1"/>
  <pageMargins left="0" right="0" top="0.4" bottom="0.25" header="0" footer="0.18"/>
  <pageSetup fitToHeight="3" horizontalDpi="300" verticalDpi="300" orientation="portrait" scale="40" r:id="rId1"/>
  <rowBreaks count="2" manualBreakCount="2">
    <brk id="90" max="12" man="1"/>
    <brk id="181" max="12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05"/>
  <sheetViews>
    <sheetView showGridLines="0" view="pageBreakPreview" zoomScale="87" zoomScaleNormal="75" zoomScaleSheetLayoutView="87" workbookViewId="0" topLeftCell="A189">
      <selection activeCell="C198" sqref="C198"/>
    </sheetView>
  </sheetViews>
  <sheetFormatPr defaultColWidth="9.77734375" defaultRowHeight="15"/>
  <cols>
    <col min="1" max="1" width="12.77734375" style="0" customWidth="1"/>
    <col min="2" max="2" width="6.4453125" style="0" customWidth="1"/>
    <col min="3" max="3" width="11.99609375" style="0" customWidth="1"/>
    <col min="4" max="4" width="11.5546875" style="0" customWidth="1"/>
    <col min="5" max="5" width="13.77734375" style="0" customWidth="1"/>
    <col min="6" max="8" width="18.77734375" style="0" customWidth="1"/>
    <col min="9" max="9" width="15.88671875" style="0" customWidth="1"/>
    <col min="10" max="10" width="3.777343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2" ht="15.75" customHeight="1">
      <c r="A1" s="64" t="s">
        <v>802</v>
      </c>
      <c r="B1" s="2" t="s">
        <v>206</v>
      </c>
      <c r="C1" s="2"/>
      <c r="D1" s="2"/>
      <c r="E1" s="3"/>
      <c r="F1" s="3"/>
      <c r="G1" s="3"/>
      <c r="H1" s="3"/>
      <c r="I1" s="3"/>
      <c r="J1" s="97"/>
      <c r="K1" s="97"/>
      <c r="L1" s="7"/>
    </row>
    <row r="2" spans="1:12" ht="15.75" customHeight="1">
      <c r="A2" s="64"/>
      <c r="B2" s="9" t="s">
        <v>898</v>
      </c>
      <c r="C2" s="2"/>
      <c r="D2" s="2"/>
      <c r="E2" s="3"/>
      <c r="F2" s="3"/>
      <c r="G2" s="3"/>
      <c r="H2" s="3"/>
      <c r="I2" s="3"/>
      <c r="J2" s="97"/>
      <c r="K2" s="97"/>
      <c r="L2" s="7"/>
    </row>
    <row r="3" spans="1:12" ht="15.75" customHeight="1">
      <c r="A3" s="20"/>
      <c r="B3" s="9"/>
      <c r="C3" s="65"/>
      <c r="D3" s="65"/>
      <c r="E3" s="65"/>
      <c r="F3" s="65"/>
      <c r="G3" s="65"/>
      <c r="H3" s="65"/>
      <c r="I3" s="65"/>
      <c r="J3" s="414"/>
      <c r="K3" s="65"/>
      <c r="L3" s="160"/>
    </row>
    <row r="4" spans="1:12" ht="15.75" customHeight="1">
      <c r="A4" s="67"/>
      <c r="B4" s="67"/>
      <c r="C4" s="67"/>
      <c r="D4" s="67"/>
      <c r="E4" s="158"/>
      <c r="F4" s="68"/>
      <c r="G4" s="68"/>
      <c r="H4" s="158"/>
      <c r="I4" s="68"/>
      <c r="J4" s="415"/>
      <c r="K4" s="160"/>
      <c r="L4" s="160"/>
    </row>
    <row r="5" spans="1:12" ht="16.5" customHeight="1">
      <c r="A5" s="3" t="s">
        <v>28</v>
      </c>
      <c r="B5" s="3"/>
      <c r="C5" s="3"/>
      <c r="D5" s="3"/>
      <c r="E5" s="388" t="s">
        <v>24</v>
      </c>
      <c r="F5" s="389">
        <v>36799</v>
      </c>
      <c r="G5" s="388" t="s">
        <v>46</v>
      </c>
      <c r="H5" s="388" t="s">
        <v>47</v>
      </c>
      <c r="I5" s="390" t="s">
        <v>48</v>
      </c>
      <c r="J5" s="3"/>
      <c r="L5" s="65"/>
    </row>
    <row r="6" spans="1:12" ht="15.75" customHeight="1">
      <c r="A6" s="66"/>
      <c r="B6" s="66"/>
      <c r="C6" s="66"/>
      <c r="D6" s="66"/>
      <c r="E6" s="159"/>
      <c r="F6" s="69"/>
      <c r="G6" s="69"/>
      <c r="H6" s="159"/>
      <c r="I6" s="69"/>
      <c r="J6" s="143"/>
      <c r="K6" s="160"/>
      <c r="L6" s="160"/>
    </row>
    <row r="7" spans="1:12" ht="21" customHeight="1">
      <c r="A7" s="407" t="s">
        <v>25</v>
      </c>
      <c r="E7" s="394">
        <f>+Summary!F32</f>
        <v>3402737.980000001</v>
      </c>
      <c r="F7" s="395">
        <v>3439322</v>
      </c>
      <c r="G7" s="395">
        <v>3668380</v>
      </c>
      <c r="H7" s="394">
        <v>3761222</v>
      </c>
      <c r="I7" s="395">
        <v>3814687</v>
      </c>
      <c r="J7" s="396"/>
      <c r="K7" s="160"/>
      <c r="L7" s="20"/>
    </row>
    <row r="8" spans="1:12" ht="21" customHeight="1">
      <c r="A8" s="407" t="s">
        <v>26</v>
      </c>
      <c r="E8" s="393">
        <f>+Summary!I32</f>
        <v>2333122.335999999</v>
      </c>
      <c r="F8" s="393">
        <v>2234857</v>
      </c>
      <c r="G8" s="393">
        <f>1972891+15000</f>
        <v>1987891</v>
      </c>
      <c r="H8" s="393">
        <f>1749971+15000</f>
        <v>1764971</v>
      </c>
      <c r="I8" s="393">
        <f>1583459+15000</f>
        <v>1598459</v>
      </c>
      <c r="J8" s="397"/>
      <c r="K8" s="160"/>
      <c r="L8" s="20"/>
    </row>
    <row r="9" spans="1:12" ht="21" customHeight="1" thickBot="1">
      <c r="A9" s="408" t="s">
        <v>27</v>
      </c>
      <c r="B9" s="391"/>
      <c r="C9" s="391"/>
      <c r="D9" s="391"/>
      <c r="E9" s="392">
        <f>+Summary!L32</f>
        <v>5735859.306</v>
      </c>
      <c r="F9" s="398">
        <f>SUM(F7:F8)-1</f>
        <v>5674178</v>
      </c>
      <c r="G9" s="398">
        <f>SUM(G7:G8)</f>
        <v>5656271</v>
      </c>
      <c r="H9" s="392">
        <f>SUM(H7:H8)</f>
        <v>5526193</v>
      </c>
      <c r="I9" s="398">
        <f>SUM(I7:I8)</f>
        <v>5413146</v>
      </c>
      <c r="J9" s="399"/>
      <c r="K9" s="160"/>
      <c r="L9" s="20"/>
    </row>
    <row r="10" spans="1:12" ht="12.75" customHeight="1" thickTop="1">
      <c r="A10" s="416" t="s">
        <v>49</v>
      </c>
      <c r="B10" s="413"/>
      <c r="C10" s="413"/>
      <c r="D10" s="413"/>
      <c r="E10" s="413"/>
      <c r="F10" s="413"/>
      <c r="G10" s="465"/>
      <c r="H10" s="465"/>
      <c r="I10" s="465"/>
      <c r="J10" s="465"/>
      <c r="L10" s="20"/>
    </row>
    <row r="11" spans="1:13" ht="28.5" customHeight="1" thickBot="1">
      <c r="A11" s="410" t="s">
        <v>207</v>
      </c>
      <c r="B11" s="410"/>
      <c r="C11" s="410"/>
      <c r="D11" s="410"/>
      <c r="E11" s="411"/>
      <c r="F11" s="411"/>
      <c r="G11" s="411"/>
      <c r="H11" s="411"/>
      <c r="I11" s="411"/>
      <c r="J11" s="412"/>
      <c r="L11" s="160"/>
      <c r="M11" s="10" t="s">
        <v>479</v>
      </c>
    </row>
    <row r="12" spans="1:12" ht="15.75" thickTop="1">
      <c r="A12" s="162"/>
      <c r="B12" s="162"/>
      <c r="C12" s="162"/>
      <c r="D12" s="93"/>
      <c r="E12" s="93"/>
      <c r="F12" s="93"/>
      <c r="G12" s="162"/>
      <c r="H12" s="162"/>
      <c r="I12" s="409"/>
      <c r="J12" s="74"/>
      <c r="K12" s="20"/>
      <c r="L12" s="20"/>
    </row>
    <row r="13" spans="1:12" ht="14.25" customHeight="1">
      <c r="A13" s="89"/>
      <c r="B13" s="89"/>
      <c r="C13" s="120"/>
      <c r="D13" s="121" t="s">
        <v>482</v>
      </c>
      <c r="E13" s="122"/>
      <c r="F13" s="123" t="s">
        <v>900</v>
      </c>
      <c r="G13" s="119"/>
      <c r="H13" s="119"/>
      <c r="I13" s="124"/>
      <c r="J13" s="20"/>
      <c r="K13" s="20"/>
      <c r="L13" s="20"/>
    </row>
    <row r="14" spans="1:11" ht="16.5" customHeight="1">
      <c r="A14" s="119" t="s">
        <v>706</v>
      </c>
      <c r="B14" s="88"/>
      <c r="C14" s="88"/>
      <c r="D14" s="121" t="s">
        <v>484</v>
      </c>
      <c r="E14" s="121" t="s">
        <v>485</v>
      </c>
      <c r="F14" s="122"/>
      <c r="G14" s="120"/>
      <c r="H14" s="120"/>
      <c r="I14" s="125" t="s">
        <v>486</v>
      </c>
      <c r="J14" s="65"/>
      <c r="K14" s="97"/>
    </row>
    <row r="15" spans="1:12" ht="15.75" customHeight="1">
      <c r="A15" s="89"/>
      <c r="B15" s="89"/>
      <c r="C15" s="89"/>
      <c r="D15" s="121" t="s">
        <v>487</v>
      </c>
      <c r="E15" s="122"/>
      <c r="F15" s="126" t="s">
        <v>488</v>
      </c>
      <c r="G15" s="126" t="s">
        <v>489</v>
      </c>
      <c r="H15" s="126" t="s">
        <v>489</v>
      </c>
      <c r="I15" s="242" t="s">
        <v>50</v>
      </c>
      <c r="J15" s="127"/>
      <c r="K15" s="74"/>
      <c r="L15" s="74"/>
    </row>
    <row r="16" spans="1:10" ht="14.25" customHeight="1">
      <c r="A16" s="94"/>
      <c r="B16" s="94"/>
      <c r="C16" s="94"/>
      <c r="D16" s="95"/>
      <c r="E16" s="197"/>
      <c r="F16" s="198" t="s">
        <v>675</v>
      </c>
      <c r="G16" s="199" t="s">
        <v>490</v>
      </c>
      <c r="H16" s="199" t="s">
        <v>491</v>
      </c>
      <c r="I16" s="200"/>
      <c r="J16" s="143"/>
    </row>
    <row r="17" spans="1:12" ht="14.25" customHeight="1">
      <c r="A17" s="162"/>
      <c r="B17" s="162"/>
      <c r="C17" s="162"/>
      <c r="D17" s="93"/>
      <c r="E17" s="122"/>
      <c r="F17" s="201"/>
      <c r="G17" s="121"/>
      <c r="H17" s="121"/>
      <c r="I17" s="128"/>
      <c r="J17" s="160"/>
      <c r="K17" s="97"/>
      <c r="L17" s="97"/>
    </row>
    <row r="18" spans="1:12" ht="14.25" customHeight="1">
      <c r="A18" s="134" t="s">
        <v>492</v>
      </c>
      <c r="B18" s="120"/>
      <c r="C18" s="120"/>
      <c r="D18" s="122"/>
      <c r="E18" s="122"/>
      <c r="F18" s="133"/>
      <c r="G18" s="133"/>
      <c r="H18" s="133"/>
      <c r="I18" s="128"/>
      <c r="J18" s="20"/>
      <c r="K18" s="74"/>
      <c r="L18" s="74"/>
    </row>
    <row r="19" spans="1:10" ht="13.5" customHeight="1">
      <c r="A19" s="134" t="s">
        <v>714</v>
      </c>
      <c r="B19" s="120"/>
      <c r="C19" s="131" t="s">
        <v>722</v>
      </c>
      <c r="D19" s="122"/>
      <c r="E19" s="122"/>
      <c r="F19" s="133"/>
      <c r="G19" s="133"/>
      <c r="H19" s="133"/>
      <c r="I19" s="128"/>
      <c r="J19" s="20"/>
    </row>
    <row r="20" spans="1:10" ht="15.75" customHeight="1">
      <c r="A20" s="130" t="s">
        <v>408</v>
      </c>
      <c r="B20" s="120"/>
      <c r="C20" s="131" t="s">
        <v>794</v>
      </c>
      <c r="D20" s="132" t="s">
        <v>493</v>
      </c>
      <c r="E20" s="279">
        <v>38306</v>
      </c>
      <c r="F20" s="133">
        <v>8301806</v>
      </c>
      <c r="G20" s="133">
        <v>4665006</v>
      </c>
      <c r="H20" s="133">
        <f aca="true" t="shared" si="0" ref="H20:H57">SUM(F20-G20)</f>
        <v>3636800</v>
      </c>
      <c r="I20" s="128">
        <v>288000</v>
      </c>
      <c r="J20" s="20"/>
    </row>
    <row r="21" spans="1:10" ht="15" customHeight="1">
      <c r="A21" s="130" t="s">
        <v>340</v>
      </c>
      <c r="B21" s="120"/>
      <c r="C21" s="131" t="s">
        <v>803</v>
      </c>
      <c r="D21" s="132" t="s">
        <v>494</v>
      </c>
      <c r="E21" s="279">
        <v>38487</v>
      </c>
      <c r="F21" s="133">
        <v>4260758</v>
      </c>
      <c r="G21" s="133">
        <v>1856308</v>
      </c>
      <c r="H21" s="133">
        <f t="shared" si="0"/>
        <v>2404450</v>
      </c>
      <c r="I21" s="128">
        <v>23000</v>
      </c>
      <c r="J21" s="20"/>
    </row>
    <row r="22" spans="1:12" ht="15.75" customHeight="1">
      <c r="A22" s="130" t="s">
        <v>341</v>
      </c>
      <c r="B22" s="120"/>
      <c r="C22" s="131" t="s">
        <v>795</v>
      </c>
      <c r="D22" s="132" t="s">
        <v>495</v>
      </c>
      <c r="E22" s="279">
        <v>38579</v>
      </c>
      <c r="F22" s="133">
        <v>9269713</v>
      </c>
      <c r="G22" s="133">
        <v>5918513</v>
      </c>
      <c r="H22" s="133">
        <f t="shared" si="0"/>
        <v>3351200</v>
      </c>
      <c r="I22" s="128">
        <v>460800</v>
      </c>
      <c r="J22" s="20"/>
      <c r="K22" s="97"/>
      <c r="L22" s="3"/>
    </row>
    <row r="23" spans="1:10" ht="15" customHeight="1">
      <c r="A23" s="130" t="s">
        <v>409</v>
      </c>
      <c r="B23" s="120"/>
      <c r="C23" s="131" t="s">
        <v>805</v>
      </c>
      <c r="D23" s="132" t="s">
        <v>496</v>
      </c>
      <c r="E23" s="279">
        <v>38763</v>
      </c>
      <c r="F23" s="133">
        <v>4755916</v>
      </c>
      <c r="G23" s="133">
        <v>4668876</v>
      </c>
      <c r="H23" s="133">
        <f t="shared" si="0"/>
        <v>87040</v>
      </c>
      <c r="I23" s="128">
        <v>0</v>
      </c>
      <c r="J23" s="20"/>
    </row>
    <row r="24" spans="1:12" ht="15" customHeight="1">
      <c r="A24" s="130" t="s">
        <v>410</v>
      </c>
      <c r="B24" s="236">
        <v>9</v>
      </c>
      <c r="C24" s="131" t="s">
        <v>788</v>
      </c>
      <c r="D24" s="132" t="s">
        <v>497</v>
      </c>
      <c r="E24" s="279">
        <v>41958</v>
      </c>
      <c r="F24" s="133">
        <v>6005584</v>
      </c>
      <c r="G24" s="133">
        <v>2033584</v>
      </c>
      <c r="H24" s="133">
        <f t="shared" si="0"/>
        <v>3972000</v>
      </c>
      <c r="I24" s="128">
        <v>56800</v>
      </c>
      <c r="J24" s="20"/>
      <c r="K24" s="74"/>
      <c r="L24" s="74"/>
    </row>
    <row r="25" spans="1:10" ht="15" customHeight="1">
      <c r="A25" s="130" t="s">
        <v>411</v>
      </c>
      <c r="B25" s="120"/>
      <c r="C25" s="131" t="s">
        <v>810</v>
      </c>
      <c r="D25" s="132" t="s">
        <v>498</v>
      </c>
      <c r="E25" s="279">
        <v>42050</v>
      </c>
      <c r="F25" s="133">
        <v>11350799</v>
      </c>
      <c r="G25" s="133">
        <v>6243439</v>
      </c>
      <c r="H25" s="133">
        <f t="shared" si="0"/>
        <v>5107360</v>
      </c>
      <c r="I25" s="128">
        <v>498240</v>
      </c>
      <c r="J25" s="20"/>
    </row>
    <row r="26" spans="1:10" ht="15.75" customHeight="1">
      <c r="A26" s="130" t="s">
        <v>352</v>
      </c>
      <c r="B26" s="120"/>
      <c r="C26" s="131" t="s">
        <v>811</v>
      </c>
      <c r="D26" s="132" t="s">
        <v>499</v>
      </c>
      <c r="E26" s="279">
        <v>42231</v>
      </c>
      <c r="F26" s="133">
        <v>5105916</v>
      </c>
      <c r="G26" s="133">
        <v>3381436</v>
      </c>
      <c r="H26" s="133">
        <f t="shared" si="0"/>
        <v>1724480</v>
      </c>
      <c r="I26" s="128">
        <v>203200</v>
      </c>
      <c r="J26" s="20"/>
    </row>
    <row r="27" spans="1:10" ht="15" customHeight="1">
      <c r="A27" s="130" t="s">
        <v>353</v>
      </c>
      <c r="B27" s="120"/>
      <c r="C27" s="131" t="s">
        <v>812</v>
      </c>
      <c r="D27" s="132" t="s">
        <v>500</v>
      </c>
      <c r="E27" s="279">
        <v>42323</v>
      </c>
      <c r="F27" s="133">
        <v>5890859</v>
      </c>
      <c r="G27" s="133">
        <v>3388459</v>
      </c>
      <c r="H27" s="133">
        <f t="shared" si="0"/>
        <v>2502400</v>
      </c>
      <c r="I27" s="128">
        <v>260800</v>
      </c>
      <c r="J27" s="20"/>
    </row>
    <row r="28" spans="1:10" ht="15" customHeight="1">
      <c r="A28" s="130" t="s">
        <v>354</v>
      </c>
      <c r="B28" s="120"/>
      <c r="C28" s="131" t="s">
        <v>813</v>
      </c>
      <c r="D28" s="132" t="s">
        <v>501</v>
      </c>
      <c r="E28" s="279">
        <v>42415</v>
      </c>
      <c r="F28" s="133">
        <v>6347754</v>
      </c>
      <c r="G28" s="133">
        <v>5985354</v>
      </c>
      <c r="H28" s="133">
        <f t="shared" si="0"/>
        <v>362400</v>
      </c>
      <c r="I28" s="128">
        <v>414400</v>
      </c>
      <c r="J28" s="20"/>
    </row>
    <row r="29" spans="1:10" ht="15.75" customHeight="1">
      <c r="A29" s="130" t="s">
        <v>355</v>
      </c>
      <c r="B29" s="120"/>
      <c r="C29" s="131" t="s">
        <v>786</v>
      </c>
      <c r="D29" s="132" t="s">
        <v>502</v>
      </c>
      <c r="E29" s="279">
        <v>42505</v>
      </c>
      <c r="F29" s="133">
        <v>18823551</v>
      </c>
      <c r="G29" s="133">
        <v>18710751</v>
      </c>
      <c r="H29" s="133">
        <f t="shared" si="0"/>
        <v>112800</v>
      </c>
      <c r="I29" s="128">
        <v>903200</v>
      </c>
      <c r="J29" s="20"/>
    </row>
    <row r="30" spans="1:10" ht="15" customHeight="1">
      <c r="A30" s="130" t="s">
        <v>412</v>
      </c>
      <c r="B30" s="120"/>
      <c r="C30" s="131" t="s">
        <v>772</v>
      </c>
      <c r="D30" s="132" t="s">
        <v>503</v>
      </c>
      <c r="E30" s="279">
        <v>42689</v>
      </c>
      <c r="F30" s="133">
        <v>18824448</v>
      </c>
      <c r="G30" s="133">
        <v>17533968</v>
      </c>
      <c r="H30" s="133">
        <f t="shared" si="0"/>
        <v>1290480</v>
      </c>
      <c r="I30" s="128">
        <v>282000</v>
      </c>
      <c r="J30" s="20"/>
    </row>
    <row r="31" spans="1:11" ht="15" customHeight="1">
      <c r="A31" s="130" t="s">
        <v>357</v>
      </c>
      <c r="B31" s="120"/>
      <c r="C31" s="131" t="s">
        <v>782</v>
      </c>
      <c r="D31" s="132" t="s">
        <v>504</v>
      </c>
      <c r="E31" s="279">
        <v>42870</v>
      </c>
      <c r="F31" s="133">
        <v>16621669</v>
      </c>
      <c r="G31" s="133">
        <v>10319429</v>
      </c>
      <c r="H31" s="133">
        <f t="shared" si="0"/>
        <v>6302240</v>
      </c>
      <c r="I31" s="128">
        <v>916320</v>
      </c>
      <c r="J31" s="20"/>
      <c r="K31" s="120"/>
    </row>
    <row r="32" spans="1:11" ht="15.75" customHeight="1">
      <c r="A32" s="130" t="s">
        <v>358</v>
      </c>
      <c r="B32" s="120"/>
      <c r="C32" s="131" t="s">
        <v>734</v>
      </c>
      <c r="D32" s="132" t="s">
        <v>505</v>
      </c>
      <c r="E32" s="279">
        <v>42962</v>
      </c>
      <c r="F32" s="133">
        <v>12674358</v>
      </c>
      <c r="G32" s="133">
        <v>10410358</v>
      </c>
      <c r="H32" s="133">
        <f t="shared" si="0"/>
        <v>2264000</v>
      </c>
      <c r="I32" s="128">
        <v>336000</v>
      </c>
      <c r="J32" s="20"/>
      <c r="K32" s="120"/>
    </row>
    <row r="33" spans="1:11" ht="15" customHeight="1">
      <c r="A33" s="130" t="s">
        <v>413</v>
      </c>
      <c r="B33" s="120"/>
      <c r="C33" s="131" t="s">
        <v>753</v>
      </c>
      <c r="D33" s="132" t="s">
        <v>506</v>
      </c>
      <c r="E33" s="279">
        <v>43235</v>
      </c>
      <c r="F33" s="133">
        <v>7217439</v>
      </c>
      <c r="G33" s="133">
        <v>3273439</v>
      </c>
      <c r="H33" s="133">
        <f t="shared" si="0"/>
        <v>3944000</v>
      </c>
      <c r="I33" s="128">
        <v>257600</v>
      </c>
      <c r="J33" s="20"/>
      <c r="K33" s="120"/>
    </row>
    <row r="34" spans="1:11" ht="15" customHeight="1">
      <c r="A34" s="130" t="s">
        <v>360</v>
      </c>
      <c r="B34" s="120"/>
      <c r="C34" s="131" t="s">
        <v>814</v>
      </c>
      <c r="D34" s="132" t="s">
        <v>507</v>
      </c>
      <c r="E34" s="279">
        <v>43419</v>
      </c>
      <c r="F34" s="133">
        <v>7639470</v>
      </c>
      <c r="G34" s="133">
        <v>3135470</v>
      </c>
      <c r="H34" s="133">
        <f t="shared" si="0"/>
        <v>4504000</v>
      </c>
      <c r="I34" s="128">
        <v>137000</v>
      </c>
      <c r="J34" s="20"/>
      <c r="K34" s="120"/>
    </row>
    <row r="35" spans="1:11" ht="15" customHeight="1">
      <c r="A35" s="130" t="s">
        <v>361</v>
      </c>
      <c r="B35" s="120"/>
      <c r="C35" s="131" t="s">
        <v>734</v>
      </c>
      <c r="D35" s="132" t="s">
        <v>508</v>
      </c>
      <c r="E35" s="279">
        <v>43511</v>
      </c>
      <c r="F35" s="133">
        <v>16761298</v>
      </c>
      <c r="G35" s="133">
        <v>11063698</v>
      </c>
      <c r="H35" s="133">
        <f t="shared" si="0"/>
        <v>5697600</v>
      </c>
      <c r="I35" s="128">
        <v>664000</v>
      </c>
      <c r="J35" s="20"/>
      <c r="K35" s="120"/>
    </row>
    <row r="36" spans="1:10" ht="15" customHeight="1">
      <c r="A36" s="130" t="s">
        <v>362</v>
      </c>
      <c r="B36" s="120"/>
      <c r="C36" s="131" t="s">
        <v>826</v>
      </c>
      <c r="D36" s="132" t="s">
        <v>509</v>
      </c>
      <c r="E36" s="279">
        <v>43692</v>
      </c>
      <c r="F36" s="133">
        <v>19435932</v>
      </c>
      <c r="G36" s="133">
        <v>18297692</v>
      </c>
      <c r="H36" s="133">
        <f t="shared" si="0"/>
        <v>1138240</v>
      </c>
      <c r="I36" s="128">
        <v>257920</v>
      </c>
      <c r="J36" s="20"/>
    </row>
    <row r="37" spans="1:10" ht="14.25" customHeight="1">
      <c r="A37" s="130" t="s">
        <v>363</v>
      </c>
      <c r="B37" s="120"/>
      <c r="C37" s="131" t="s">
        <v>780</v>
      </c>
      <c r="D37" s="132" t="s">
        <v>510</v>
      </c>
      <c r="E37" s="279">
        <v>43876</v>
      </c>
      <c r="F37" s="133">
        <v>9918268</v>
      </c>
      <c r="G37" s="133">
        <v>8314668</v>
      </c>
      <c r="H37" s="133">
        <f t="shared" si="0"/>
        <v>1603600</v>
      </c>
      <c r="I37" s="128">
        <v>158400</v>
      </c>
      <c r="J37" s="20"/>
    </row>
    <row r="38" spans="1:10" ht="15" customHeight="1">
      <c r="A38" s="130" t="s">
        <v>364</v>
      </c>
      <c r="B38" s="120"/>
      <c r="C38" s="131" t="s">
        <v>782</v>
      </c>
      <c r="D38" s="132" t="s">
        <v>511</v>
      </c>
      <c r="E38" s="279">
        <v>43966</v>
      </c>
      <c r="F38" s="133">
        <v>8373783</v>
      </c>
      <c r="G38" s="133">
        <v>3451383</v>
      </c>
      <c r="H38" s="133">
        <f t="shared" si="0"/>
        <v>4922400</v>
      </c>
      <c r="I38" s="128">
        <v>308640</v>
      </c>
      <c r="J38" s="20"/>
    </row>
    <row r="39" spans="1:10" ht="15" customHeight="1">
      <c r="A39" s="130" t="s">
        <v>365</v>
      </c>
      <c r="B39" s="120"/>
      <c r="C39" s="131" t="s">
        <v>782</v>
      </c>
      <c r="D39" s="132" t="s">
        <v>512</v>
      </c>
      <c r="E39" s="279">
        <v>44058</v>
      </c>
      <c r="F39" s="133">
        <v>18872306</v>
      </c>
      <c r="G39" s="133">
        <v>9431186</v>
      </c>
      <c r="H39" s="133">
        <f t="shared" si="0"/>
        <v>9441120</v>
      </c>
      <c r="I39" s="128">
        <v>771040</v>
      </c>
      <c r="J39" s="20"/>
    </row>
    <row r="40" spans="1:10" ht="15" customHeight="1">
      <c r="A40" s="130" t="s">
        <v>366</v>
      </c>
      <c r="B40" s="120"/>
      <c r="C40" s="131" t="s">
        <v>775</v>
      </c>
      <c r="D40" s="132" t="s">
        <v>518</v>
      </c>
      <c r="E40" s="279">
        <v>44242</v>
      </c>
      <c r="F40" s="133">
        <v>10414573</v>
      </c>
      <c r="G40" s="133">
        <v>9648173</v>
      </c>
      <c r="H40" s="133">
        <f t="shared" si="0"/>
        <v>766400</v>
      </c>
      <c r="I40" s="128">
        <v>217600</v>
      </c>
      <c r="J40" s="20"/>
    </row>
    <row r="41" spans="1:10" ht="15" customHeight="1">
      <c r="A41" s="130" t="s">
        <v>414</v>
      </c>
      <c r="B41" s="120"/>
      <c r="C41" s="131" t="s">
        <v>826</v>
      </c>
      <c r="D41" s="132" t="s">
        <v>519</v>
      </c>
      <c r="E41" s="279">
        <v>44331</v>
      </c>
      <c r="F41" s="133">
        <v>10718788</v>
      </c>
      <c r="G41" s="133">
        <v>6389828</v>
      </c>
      <c r="H41" s="133">
        <f t="shared" si="0"/>
        <v>4328960</v>
      </c>
      <c r="I41" s="128">
        <v>184000</v>
      </c>
      <c r="J41" s="20"/>
    </row>
    <row r="42" spans="1:10" ht="15" customHeight="1">
      <c r="A42" s="130" t="s">
        <v>368</v>
      </c>
      <c r="B42" s="120"/>
      <c r="C42" s="131" t="s">
        <v>826</v>
      </c>
      <c r="D42" s="132" t="s">
        <v>520</v>
      </c>
      <c r="E42" s="279">
        <v>44423</v>
      </c>
      <c r="F42" s="133">
        <v>10683482</v>
      </c>
      <c r="G42" s="133">
        <v>9408922</v>
      </c>
      <c r="H42" s="133">
        <f t="shared" si="0"/>
        <v>1274560</v>
      </c>
      <c r="I42" s="128">
        <v>145920</v>
      </c>
      <c r="J42" s="20"/>
    </row>
    <row r="43" spans="1:10" ht="15" customHeight="1">
      <c r="A43" s="130" t="s">
        <v>369</v>
      </c>
      <c r="B43" s="120"/>
      <c r="C43" s="131" t="s">
        <v>765</v>
      </c>
      <c r="D43" s="132" t="s">
        <v>521</v>
      </c>
      <c r="E43" s="279">
        <v>44515</v>
      </c>
      <c r="F43" s="133">
        <v>31731194</v>
      </c>
      <c r="G43" s="133">
        <v>14609619</v>
      </c>
      <c r="H43" s="133">
        <f t="shared" si="0"/>
        <v>17121575</v>
      </c>
      <c r="I43" s="128">
        <v>1608400</v>
      </c>
      <c r="J43" s="20"/>
    </row>
    <row r="44" spans="1:10" ht="15" customHeight="1">
      <c r="A44" s="130" t="s">
        <v>370</v>
      </c>
      <c r="B44" s="120"/>
      <c r="C44" s="131" t="s">
        <v>786</v>
      </c>
      <c r="D44" s="132" t="s">
        <v>522</v>
      </c>
      <c r="E44" s="279">
        <v>44788</v>
      </c>
      <c r="F44" s="133">
        <v>10288790</v>
      </c>
      <c r="G44" s="133">
        <v>9287190</v>
      </c>
      <c r="H44" s="133">
        <f t="shared" si="0"/>
        <v>1001600</v>
      </c>
      <c r="I44" s="128">
        <v>136800</v>
      </c>
      <c r="J44" s="20"/>
    </row>
    <row r="45" spans="1:10" ht="15" customHeight="1">
      <c r="A45" s="130" t="s">
        <v>371</v>
      </c>
      <c r="B45" s="120"/>
      <c r="C45" s="131" t="s">
        <v>792</v>
      </c>
      <c r="D45" s="132" t="s">
        <v>523</v>
      </c>
      <c r="E45" s="279">
        <v>44880</v>
      </c>
      <c r="F45" s="133">
        <v>8584626</v>
      </c>
      <c r="G45" s="133">
        <v>3795826</v>
      </c>
      <c r="H45" s="133">
        <f t="shared" si="0"/>
        <v>4788800</v>
      </c>
      <c r="I45" s="128">
        <v>43200</v>
      </c>
      <c r="J45" s="20"/>
    </row>
    <row r="46" spans="1:10" ht="15" customHeight="1">
      <c r="A46" s="130" t="s">
        <v>415</v>
      </c>
      <c r="B46" s="120"/>
      <c r="C46" s="131" t="s">
        <v>769</v>
      </c>
      <c r="D46" s="132" t="s">
        <v>524</v>
      </c>
      <c r="E46" s="279">
        <v>44972</v>
      </c>
      <c r="F46" s="133">
        <v>17344061</v>
      </c>
      <c r="G46" s="133">
        <v>9998461</v>
      </c>
      <c r="H46" s="133">
        <v>7345600</v>
      </c>
      <c r="I46" s="128">
        <v>382400</v>
      </c>
      <c r="J46" s="20"/>
    </row>
    <row r="47" spans="1:10" ht="15" customHeight="1">
      <c r="A47" s="130" t="s">
        <v>373</v>
      </c>
      <c r="B47" s="120"/>
      <c r="C47" s="131" t="s">
        <v>744</v>
      </c>
      <c r="D47" s="132" t="s">
        <v>525</v>
      </c>
      <c r="E47" s="279">
        <v>45153</v>
      </c>
      <c r="F47" s="133">
        <v>22669044</v>
      </c>
      <c r="G47" s="133">
        <v>19150100</v>
      </c>
      <c r="H47" s="133">
        <f t="shared" si="0"/>
        <v>3518944</v>
      </c>
      <c r="I47" s="128">
        <v>362688</v>
      </c>
      <c r="J47" s="20"/>
    </row>
    <row r="48" spans="1:10" ht="15" customHeight="1">
      <c r="A48" s="130" t="s">
        <v>374</v>
      </c>
      <c r="B48" s="120"/>
      <c r="C48" s="131" t="s">
        <v>772</v>
      </c>
      <c r="D48" s="132" t="s">
        <v>526</v>
      </c>
      <c r="E48" s="279">
        <v>45611</v>
      </c>
      <c r="F48" s="133">
        <v>10159162</v>
      </c>
      <c r="G48" s="133">
        <v>3712362</v>
      </c>
      <c r="H48" s="133">
        <f t="shared" si="0"/>
        <v>6446800</v>
      </c>
      <c r="I48" s="128">
        <v>491280</v>
      </c>
      <c r="J48" s="20"/>
    </row>
    <row r="49" spans="1:10" ht="15" customHeight="1">
      <c r="A49" s="130" t="s">
        <v>375</v>
      </c>
      <c r="B49" s="120"/>
      <c r="C49" s="131" t="s">
        <v>792</v>
      </c>
      <c r="D49" s="132" t="s">
        <v>527</v>
      </c>
      <c r="E49" s="279">
        <v>45703</v>
      </c>
      <c r="F49" s="133">
        <v>11126170</v>
      </c>
      <c r="G49" s="133">
        <v>3111770</v>
      </c>
      <c r="H49" s="133">
        <f t="shared" si="0"/>
        <v>8014400</v>
      </c>
      <c r="I49" s="128">
        <v>241600</v>
      </c>
      <c r="J49" s="20"/>
    </row>
    <row r="50" spans="1:10" ht="15" customHeight="1">
      <c r="A50" s="130" t="s">
        <v>376</v>
      </c>
      <c r="B50" s="120"/>
      <c r="C50" s="131" t="s">
        <v>763</v>
      </c>
      <c r="D50" s="132" t="s">
        <v>528</v>
      </c>
      <c r="E50" s="279">
        <v>45884</v>
      </c>
      <c r="F50" s="133">
        <v>11878207</v>
      </c>
      <c r="G50" s="133">
        <v>7702527</v>
      </c>
      <c r="H50" s="133">
        <f t="shared" si="0"/>
        <v>4175680</v>
      </c>
      <c r="I50" s="128">
        <v>217280</v>
      </c>
      <c r="J50" s="20"/>
    </row>
    <row r="51" spans="1:10" ht="15" customHeight="1">
      <c r="A51" s="130" t="s">
        <v>377</v>
      </c>
      <c r="B51" s="120"/>
      <c r="C51" s="131" t="s">
        <v>760</v>
      </c>
      <c r="D51" s="132" t="s">
        <v>529</v>
      </c>
      <c r="E51" s="279">
        <v>46068</v>
      </c>
      <c r="F51" s="133">
        <v>12837916</v>
      </c>
      <c r="G51" s="133">
        <v>11442916</v>
      </c>
      <c r="H51" s="133">
        <f t="shared" si="0"/>
        <v>1395000</v>
      </c>
      <c r="I51" s="128">
        <v>209900</v>
      </c>
      <c r="J51" s="20"/>
    </row>
    <row r="52" spans="1:10" ht="15" customHeight="1">
      <c r="A52" s="130" t="s">
        <v>378</v>
      </c>
      <c r="B52" s="120"/>
      <c r="C52" s="202">
        <v>6.75</v>
      </c>
      <c r="D52" s="132" t="s">
        <v>530</v>
      </c>
      <c r="E52" s="279">
        <v>46249</v>
      </c>
      <c r="F52" s="133">
        <v>10458418</v>
      </c>
      <c r="G52" s="133">
        <v>7189618</v>
      </c>
      <c r="H52" s="133">
        <f t="shared" si="0"/>
        <v>3268800</v>
      </c>
      <c r="I52" s="128">
        <v>307200</v>
      </c>
      <c r="J52" s="20"/>
    </row>
    <row r="53" spans="1:10" ht="14.25" customHeight="1">
      <c r="A53" s="130" t="s">
        <v>416</v>
      </c>
      <c r="B53" s="120"/>
      <c r="C53" s="131" t="s">
        <v>749</v>
      </c>
      <c r="D53" s="132" t="s">
        <v>531</v>
      </c>
      <c r="E53" s="279">
        <v>46341</v>
      </c>
      <c r="F53" s="133">
        <v>11453177</v>
      </c>
      <c r="G53" s="133">
        <v>6757977</v>
      </c>
      <c r="H53" s="133">
        <f t="shared" si="0"/>
        <v>4695200</v>
      </c>
      <c r="I53" s="128">
        <v>64000</v>
      </c>
      <c r="J53" s="20"/>
    </row>
    <row r="54" spans="1:10" ht="15" customHeight="1">
      <c r="A54" s="130" t="s">
        <v>380</v>
      </c>
      <c r="B54" s="120"/>
      <c r="C54" s="137" t="s">
        <v>784</v>
      </c>
      <c r="D54" s="132" t="s">
        <v>532</v>
      </c>
      <c r="E54" s="279">
        <v>46433</v>
      </c>
      <c r="F54" s="133">
        <v>10251071</v>
      </c>
      <c r="G54" s="133">
        <v>6689471</v>
      </c>
      <c r="H54" s="133">
        <f t="shared" si="0"/>
        <v>3561600</v>
      </c>
      <c r="I54" s="128">
        <v>352000</v>
      </c>
      <c r="J54" s="89"/>
    </row>
    <row r="55" spans="1:10" ht="15" customHeight="1">
      <c r="A55" s="130" t="s">
        <v>381</v>
      </c>
      <c r="B55" s="120"/>
      <c r="C55" s="137" t="s">
        <v>727</v>
      </c>
      <c r="D55" s="132" t="s">
        <v>533</v>
      </c>
      <c r="E55" s="279">
        <v>46614</v>
      </c>
      <c r="F55" s="133">
        <v>10395756</v>
      </c>
      <c r="G55" s="133">
        <v>9054956</v>
      </c>
      <c r="H55" s="133">
        <f t="shared" si="0"/>
        <v>1340800</v>
      </c>
      <c r="I55" s="128">
        <v>113600</v>
      </c>
      <c r="J55" s="89"/>
    </row>
    <row r="56" spans="1:10" ht="14.25" customHeight="1">
      <c r="A56" s="130" t="s">
        <v>382</v>
      </c>
      <c r="B56" s="120"/>
      <c r="C56" s="137" t="s">
        <v>781</v>
      </c>
      <c r="D56" s="132" t="s">
        <v>534</v>
      </c>
      <c r="E56" s="279">
        <v>46706</v>
      </c>
      <c r="F56" s="133">
        <v>22461339</v>
      </c>
      <c r="G56" s="133">
        <v>15581339</v>
      </c>
      <c r="H56" s="133">
        <f t="shared" si="0"/>
        <v>6880000</v>
      </c>
      <c r="I56" s="128">
        <v>323200</v>
      </c>
      <c r="J56" s="89"/>
    </row>
    <row r="57" spans="1:10" ht="15" customHeight="1">
      <c r="A57" s="146" t="s">
        <v>383</v>
      </c>
      <c r="B57" s="120"/>
      <c r="C57" s="137" t="s">
        <v>738</v>
      </c>
      <c r="D57" s="184" t="s">
        <v>535</v>
      </c>
      <c r="E57" s="279">
        <v>46980</v>
      </c>
      <c r="F57" s="133">
        <v>11776201</v>
      </c>
      <c r="G57" s="133">
        <v>11227401</v>
      </c>
      <c r="H57" s="133">
        <f t="shared" si="0"/>
        <v>548800</v>
      </c>
      <c r="I57" s="128">
        <v>75200</v>
      </c>
      <c r="J57" s="89"/>
    </row>
    <row r="58" spans="1:10" ht="15" customHeight="1">
      <c r="A58" s="146" t="s">
        <v>384</v>
      </c>
      <c r="B58" s="120"/>
      <c r="C58" s="137" t="s">
        <v>783</v>
      </c>
      <c r="D58" s="184" t="s">
        <v>536</v>
      </c>
      <c r="E58" s="279">
        <v>47072</v>
      </c>
      <c r="F58" s="133">
        <v>10947052</v>
      </c>
      <c r="G58" s="133">
        <v>10599052</v>
      </c>
      <c r="H58" s="133">
        <f>SUM(F58-G58)</f>
        <v>348000</v>
      </c>
      <c r="I58" s="128">
        <v>145600</v>
      </c>
      <c r="J58" s="89"/>
    </row>
    <row r="59" spans="1:10" ht="15" customHeight="1">
      <c r="A59" s="146" t="s">
        <v>385</v>
      </c>
      <c r="B59" s="120"/>
      <c r="C59" s="137" t="s">
        <v>783</v>
      </c>
      <c r="D59" s="184" t="s">
        <v>86</v>
      </c>
      <c r="E59" s="279">
        <v>47164</v>
      </c>
      <c r="F59" s="133">
        <v>11350341</v>
      </c>
      <c r="G59" s="133">
        <v>10981541</v>
      </c>
      <c r="H59" s="133">
        <f>SUM(F59-G59)</f>
        <v>368800</v>
      </c>
      <c r="I59" s="128">
        <v>25600</v>
      </c>
      <c r="J59" s="89" t="s">
        <v>672</v>
      </c>
    </row>
    <row r="60" spans="1:10" ht="15" customHeight="1">
      <c r="A60" s="146" t="s">
        <v>386</v>
      </c>
      <c r="B60" s="120"/>
      <c r="C60" s="137" t="s">
        <v>781</v>
      </c>
      <c r="D60" s="132" t="s">
        <v>192</v>
      </c>
      <c r="E60" s="279">
        <v>47345</v>
      </c>
      <c r="F60" s="133">
        <v>11178580</v>
      </c>
      <c r="G60" s="133">
        <v>11112980</v>
      </c>
      <c r="H60" s="133">
        <f>SUM(F60-G60)</f>
        <v>65600</v>
      </c>
      <c r="I60" s="128">
        <v>3200</v>
      </c>
      <c r="J60" s="89"/>
    </row>
    <row r="61" spans="1:10" ht="15" customHeight="1">
      <c r="A61" s="146" t="s">
        <v>387</v>
      </c>
      <c r="B61" s="120"/>
      <c r="C61" s="131" t="s">
        <v>744</v>
      </c>
      <c r="D61" s="132" t="s">
        <v>473</v>
      </c>
      <c r="E61" s="279">
        <v>47618</v>
      </c>
      <c r="F61" s="133">
        <v>17043162</v>
      </c>
      <c r="G61" s="133">
        <v>17030746</v>
      </c>
      <c r="H61" s="133">
        <f>SUM(F61-G61)</f>
        <v>12416</v>
      </c>
      <c r="I61" s="128">
        <v>0</v>
      </c>
      <c r="J61" s="89"/>
    </row>
    <row r="62" spans="1:10" ht="15" customHeight="1">
      <c r="A62" s="130" t="s">
        <v>216</v>
      </c>
      <c r="B62" s="120"/>
      <c r="C62" s="137" t="s">
        <v>779</v>
      </c>
      <c r="D62" s="132" t="s">
        <v>453</v>
      </c>
      <c r="E62" s="279">
        <v>47894</v>
      </c>
      <c r="F62" s="133">
        <v>10886993</v>
      </c>
      <c r="G62" s="133">
        <v>10886993</v>
      </c>
      <c r="H62" s="133">
        <f>SUM(F62-G62)</f>
        <v>0</v>
      </c>
      <c r="I62" s="128">
        <v>0</v>
      </c>
      <c r="J62" s="89"/>
    </row>
    <row r="63" spans="4:9" ht="14.25" customHeight="1">
      <c r="D63" s="80"/>
      <c r="E63" s="280"/>
      <c r="F63" s="80"/>
      <c r="G63" s="80"/>
      <c r="H63" s="80"/>
      <c r="I63" s="128"/>
    </row>
    <row r="64" spans="1:10" ht="15" customHeight="1">
      <c r="A64" s="161" t="s">
        <v>537</v>
      </c>
      <c r="B64" s="131"/>
      <c r="C64" s="137"/>
      <c r="D64" s="132" t="s">
        <v>672</v>
      </c>
      <c r="E64" s="281"/>
      <c r="F64" s="133">
        <f>SUM(F20:F63)</f>
        <v>523089730</v>
      </c>
      <c r="G64" s="133">
        <f>SUM(G20:G63)</f>
        <v>377452785</v>
      </c>
      <c r="H64" s="133">
        <f>SUM(H20:H63)</f>
        <v>145636945</v>
      </c>
      <c r="I64" s="128">
        <f>SUM(I20:I63)</f>
        <v>12848028</v>
      </c>
      <c r="J64" s="89"/>
    </row>
    <row r="65" spans="1:10" ht="12.75" customHeight="1">
      <c r="A65" s="161"/>
      <c r="B65" s="131"/>
      <c r="C65" s="137"/>
      <c r="D65" s="203"/>
      <c r="E65" s="282"/>
      <c r="F65" s="204"/>
      <c r="G65" s="204"/>
      <c r="H65" s="204"/>
      <c r="I65" s="128"/>
      <c r="J65" s="89"/>
    </row>
    <row r="66" spans="1:10" ht="14.25" customHeight="1">
      <c r="A66" s="134" t="s">
        <v>827</v>
      </c>
      <c r="B66" s="120"/>
      <c r="C66" s="120"/>
      <c r="D66" s="122"/>
      <c r="E66" s="283"/>
      <c r="F66" s="133"/>
      <c r="G66" s="133"/>
      <c r="H66" s="133"/>
      <c r="I66" s="128"/>
      <c r="J66" s="20"/>
    </row>
    <row r="67" spans="1:10" ht="15" customHeight="1">
      <c r="A67" s="134" t="s">
        <v>714</v>
      </c>
      <c r="B67" s="119" t="s">
        <v>721</v>
      </c>
      <c r="C67" s="131" t="s">
        <v>722</v>
      </c>
      <c r="D67" s="122"/>
      <c r="E67" s="283"/>
      <c r="F67" s="133"/>
      <c r="G67" s="133"/>
      <c r="H67" s="133"/>
      <c r="I67" s="128"/>
      <c r="J67" s="20"/>
    </row>
    <row r="68" spans="1:10" ht="15" customHeight="1">
      <c r="A68" s="130" t="s">
        <v>388</v>
      </c>
      <c r="B68" s="131" t="s">
        <v>729</v>
      </c>
      <c r="C68" s="137" t="s">
        <v>828</v>
      </c>
      <c r="D68" s="132" t="s">
        <v>578</v>
      </c>
      <c r="E68" s="279">
        <v>37452</v>
      </c>
      <c r="F68" s="133">
        <v>18271553</v>
      </c>
      <c r="G68" s="133">
        <v>18271553</v>
      </c>
      <c r="H68" s="133">
        <f aca="true" t="shared" si="1" ref="H68:H73">SUM(F68-G68)</f>
        <v>0</v>
      </c>
      <c r="I68" s="128">
        <v>0</v>
      </c>
      <c r="J68" s="89"/>
    </row>
    <row r="69" spans="1:10" ht="15" customHeight="1">
      <c r="A69" s="130" t="s">
        <v>389</v>
      </c>
      <c r="B69" s="131" t="s">
        <v>733</v>
      </c>
      <c r="C69" s="137" t="s">
        <v>829</v>
      </c>
      <c r="D69" s="132" t="s">
        <v>579</v>
      </c>
      <c r="E69" s="279">
        <v>39097</v>
      </c>
      <c r="F69" s="133">
        <v>17306349</v>
      </c>
      <c r="G69" s="133">
        <v>17306349</v>
      </c>
      <c r="H69" s="133">
        <f t="shared" si="1"/>
        <v>0</v>
      </c>
      <c r="I69" s="128">
        <v>0</v>
      </c>
      <c r="J69" s="89"/>
    </row>
    <row r="70" spans="1:10" ht="15" customHeight="1">
      <c r="A70" s="130" t="s">
        <v>390</v>
      </c>
      <c r="B70" s="131" t="s">
        <v>733</v>
      </c>
      <c r="C70" s="137" t="s">
        <v>828</v>
      </c>
      <c r="D70" s="132" t="s">
        <v>580</v>
      </c>
      <c r="E70" s="281">
        <v>39462</v>
      </c>
      <c r="F70" s="133">
        <v>18107048</v>
      </c>
      <c r="G70" s="133">
        <v>17999342</v>
      </c>
      <c r="H70" s="133">
        <f t="shared" si="1"/>
        <v>107706</v>
      </c>
      <c r="I70" s="128">
        <v>0</v>
      </c>
      <c r="J70" s="89"/>
    </row>
    <row r="71" spans="1:10" ht="15" customHeight="1">
      <c r="A71" s="130" t="s">
        <v>391</v>
      </c>
      <c r="B71" s="131" t="s">
        <v>733</v>
      </c>
      <c r="C71" s="137" t="s">
        <v>480</v>
      </c>
      <c r="D71" s="132" t="s">
        <v>481</v>
      </c>
      <c r="E71" s="281">
        <v>39828</v>
      </c>
      <c r="F71" s="133">
        <v>16872443</v>
      </c>
      <c r="G71" s="133">
        <v>16872443</v>
      </c>
      <c r="H71" s="133">
        <f t="shared" si="1"/>
        <v>0</v>
      </c>
      <c r="I71" s="128">
        <v>0</v>
      </c>
      <c r="J71" s="89"/>
    </row>
    <row r="72" spans="1:10" ht="15" customHeight="1">
      <c r="A72" s="130" t="s">
        <v>392</v>
      </c>
      <c r="B72" s="131" t="s">
        <v>733</v>
      </c>
      <c r="C72" s="137" t="s">
        <v>785</v>
      </c>
      <c r="D72" s="132" t="s">
        <v>681</v>
      </c>
      <c r="E72" s="281">
        <v>40193</v>
      </c>
      <c r="F72" s="133">
        <v>11708480</v>
      </c>
      <c r="G72" s="133">
        <v>11708480</v>
      </c>
      <c r="H72" s="133">
        <f t="shared" si="1"/>
        <v>0</v>
      </c>
      <c r="I72" s="128">
        <v>0</v>
      </c>
      <c r="J72" s="89"/>
    </row>
    <row r="73" spans="1:10" ht="15" customHeight="1">
      <c r="A73" s="130" t="s">
        <v>843</v>
      </c>
      <c r="B73" s="131" t="s">
        <v>733</v>
      </c>
      <c r="C73" s="137" t="s">
        <v>844</v>
      </c>
      <c r="D73" s="132" t="s">
        <v>907</v>
      </c>
      <c r="E73" s="281">
        <v>40558</v>
      </c>
      <c r="F73" s="133">
        <v>6001095</v>
      </c>
      <c r="G73" s="133">
        <v>6001095</v>
      </c>
      <c r="H73" s="133">
        <f t="shared" si="1"/>
        <v>0</v>
      </c>
      <c r="I73" s="128">
        <v>0</v>
      </c>
      <c r="J73" s="89"/>
    </row>
    <row r="74" spans="1:10" ht="15" customHeight="1">
      <c r="A74" s="130"/>
      <c r="B74" s="131"/>
      <c r="C74" s="137"/>
      <c r="D74" s="132"/>
      <c r="E74" s="281"/>
      <c r="F74" s="133"/>
      <c r="G74" s="133"/>
      <c r="H74" s="133"/>
      <c r="I74" s="128"/>
      <c r="J74" s="89"/>
    </row>
    <row r="75" spans="1:10" ht="15" customHeight="1">
      <c r="A75" s="161" t="s">
        <v>581</v>
      </c>
      <c r="B75" s="131"/>
      <c r="C75" s="137"/>
      <c r="D75" s="132" t="s">
        <v>672</v>
      </c>
      <c r="E75" s="281"/>
      <c r="F75" s="133">
        <f>SUM(F68:F74)</f>
        <v>88266968</v>
      </c>
      <c r="G75" s="133">
        <f>SUM(G68:G74)</f>
        <v>88159262</v>
      </c>
      <c r="H75" s="133">
        <f>SUM(H68:H74)</f>
        <v>107706</v>
      </c>
      <c r="I75" s="128">
        <v>0</v>
      </c>
      <c r="J75" s="89"/>
    </row>
    <row r="76" spans="1:10" ht="15" customHeight="1">
      <c r="A76" s="161"/>
      <c r="B76" s="131"/>
      <c r="C76" s="137"/>
      <c r="D76" s="132"/>
      <c r="E76" s="281"/>
      <c r="F76" s="133"/>
      <c r="G76" s="133"/>
      <c r="H76" s="133"/>
      <c r="I76" s="128"/>
      <c r="J76" s="89"/>
    </row>
    <row r="77" spans="1:10" ht="15" customHeight="1">
      <c r="A77" s="134" t="s">
        <v>830</v>
      </c>
      <c r="B77" s="120"/>
      <c r="C77" s="120"/>
      <c r="D77" s="122"/>
      <c r="E77" s="283"/>
      <c r="F77" s="133"/>
      <c r="G77" s="133"/>
      <c r="H77" s="133"/>
      <c r="I77" s="128"/>
      <c r="J77" s="89"/>
    </row>
    <row r="78" spans="1:10" ht="15" customHeight="1">
      <c r="A78" s="134" t="s">
        <v>714</v>
      </c>
      <c r="B78" s="119"/>
      <c r="C78" s="131" t="s">
        <v>722</v>
      </c>
      <c r="D78" s="122"/>
      <c r="E78" s="283"/>
      <c r="F78" s="133"/>
      <c r="G78" s="133"/>
      <c r="H78" s="133"/>
      <c r="I78" s="128"/>
      <c r="J78" s="89"/>
    </row>
    <row r="79" spans="1:10" ht="15" customHeight="1">
      <c r="A79" s="130" t="s">
        <v>393</v>
      </c>
      <c r="B79" s="131"/>
      <c r="C79" s="137" t="s">
        <v>828</v>
      </c>
      <c r="D79" s="132" t="s">
        <v>582</v>
      </c>
      <c r="E79" s="279">
        <v>46858</v>
      </c>
      <c r="F79" s="133">
        <v>18082897</v>
      </c>
      <c r="G79" s="133">
        <v>18082897</v>
      </c>
      <c r="H79" s="133">
        <f>SUM(F79-G79)</f>
        <v>0</v>
      </c>
      <c r="I79" s="128">
        <v>0</v>
      </c>
      <c r="J79" s="89"/>
    </row>
    <row r="80" spans="1:10" ht="15" customHeight="1">
      <c r="A80" s="130" t="s">
        <v>394</v>
      </c>
      <c r="B80" s="131"/>
      <c r="C80" s="137" t="s">
        <v>480</v>
      </c>
      <c r="D80" s="132" t="s">
        <v>676</v>
      </c>
      <c r="E80" s="279">
        <v>47223</v>
      </c>
      <c r="F80" s="133">
        <v>20875058</v>
      </c>
      <c r="G80" s="133">
        <v>20775058</v>
      </c>
      <c r="H80" s="133">
        <f>SUM(F80-G80)</f>
        <v>100000</v>
      </c>
      <c r="I80" s="128">
        <v>0</v>
      </c>
      <c r="J80" s="89"/>
    </row>
    <row r="81" spans="1:10" ht="15" customHeight="1">
      <c r="A81" s="130"/>
      <c r="B81" s="131"/>
      <c r="C81" s="137"/>
      <c r="D81" s="132"/>
      <c r="E81" s="139"/>
      <c r="F81" s="133"/>
      <c r="G81" s="133"/>
      <c r="H81" s="133"/>
      <c r="I81" s="128"/>
      <c r="J81" s="89"/>
    </row>
    <row r="82" spans="1:10" ht="15" customHeight="1">
      <c r="A82" s="161" t="s">
        <v>583</v>
      </c>
      <c r="B82" s="131"/>
      <c r="C82" s="137"/>
      <c r="D82" s="132" t="s">
        <v>672</v>
      </c>
      <c r="E82" s="140"/>
      <c r="F82" s="133">
        <f>SUM(F77:F80)</f>
        <v>38957955</v>
      </c>
      <c r="G82" s="133">
        <f>SUM(G77:G80)</f>
        <v>38857955</v>
      </c>
      <c r="H82" s="172">
        <f>SUM(H76:H80)</f>
        <v>100000</v>
      </c>
      <c r="I82" s="128">
        <f>SUM(I79:I80)</f>
        <v>0</v>
      </c>
      <c r="J82" s="89"/>
    </row>
    <row r="83" spans="1:10" ht="15" customHeight="1">
      <c r="A83" s="161"/>
      <c r="B83" s="131"/>
      <c r="C83" s="137"/>
      <c r="D83" s="251"/>
      <c r="E83" s="252"/>
      <c r="F83" s="245"/>
      <c r="G83" s="245"/>
      <c r="H83" s="245"/>
      <c r="I83" s="245"/>
      <c r="J83" s="89"/>
    </row>
    <row r="84" spans="1:10" ht="15" customHeight="1">
      <c r="A84" s="161"/>
      <c r="B84" s="131"/>
      <c r="C84" s="137"/>
      <c r="D84" s="251"/>
      <c r="E84" s="252"/>
      <c r="F84" s="245"/>
      <c r="G84" s="245"/>
      <c r="H84" s="245"/>
      <c r="I84" s="245"/>
      <c r="J84" s="89"/>
    </row>
    <row r="85" spans="1:10" ht="15" customHeight="1">
      <c r="A85" s="161"/>
      <c r="B85" s="131"/>
      <c r="C85" s="137"/>
      <c r="D85" s="251"/>
      <c r="E85" s="252"/>
      <c r="F85" s="245"/>
      <c r="G85" s="245"/>
      <c r="H85" s="245"/>
      <c r="I85" s="245"/>
      <c r="J85" s="89"/>
    </row>
    <row r="86" spans="1:10" ht="15" customHeight="1">
      <c r="A86" s="161"/>
      <c r="B86" s="131"/>
      <c r="C86" s="137"/>
      <c r="D86" s="251"/>
      <c r="E86" s="252"/>
      <c r="F86" s="245"/>
      <c r="G86" s="245"/>
      <c r="H86" s="245"/>
      <c r="I86" s="245"/>
      <c r="J86" s="89"/>
    </row>
    <row r="87" spans="1:10" ht="15" customHeight="1">
      <c r="A87" s="161"/>
      <c r="B87" s="131"/>
      <c r="C87" s="137"/>
      <c r="D87" s="251"/>
      <c r="E87" s="252"/>
      <c r="F87" s="245"/>
      <c r="G87" s="245"/>
      <c r="H87" s="245"/>
      <c r="I87" s="245"/>
      <c r="J87" s="89"/>
    </row>
    <row r="88" spans="1:10" ht="15" customHeight="1">
      <c r="A88" s="161"/>
      <c r="B88" s="131"/>
      <c r="C88" s="137"/>
      <c r="D88" s="251"/>
      <c r="E88" s="252"/>
      <c r="F88" s="245"/>
      <c r="G88" s="245"/>
      <c r="H88" s="245"/>
      <c r="I88" s="245"/>
      <c r="J88" s="89"/>
    </row>
    <row r="89" spans="1:10" ht="15" customHeight="1">
      <c r="A89" s="161"/>
      <c r="B89" s="131"/>
      <c r="C89" s="137"/>
      <c r="D89" s="251"/>
      <c r="E89" s="252"/>
      <c r="F89" s="245"/>
      <c r="G89" s="245"/>
      <c r="H89" s="245"/>
      <c r="I89" s="245"/>
      <c r="J89" s="89"/>
    </row>
    <row r="90" spans="1:10" ht="15" customHeight="1">
      <c r="A90" s="161"/>
      <c r="B90" s="131"/>
      <c r="C90" s="137"/>
      <c r="D90" s="251"/>
      <c r="E90" s="252"/>
      <c r="F90" s="245"/>
      <c r="G90" s="245"/>
      <c r="H90" s="245"/>
      <c r="I90" s="245"/>
      <c r="J90" s="89"/>
    </row>
    <row r="91" spans="1:10" ht="15" customHeight="1">
      <c r="A91" s="161"/>
      <c r="B91" s="131"/>
      <c r="C91" s="137"/>
      <c r="D91" s="251"/>
      <c r="E91" s="252"/>
      <c r="F91" s="245"/>
      <c r="G91" s="245"/>
      <c r="H91" s="245"/>
      <c r="I91" s="245"/>
      <c r="J91" s="89"/>
    </row>
    <row r="92" spans="1:10" ht="15" customHeight="1">
      <c r="A92" s="161"/>
      <c r="B92" s="131"/>
      <c r="C92" s="137"/>
      <c r="D92" s="251"/>
      <c r="E92" s="252"/>
      <c r="F92" s="245"/>
      <c r="G92" s="245"/>
      <c r="H92" s="245"/>
      <c r="I92" s="245"/>
      <c r="J92" s="89"/>
    </row>
    <row r="93" spans="1:10" ht="15" customHeight="1">
      <c r="A93" s="161"/>
      <c r="B93" s="131"/>
      <c r="C93" s="137"/>
      <c r="D93" s="251"/>
      <c r="E93" s="252"/>
      <c r="F93" s="245"/>
      <c r="G93" s="245"/>
      <c r="H93" s="245"/>
      <c r="I93" s="245"/>
      <c r="J93" s="89"/>
    </row>
    <row r="94" spans="1:10" ht="15" customHeight="1">
      <c r="A94" s="161"/>
      <c r="B94" s="131"/>
      <c r="C94" s="137"/>
      <c r="D94" s="251"/>
      <c r="E94" s="252"/>
      <c r="F94" s="245"/>
      <c r="G94" s="245"/>
      <c r="H94" s="245"/>
      <c r="I94" s="245"/>
      <c r="J94" s="89"/>
    </row>
    <row r="95" spans="1:10" ht="15" customHeight="1">
      <c r="A95" s="161"/>
      <c r="B95" s="131"/>
      <c r="C95" s="137"/>
      <c r="D95" s="251"/>
      <c r="E95" s="252"/>
      <c r="F95" s="245"/>
      <c r="G95" s="245"/>
      <c r="H95" s="245"/>
      <c r="I95" s="245"/>
      <c r="J95" s="89"/>
    </row>
    <row r="96" spans="1:10" ht="15" customHeight="1">
      <c r="A96" s="161"/>
      <c r="B96" s="131"/>
      <c r="C96" s="137"/>
      <c r="D96" s="251"/>
      <c r="E96" s="252"/>
      <c r="F96" s="245"/>
      <c r="G96" s="245"/>
      <c r="H96" s="245"/>
      <c r="I96" s="245"/>
      <c r="J96" s="89"/>
    </row>
    <row r="97" spans="1:10" ht="15" customHeight="1">
      <c r="A97" s="161"/>
      <c r="B97" s="131"/>
      <c r="C97" s="137"/>
      <c r="D97" s="251"/>
      <c r="E97" s="252"/>
      <c r="F97" s="245"/>
      <c r="G97" s="245"/>
      <c r="H97" s="245"/>
      <c r="I97" s="245"/>
      <c r="J97" s="89"/>
    </row>
    <row r="98" spans="1:10" s="113" customFormat="1" ht="15" customHeight="1" thickBot="1">
      <c r="A98" s="163"/>
      <c r="B98" s="164"/>
      <c r="C98" s="205"/>
      <c r="D98" s="165"/>
      <c r="E98" s="166"/>
      <c r="F98" s="167"/>
      <c r="G98" s="167"/>
      <c r="H98" s="167"/>
      <c r="I98" s="167"/>
      <c r="J98" s="144"/>
    </row>
    <row r="99" spans="1:10" ht="16.5" thickTop="1">
      <c r="A99" s="86"/>
      <c r="B99" s="87" t="s">
        <v>208</v>
      </c>
      <c r="C99" s="87"/>
      <c r="D99" s="87"/>
      <c r="E99" s="88"/>
      <c r="F99" s="88"/>
      <c r="G99" s="88"/>
      <c r="H99" s="88"/>
      <c r="I99" s="88"/>
      <c r="J99" s="7">
        <v>11</v>
      </c>
    </row>
    <row r="100" spans="1:10" ht="10.5" customHeight="1" thickBot="1">
      <c r="A100" s="144"/>
      <c r="B100" s="144"/>
      <c r="C100" s="144"/>
      <c r="D100" s="144"/>
      <c r="E100" s="144"/>
      <c r="F100" s="144"/>
      <c r="G100" s="144"/>
      <c r="H100" s="144"/>
      <c r="I100" s="144"/>
      <c r="J100" s="113"/>
    </row>
    <row r="101" spans="1:10" ht="15" customHeight="1" thickTop="1">
      <c r="A101" s="90"/>
      <c r="B101" s="90"/>
      <c r="C101" s="90"/>
      <c r="D101" s="91"/>
      <c r="E101" s="91"/>
      <c r="F101" s="91"/>
      <c r="G101" s="90"/>
      <c r="H101" s="90"/>
      <c r="I101" s="92"/>
      <c r="J101" s="12"/>
    </row>
    <row r="102" spans="1:10" ht="15" customHeight="1">
      <c r="A102" s="89"/>
      <c r="B102" s="89"/>
      <c r="C102" s="120"/>
      <c r="D102" s="121" t="s">
        <v>482</v>
      </c>
      <c r="E102" s="122"/>
      <c r="F102" s="123" t="s">
        <v>900</v>
      </c>
      <c r="G102" s="119"/>
      <c r="H102" s="119"/>
      <c r="I102" s="124"/>
      <c r="J102" s="20"/>
    </row>
    <row r="103" spans="1:10" ht="15" customHeight="1">
      <c r="A103" s="119" t="s">
        <v>706</v>
      </c>
      <c r="B103" s="88"/>
      <c r="C103" s="88"/>
      <c r="D103" s="121" t="s">
        <v>484</v>
      </c>
      <c r="E103" s="121" t="s">
        <v>485</v>
      </c>
      <c r="F103" s="122"/>
      <c r="G103" s="120"/>
      <c r="H103" s="120"/>
      <c r="I103" s="125" t="s">
        <v>486</v>
      </c>
      <c r="J103" s="65"/>
    </row>
    <row r="104" spans="1:10" ht="15" customHeight="1">
      <c r="A104" s="89"/>
      <c r="B104" s="89"/>
      <c r="C104" s="89"/>
      <c r="D104" s="121" t="s">
        <v>487</v>
      </c>
      <c r="E104" s="122"/>
      <c r="F104" s="126" t="s">
        <v>488</v>
      </c>
      <c r="G104" s="126" t="s">
        <v>489</v>
      </c>
      <c r="H104" s="126" t="s">
        <v>489</v>
      </c>
      <c r="I104" s="242" t="s">
        <v>51</v>
      </c>
      <c r="J104" s="127"/>
    </row>
    <row r="105" spans="1:10" ht="15" customHeight="1">
      <c r="A105" s="94"/>
      <c r="B105" s="94"/>
      <c r="C105" s="94"/>
      <c r="D105" s="95"/>
      <c r="E105" s="197"/>
      <c r="F105" s="198" t="s">
        <v>675</v>
      </c>
      <c r="G105" s="199" t="s">
        <v>490</v>
      </c>
      <c r="H105" s="199" t="s">
        <v>491</v>
      </c>
      <c r="I105" s="200"/>
      <c r="J105" s="143"/>
    </row>
    <row r="106" spans="1:10" ht="14.25" customHeight="1">
      <c r="A106" s="162"/>
      <c r="B106" s="162"/>
      <c r="C106" s="162"/>
      <c r="D106" s="93"/>
      <c r="E106" s="122"/>
      <c r="F106" s="201"/>
      <c r="G106" s="121"/>
      <c r="H106" s="121"/>
      <c r="I106" s="128"/>
      <c r="J106" s="160"/>
    </row>
    <row r="107" spans="1:10" ht="14.25" customHeight="1">
      <c r="A107" s="134" t="s">
        <v>720</v>
      </c>
      <c r="B107" s="89"/>
      <c r="C107" s="89"/>
      <c r="D107" s="93"/>
      <c r="E107" s="93"/>
      <c r="F107" s="93"/>
      <c r="G107" s="93"/>
      <c r="H107" s="93"/>
      <c r="I107" s="96"/>
      <c r="J107" s="20"/>
    </row>
    <row r="108" spans="1:10" ht="15" customHeight="1">
      <c r="A108" s="134" t="s">
        <v>714</v>
      </c>
      <c r="B108" s="119" t="s">
        <v>721</v>
      </c>
      <c r="C108" s="131" t="s">
        <v>722</v>
      </c>
      <c r="D108" s="93"/>
      <c r="E108" s="93"/>
      <c r="F108" s="93"/>
      <c r="G108" s="93"/>
      <c r="H108" s="93"/>
      <c r="I108" s="96"/>
      <c r="J108" s="20"/>
    </row>
    <row r="109" spans="1:10" ht="14.25" customHeight="1">
      <c r="A109" s="130" t="s">
        <v>213</v>
      </c>
      <c r="B109" s="131" t="s">
        <v>761</v>
      </c>
      <c r="C109" s="137" t="s">
        <v>727</v>
      </c>
      <c r="D109" s="132" t="s">
        <v>217</v>
      </c>
      <c r="E109" s="279">
        <v>36981</v>
      </c>
      <c r="F109" s="133">
        <v>14180740</v>
      </c>
      <c r="G109" s="133">
        <v>14180740</v>
      </c>
      <c r="H109" s="133">
        <f>SUM(F109-G109)</f>
        <v>0</v>
      </c>
      <c r="I109" s="128">
        <v>0</v>
      </c>
      <c r="J109" s="89"/>
    </row>
    <row r="110" spans="1:10" ht="14.25" customHeight="1">
      <c r="A110" s="146" t="s">
        <v>239</v>
      </c>
      <c r="B110" s="131" t="s">
        <v>736</v>
      </c>
      <c r="C110" s="137" t="s">
        <v>698</v>
      </c>
      <c r="D110" s="132" t="s">
        <v>131</v>
      </c>
      <c r="E110" s="279">
        <v>36981</v>
      </c>
      <c r="F110" s="133">
        <v>21605352</v>
      </c>
      <c r="G110" s="133">
        <v>21579752</v>
      </c>
      <c r="H110" s="133">
        <f aca="true" t="shared" si="2" ref="H110:H171">SUM(F110-G110)</f>
        <v>25600</v>
      </c>
      <c r="I110" s="128">
        <v>0</v>
      </c>
      <c r="J110" s="89"/>
    </row>
    <row r="111" spans="1:10" ht="14.25" customHeight="1">
      <c r="A111" s="130" t="s">
        <v>240</v>
      </c>
      <c r="B111" s="131" t="s">
        <v>770</v>
      </c>
      <c r="C111" s="137" t="s">
        <v>744</v>
      </c>
      <c r="D111" s="132" t="s">
        <v>417</v>
      </c>
      <c r="E111" s="279">
        <v>37011</v>
      </c>
      <c r="F111" s="133">
        <v>13780470</v>
      </c>
      <c r="G111" s="133">
        <v>13780470</v>
      </c>
      <c r="H111" s="133">
        <f>SUM(F111-G111)</f>
        <v>0</v>
      </c>
      <c r="I111" s="128">
        <v>0</v>
      </c>
      <c r="J111" s="89"/>
    </row>
    <row r="112" spans="1:10" ht="14.25" customHeight="1">
      <c r="A112" s="146" t="s">
        <v>241</v>
      </c>
      <c r="B112" s="131" t="s">
        <v>755</v>
      </c>
      <c r="C112" s="137">
        <v>5</v>
      </c>
      <c r="D112" s="132" t="s">
        <v>129</v>
      </c>
      <c r="E112" s="279">
        <v>37011</v>
      </c>
      <c r="F112" s="133">
        <v>21033523</v>
      </c>
      <c r="G112" s="133">
        <v>21031123</v>
      </c>
      <c r="H112" s="133">
        <f>SUM(F112-G112)</f>
        <v>2400</v>
      </c>
      <c r="I112" s="128">
        <v>0</v>
      </c>
      <c r="J112" s="89"/>
    </row>
    <row r="113" spans="1:10" ht="14.25" customHeight="1">
      <c r="A113" s="130" t="s">
        <v>242</v>
      </c>
      <c r="B113" s="131" t="s">
        <v>752</v>
      </c>
      <c r="C113" s="131" t="s">
        <v>765</v>
      </c>
      <c r="D113" s="132" t="s">
        <v>538</v>
      </c>
      <c r="E113" s="279">
        <v>37026</v>
      </c>
      <c r="F113" s="133">
        <v>12398083</v>
      </c>
      <c r="G113" s="133">
        <v>7058733</v>
      </c>
      <c r="H113" s="133">
        <f t="shared" si="2"/>
        <v>5339350</v>
      </c>
      <c r="I113" s="128">
        <v>90300</v>
      </c>
      <c r="J113" s="20"/>
    </row>
    <row r="114" spans="1:10" ht="14.25" customHeight="1">
      <c r="A114" s="146" t="s">
        <v>243</v>
      </c>
      <c r="B114" s="131" t="s">
        <v>771</v>
      </c>
      <c r="C114" s="137" t="s">
        <v>773</v>
      </c>
      <c r="D114" s="184" t="s">
        <v>539</v>
      </c>
      <c r="E114" s="279">
        <v>37026</v>
      </c>
      <c r="F114" s="133">
        <v>12873752</v>
      </c>
      <c r="G114" s="133">
        <v>12873752</v>
      </c>
      <c r="H114" s="133">
        <f t="shared" si="2"/>
        <v>0</v>
      </c>
      <c r="I114" s="128">
        <v>0</v>
      </c>
      <c r="J114" s="89"/>
    </row>
    <row r="115" spans="1:10" ht="14.25" customHeight="1">
      <c r="A115" s="130" t="s">
        <v>244</v>
      </c>
      <c r="B115" s="131" t="s">
        <v>729</v>
      </c>
      <c r="C115" s="137" t="s">
        <v>749</v>
      </c>
      <c r="D115" s="132" t="s">
        <v>418</v>
      </c>
      <c r="E115" s="279">
        <v>37042</v>
      </c>
      <c r="F115" s="133">
        <v>13721702</v>
      </c>
      <c r="G115" s="133">
        <v>13721702</v>
      </c>
      <c r="H115" s="133">
        <f>SUM(F115-G115)</f>
        <v>0</v>
      </c>
      <c r="I115" s="128">
        <v>0</v>
      </c>
      <c r="J115" s="89"/>
    </row>
    <row r="116" spans="1:10" ht="14.25" customHeight="1">
      <c r="A116" s="146" t="s">
        <v>245</v>
      </c>
      <c r="B116" s="131" t="s">
        <v>766</v>
      </c>
      <c r="C116" s="137" t="s">
        <v>783</v>
      </c>
      <c r="D116" s="132" t="s">
        <v>474</v>
      </c>
      <c r="E116" s="279">
        <v>37042</v>
      </c>
      <c r="F116" s="133">
        <v>19885985</v>
      </c>
      <c r="G116" s="133">
        <v>19785985</v>
      </c>
      <c r="H116" s="133">
        <f t="shared" si="2"/>
        <v>100000</v>
      </c>
      <c r="I116" s="128">
        <v>0</v>
      </c>
      <c r="J116" s="89"/>
    </row>
    <row r="117" spans="1:10" ht="14.25" customHeight="1">
      <c r="A117" s="130" t="s">
        <v>246</v>
      </c>
      <c r="B117" s="131" t="s">
        <v>737</v>
      </c>
      <c r="C117" s="137" t="s">
        <v>784</v>
      </c>
      <c r="D117" s="132" t="s">
        <v>419</v>
      </c>
      <c r="E117" s="279">
        <v>37072</v>
      </c>
      <c r="F117" s="133">
        <v>14282240</v>
      </c>
      <c r="G117" s="133">
        <v>14282240</v>
      </c>
      <c r="H117" s="133">
        <f>SUM(F117-G117)</f>
        <v>0</v>
      </c>
      <c r="I117" s="128">
        <v>0</v>
      </c>
      <c r="J117" s="89"/>
    </row>
    <row r="118" spans="1:10" ht="14.25" customHeight="1">
      <c r="A118" s="146" t="s">
        <v>247</v>
      </c>
      <c r="B118" s="131" t="s">
        <v>776</v>
      </c>
      <c r="C118" s="131" t="s">
        <v>725</v>
      </c>
      <c r="D118" s="132" t="s">
        <v>610</v>
      </c>
      <c r="E118" s="279">
        <v>37072</v>
      </c>
      <c r="F118" s="133">
        <v>19001309</v>
      </c>
      <c r="G118" s="133">
        <v>18996509</v>
      </c>
      <c r="H118" s="133">
        <f t="shared" si="2"/>
        <v>4800</v>
      </c>
      <c r="I118" s="128">
        <v>0</v>
      </c>
      <c r="J118" s="89"/>
    </row>
    <row r="119" spans="1:10" ht="14.25" customHeight="1">
      <c r="A119" s="130" t="s">
        <v>248</v>
      </c>
      <c r="B119" s="131" t="s">
        <v>741</v>
      </c>
      <c r="C119" s="137" t="s">
        <v>784</v>
      </c>
      <c r="D119" s="132" t="s">
        <v>420</v>
      </c>
      <c r="E119" s="279">
        <v>37103</v>
      </c>
      <c r="F119" s="133">
        <v>14136833</v>
      </c>
      <c r="G119" s="133">
        <v>14136833</v>
      </c>
      <c r="H119" s="133">
        <f>SUM(F119-G119)</f>
        <v>0</v>
      </c>
      <c r="I119" s="128">
        <v>0</v>
      </c>
      <c r="J119" s="89"/>
    </row>
    <row r="120" spans="1:10" ht="14.25" customHeight="1">
      <c r="A120" s="146" t="s">
        <v>249</v>
      </c>
      <c r="B120" s="131" t="s">
        <v>731</v>
      </c>
      <c r="C120" s="137" t="s">
        <v>738</v>
      </c>
      <c r="D120" s="132" t="s">
        <v>193</v>
      </c>
      <c r="E120" s="279">
        <v>37103</v>
      </c>
      <c r="F120" s="133">
        <v>20541318</v>
      </c>
      <c r="G120" s="133">
        <v>20083318</v>
      </c>
      <c r="H120" s="133">
        <f t="shared" si="2"/>
        <v>458000</v>
      </c>
      <c r="I120" s="128">
        <v>0</v>
      </c>
      <c r="J120" s="89"/>
    </row>
    <row r="121" spans="1:10" ht="13.5" customHeight="1">
      <c r="A121" s="130" t="s">
        <v>250</v>
      </c>
      <c r="B121" s="131" t="s">
        <v>764</v>
      </c>
      <c r="C121" s="131" t="s">
        <v>775</v>
      </c>
      <c r="D121" s="132" t="s">
        <v>540</v>
      </c>
      <c r="E121" s="279">
        <v>37118</v>
      </c>
      <c r="F121" s="133">
        <v>12339185</v>
      </c>
      <c r="G121" s="133">
        <v>7391985</v>
      </c>
      <c r="H121" s="133">
        <f t="shared" si="2"/>
        <v>4947200</v>
      </c>
      <c r="I121" s="128">
        <v>19200</v>
      </c>
      <c r="J121" s="20"/>
    </row>
    <row r="122" spans="1:10" ht="13.5" customHeight="1">
      <c r="A122" s="130" t="s">
        <v>251</v>
      </c>
      <c r="B122" s="131" t="s">
        <v>748</v>
      </c>
      <c r="C122" s="137" t="s">
        <v>749</v>
      </c>
      <c r="D122" s="132" t="s">
        <v>421</v>
      </c>
      <c r="E122" s="279">
        <v>37134</v>
      </c>
      <c r="F122" s="133">
        <v>14000224</v>
      </c>
      <c r="G122" s="133">
        <v>14000224</v>
      </c>
      <c r="H122" s="133">
        <f>SUM(F122-G122)</f>
        <v>0</v>
      </c>
      <c r="I122" s="128">
        <v>0</v>
      </c>
      <c r="J122" s="89"/>
    </row>
    <row r="123" spans="1:10" ht="13.5" customHeight="1">
      <c r="A123" s="130" t="s">
        <v>252</v>
      </c>
      <c r="B123" s="131" t="s">
        <v>740</v>
      </c>
      <c r="C123" s="137" t="s">
        <v>738</v>
      </c>
      <c r="D123" s="132" t="s">
        <v>194</v>
      </c>
      <c r="E123" s="279">
        <v>37134</v>
      </c>
      <c r="F123" s="133">
        <v>20118595</v>
      </c>
      <c r="G123" s="133">
        <v>20118595</v>
      </c>
      <c r="H123" s="133">
        <f t="shared" si="2"/>
        <v>0</v>
      </c>
      <c r="I123" s="128">
        <v>0</v>
      </c>
      <c r="J123" s="89"/>
    </row>
    <row r="124" spans="1:10" ht="13.5" customHeight="1">
      <c r="A124" s="130" t="s">
        <v>253</v>
      </c>
      <c r="B124" s="131" t="s">
        <v>756</v>
      </c>
      <c r="C124" s="137" t="s">
        <v>727</v>
      </c>
      <c r="D124" s="132" t="s">
        <v>422</v>
      </c>
      <c r="E124" s="279">
        <v>37164</v>
      </c>
      <c r="F124" s="133">
        <v>14518514</v>
      </c>
      <c r="G124" s="133">
        <v>14518514</v>
      </c>
      <c r="H124" s="133">
        <f>SUM(F124-G124)</f>
        <v>0</v>
      </c>
      <c r="I124" s="128">
        <v>0</v>
      </c>
      <c r="J124" s="89"/>
    </row>
    <row r="125" spans="1:10" ht="13.5" customHeight="1">
      <c r="A125" s="130" t="s">
        <v>254</v>
      </c>
      <c r="B125" s="131" t="s">
        <v>743</v>
      </c>
      <c r="C125" s="137" t="s">
        <v>773</v>
      </c>
      <c r="D125" s="132" t="s">
        <v>599</v>
      </c>
      <c r="E125" s="279">
        <v>37164</v>
      </c>
      <c r="F125" s="133">
        <v>18797828</v>
      </c>
      <c r="G125" s="133">
        <v>18297028</v>
      </c>
      <c r="H125" s="133">
        <f>SUM(F125-G125)</f>
        <v>500800</v>
      </c>
      <c r="I125" s="128">
        <v>0</v>
      </c>
      <c r="J125" s="89"/>
    </row>
    <row r="126" spans="1:10" ht="13.5" customHeight="1">
      <c r="A126" s="130" t="s">
        <v>255</v>
      </c>
      <c r="B126" s="131" t="s">
        <v>759</v>
      </c>
      <c r="C126" s="137" t="s">
        <v>744</v>
      </c>
      <c r="D126" s="132" t="s">
        <v>423</v>
      </c>
      <c r="E126" s="279">
        <v>37195</v>
      </c>
      <c r="F126" s="133">
        <v>14639843</v>
      </c>
      <c r="G126" s="133">
        <v>14639843</v>
      </c>
      <c r="H126" s="133">
        <f>SUM(F126-G126)</f>
        <v>0</v>
      </c>
      <c r="I126" s="128">
        <v>0</v>
      </c>
      <c r="J126" s="89"/>
    </row>
    <row r="127" spans="1:10" ht="13.5" customHeight="1">
      <c r="A127" s="130" t="s">
        <v>256</v>
      </c>
      <c r="B127" s="131" t="s">
        <v>751</v>
      </c>
      <c r="C127" s="131" t="s">
        <v>732</v>
      </c>
      <c r="D127" s="132" t="s">
        <v>75</v>
      </c>
      <c r="E127" s="279">
        <v>37195</v>
      </c>
      <c r="F127" s="133">
        <v>19196002</v>
      </c>
      <c r="G127" s="133">
        <v>19194402</v>
      </c>
      <c r="H127" s="133">
        <f>SUM(F127-G127)</f>
        <v>1600</v>
      </c>
      <c r="I127" s="128">
        <v>0</v>
      </c>
      <c r="J127" s="89"/>
    </row>
    <row r="128" spans="1:10" ht="14.25" customHeight="1">
      <c r="A128" s="130" t="s">
        <v>257</v>
      </c>
      <c r="B128" s="131" t="s">
        <v>774</v>
      </c>
      <c r="C128" s="131" t="s">
        <v>772</v>
      </c>
      <c r="D128" s="132" t="s">
        <v>541</v>
      </c>
      <c r="E128" s="279">
        <v>37210</v>
      </c>
      <c r="F128" s="133">
        <v>24226102</v>
      </c>
      <c r="G128" s="133">
        <v>19283062</v>
      </c>
      <c r="H128" s="133">
        <f t="shared" si="2"/>
        <v>4943040</v>
      </c>
      <c r="I128" s="128">
        <v>23200</v>
      </c>
      <c r="J128" s="20"/>
    </row>
    <row r="129" spans="1:10" ht="14.25" customHeight="1">
      <c r="A129" s="130" t="s">
        <v>424</v>
      </c>
      <c r="B129" s="131" t="s">
        <v>762</v>
      </c>
      <c r="C129" s="131" t="s">
        <v>732</v>
      </c>
      <c r="D129" s="132" t="s">
        <v>65</v>
      </c>
      <c r="E129" s="279">
        <v>37225</v>
      </c>
      <c r="F129" s="133">
        <v>33504627</v>
      </c>
      <c r="G129" s="133">
        <v>33504627</v>
      </c>
      <c r="H129" s="133">
        <f t="shared" si="2"/>
        <v>0</v>
      </c>
      <c r="I129" s="128">
        <v>0</v>
      </c>
      <c r="J129" s="20"/>
    </row>
    <row r="130" spans="1:10" ht="14.25" customHeight="1">
      <c r="A130" s="146" t="s">
        <v>259</v>
      </c>
      <c r="B130" s="131" t="s">
        <v>767</v>
      </c>
      <c r="C130" s="137" t="s">
        <v>781</v>
      </c>
      <c r="D130" s="132" t="s">
        <v>66</v>
      </c>
      <c r="E130" s="279">
        <v>37256</v>
      </c>
      <c r="F130" s="133">
        <v>31166321</v>
      </c>
      <c r="G130" s="133">
        <v>31087921</v>
      </c>
      <c r="H130" s="133">
        <f t="shared" si="2"/>
        <v>78400</v>
      </c>
      <c r="I130" s="128">
        <v>0</v>
      </c>
      <c r="J130" s="20"/>
    </row>
    <row r="131" spans="1:10" ht="14.25" customHeight="1">
      <c r="A131" s="146" t="s">
        <v>260</v>
      </c>
      <c r="B131" s="131" t="s">
        <v>764</v>
      </c>
      <c r="C131" s="137" t="s">
        <v>744</v>
      </c>
      <c r="D131" s="132" t="s">
        <v>425</v>
      </c>
      <c r="E131" s="279">
        <v>37287</v>
      </c>
      <c r="F131" s="133">
        <v>13453346</v>
      </c>
      <c r="G131" s="133">
        <v>13453346</v>
      </c>
      <c r="H131" s="133">
        <f t="shared" si="2"/>
        <v>0</v>
      </c>
      <c r="I131" s="128">
        <v>0</v>
      </c>
      <c r="J131" s="89"/>
    </row>
    <row r="132" spans="1:10" ht="14.25" customHeight="1">
      <c r="A132" s="130" t="s">
        <v>261</v>
      </c>
      <c r="B132" s="131" t="s">
        <v>767</v>
      </c>
      <c r="C132" s="137" t="s">
        <v>727</v>
      </c>
      <c r="D132" s="132" t="s">
        <v>682</v>
      </c>
      <c r="E132" s="279">
        <v>37287</v>
      </c>
      <c r="F132" s="133">
        <v>19381251</v>
      </c>
      <c r="G132" s="133">
        <v>19381251</v>
      </c>
      <c r="H132" s="133">
        <f>SUM(F132-G132)</f>
        <v>0</v>
      </c>
      <c r="I132" s="128">
        <v>0</v>
      </c>
      <c r="J132" s="20"/>
    </row>
    <row r="133" spans="1:10" ht="14.25" customHeight="1">
      <c r="A133" s="146" t="s">
        <v>426</v>
      </c>
      <c r="B133" s="131" t="s">
        <v>774</v>
      </c>
      <c r="C133" s="137" t="s">
        <v>744</v>
      </c>
      <c r="D133" s="132" t="s">
        <v>427</v>
      </c>
      <c r="E133" s="279">
        <v>37315</v>
      </c>
      <c r="F133" s="133">
        <v>13799902</v>
      </c>
      <c r="G133" s="133">
        <v>13799902</v>
      </c>
      <c r="H133" s="133">
        <f>SUM(F133-G133)</f>
        <v>0</v>
      </c>
      <c r="I133" s="128">
        <v>0</v>
      </c>
      <c r="J133" s="89"/>
    </row>
    <row r="134" spans="1:10" ht="14.25" customHeight="1">
      <c r="A134" s="130" t="s">
        <v>263</v>
      </c>
      <c r="B134" s="131" t="s">
        <v>768</v>
      </c>
      <c r="C134" s="131" t="s">
        <v>749</v>
      </c>
      <c r="D134" s="132" t="s">
        <v>700</v>
      </c>
      <c r="E134" s="279">
        <v>37315</v>
      </c>
      <c r="F134" s="133">
        <v>16563375</v>
      </c>
      <c r="G134" s="133">
        <v>16533375</v>
      </c>
      <c r="H134" s="133">
        <f t="shared" si="2"/>
        <v>30000</v>
      </c>
      <c r="I134" s="128">
        <v>0</v>
      </c>
      <c r="J134" s="20"/>
    </row>
    <row r="135" spans="1:10" ht="14.25" customHeight="1">
      <c r="A135" s="146" t="s">
        <v>264</v>
      </c>
      <c r="B135" s="131" t="s">
        <v>726</v>
      </c>
      <c r="C135" s="137" t="s">
        <v>784</v>
      </c>
      <c r="D135" s="132" t="s">
        <v>428</v>
      </c>
      <c r="E135" s="279">
        <v>37346</v>
      </c>
      <c r="F135" s="133">
        <v>14301310</v>
      </c>
      <c r="G135" s="133">
        <v>14301310</v>
      </c>
      <c r="H135" s="133">
        <f>SUM(F135-G135)</f>
        <v>0</v>
      </c>
      <c r="I135" s="128">
        <v>0</v>
      </c>
      <c r="J135" s="89"/>
    </row>
    <row r="136" spans="1:10" ht="14.25" customHeight="1">
      <c r="A136" s="130" t="s">
        <v>265</v>
      </c>
      <c r="B136" s="131" t="s">
        <v>771</v>
      </c>
      <c r="C136" s="131" t="s">
        <v>749</v>
      </c>
      <c r="D136" s="132" t="s">
        <v>696</v>
      </c>
      <c r="E136" s="279">
        <v>37346</v>
      </c>
      <c r="F136" s="133">
        <v>17237943</v>
      </c>
      <c r="G136" s="133">
        <v>17235543</v>
      </c>
      <c r="H136" s="133">
        <f t="shared" si="2"/>
        <v>2400</v>
      </c>
      <c r="I136" s="128">
        <v>0</v>
      </c>
      <c r="J136" s="89"/>
    </row>
    <row r="137" spans="1:10" ht="14.25" customHeight="1">
      <c r="A137" s="146" t="s">
        <v>266</v>
      </c>
      <c r="B137" s="131" t="s">
        <v>745</v>
      </c>
      <c r="C137" s="137" t="s">
        <v>784</v>
      </c>
      <c r="D137" s="132" t="s">
        <v>429</v>
      </c>
      <c r="E137" s="279">
        <v>37376</v>
      </c>
      <c r="F137" s="133">
        <v>14474673</v>
      </c>
      <c r="G137" s="133">
        <v>14474673</v>
      </c>
      <c r="H137" s="133">
        <f>SUM(F137-G137)</f>
        <v>0</v>
      </c>
      <c r="I137" s="128">
        <v>0</v>
      </c>
      <c r="J137" s="89"/>
    </row>
    <row r="138" spans="1:10" ht="14.25" customHeight="1">
      <c r="A138" s="130" t="s">
        <v>267</v>
      </c>
      <c r="B138" s="131" t="s">
        <v>778</v>
      </c>
      <c r="C138" s="137" t="s">
        <v>727</v>
      </c>
      <c r="D138" s="132" t="s">
        <v>477</v>
      </c>
      <c r="E138" s="279">
        <v>37376</v>
      </c>
      <c r="F138" s="133">
        <v>17390900</v>
      </c>
      <c r="G138" s="133">
        <v>17390900</v>
      </c>
      <c r="H138" s="133">
        <f t="shared" si="2"/>
        <v>0</v>
      </c>
      <c r="I138" s="128">
        <v>0</v>
      </c>
      <c r="J138" s="89"/>
    </row>
    <row r="139" spans="1:10" ht="14.25" customHeight="1">
      <c r="A139" s="130" t="s">
        <v>320</v>
      </c>
      <c r="B139" s="131" t="s">
        <v>733</v>
      </c>
      <c r="C139" s="131" t="s">
        <v>772</v>
      </c>
      <c r="D139" s="132" t="s">
        <v>542</v>
      </c>
      <c r="E139" s="279">
        <v>37391</v>
      </c>
      <c r="F139" s="133">
        <v>11714397</v>
      </c>
      <c r="G139" s="133">
        <v>7745037</v>
      </c>
      <c r="H139" s="133">
        <f t="shared" si="2"/>
        <v>3969360</v>
      </c>
      <c r="I139" s="128">
        <v>15200</v>
      </c>
      <c r="J139" s="20"/>
    </row>
    <row r="140" spans="1:10" ht="14.25" customHeight="1">
      <c r="A140" s="146" t="s">
        <v>268</v>
      </c>
      <c r="B140" s="131" t="s">
        <v>761</v>
      </c>
      <c r="C140" s="131" t="s">
        <v>749</v>
      </c>
      <c r="D140" s="132" t="s">
        <v>430</v>
      </c>
      <c r="E140" s="279">
        <v>37407</v>
      </c>
      <c r="F140" s="133">
        <v>13503890</v>
      </c>
      <c r="G140" s="133">
        <v>13503890</v>
      </c>
      <c r="H140" s="133">
        <f>SUM(F140-G140)</f>
        <v>0</v>
      </c>
      <c r="I140" s="128">
        <v>0</v>
      </c>
      <c r="J140" s="89"/>
    </row>
    <row r="141" spans="1:10" ht="14.25" customHeight="1">
      <c r="A141" s="265" t="s">
        <v>269</v>
      </c>
      <c r="B141" s="131" t="s">
        <v>723</v>
      </c>
      <c r="C141" s="137" t="s">
        <v>784</v>
      </c>
      <c r="D141" s="132" t="s">
        <v>893</v>
      </c>
      <c r="E141" s="279">
        <v>37407</v>
      </c>
      <c r="F141" s="133">
        <v>14871823</v>
      </c>
      <c r="G141" s="133">
        <v>14871823</v>
      </c>
      <c r="H141" s="133">
        <f t="shared" si="2"/>
        <v>0</v>
      </c>
      <c r="I141" s="128">
        <v>0</v>
      </c>
      <c r="J141" s="20"/>
    </row>
    <row r="142" spans="1:10" ht="14.25" customHeight="1">
      <c r="A142" s="146" t="s">
        <v>270</v>
      </c>
      <c r="B142" s="131" t="s">
        <v>770</v>
      </c>
      <c r="C142" s="277" t="s">
        <v>744</v>
      </c>
      <c r="D142" s="132" t="s">
        <v>431</v>
      </c>
      <c r="E142" s="279">
        <v>37437</v>
      </c>
      <c r="F142" s="133">
        <v>13058694</v>
      </c>
      <c r="G142" s="133">
        <v>13058694</v>
      </c>
      <c r="H142" s="133">
        <f>SUM(F142-G142)</f>
        <v>0</v>
      </c>
      <c r="I142" s="128">
        <v>0</v>
      </c>
      <c r="J142" s="89"/>
    </row>
    <row r="143" spans="1:10" ht="14.25" customHeight="1">
      <c r="A143" s="265" t="s">
        <v>271</v>
      </c>
      <c r="B143" s="131" t="s">
        <v>736</v>
      </c>
      <c r="C143" s="131" t="s">
        <v>727</v>
      </c>
      <c r="D143" s="132" t="s">
        <v>159</v>
      </c>
      <c r="E143" s="279">
        <v>37437</v>
      </c>
      <c r="F143" s="133">
        <v>14320609</v>
      </c>
      <c r="G143" s="133">
        <v>14319009</v>
      </c>
      <c r="H143" s="133">
        <f t="shared" si="2"/>
        <v>1600</v>
      </c>
      <c r="I143" s="128">
        <v>0</v>
      </c>
      <c r="J143" s="89"/>
    </row>
    <row r="144" spans="1:10" ht="14.25" customHeight="1">
      <c r="A144" s="130" t="s">
        <v>432</v>
      </c>
      <c r="B144" s="131" t="s">
        <v>737</v>
      </c>
      <c r="C144" s="131">
        <v>6</v>
      </c>
      <c r="D144" s="132" t="s">
        <v>433</v>
      </c>
      <c r="E144" s="279">
        <v>37468</v>
      </c>
      <c r="F144" s="133">
        <v>12231057</v>
      </c>
      <c r="G144" s="133">
        <v>12231057</v>
      </c>
      <c r="H144" s="133">
        <f>SUM(F144-G144)</f>
        <v>0</v>
      </c>
      <c r="I144" s="128">
        <v>0</v>
      </c>
      <c r="J144" s="89"/>
    </row>
    <row r="145" spans="1:10" ht="14.25" customHeight="1">
      <c r="A145" s="130" t="s">
        <v>434</v>
      </c>
      <c r="B145" s="131" t="s">
        <v>755</v>
      </c>
      <c r="C145" s="277" t="s">
        <v>744</v>
      </c>
      <c r="D145" s="132" t="s">
        <v>79</v>
      </c>
      <c r="E145" s="279">
        <v>37468</v>
      </c>
      <c r="F145" s="133">
        <v>15057900</v>
      </c>
      <c r="G145" s="133">
        <v>15057900</v>
      </c>
      <c r="H145" s="133">
        <f>SUM(F145-G145)</f>
        <v>0</v>
      </c>
      <c r="I145" s="128">
        <v>0</v>
      </c>
      <c r="J145" s="20"/>
    </row>
    <row r="146" spans="1:10" ht="14.25" customHeight="1">
      <c r="A146" s="130" t="s">
        <v>273</v>
      </c>
      <c r="B146" s="131" t="s">
        <v>752</v>
      </c>
      <c r="C146" s="131" t="s">
        <v>727</v>
      </c>
      <c r="D146" s="132" t="s">
        <v>544</v>
      </c>
      <c r="E146" s="279">
        <v>37483</v>
      </c>
      <c r="F146" s="133">
        <v>23859015</v>
      </c>
      <c r="G146" s="133">
        <v>20961415</v>
      </c>
      <c r="H146" s="133">
        <f t="shared" si="2"/>
        <v>2897600</v>
      </c>
      <c r="I146" s="128">
        <v>27200</v>
      </c>
      <c r="J146" s="20"/>
    </row>
    <row r="147" spans="1:10" ht="14.25" customHeight="1">
      <c r="A147" s="130" t="s">
        <v>274</v>
      </c>
      <c r="B147" s="131" t="s">
        <v>741</v>
      </c>
      <c r="C147" s="277" t="s">
        <v>744</v>
      </c>
      <c r="D147" s="132" t="s">
        <v>435</v>
      </c>
      <c r="E147" s="279">
        <v>37499</v>
      </c>
      <c r="F147" s="133">
        <v>12731742</v>
      </c>
      <c r="G147" s="133">
        <v>12731742</v>
      </c>
      <c r="H147" s="133">
        <f>SUM(F147-G147)</f>
        <v>0</v>
      </c>
      <c r="I147" s="128">
        <v>0</v>
      </c>
      <c r="J147" s="89"/>
    </row>
    <row r="148" spans="1:10" ht="14.25" customHeight="1">
      <c r="A148" s="130" t="s">
        <v>436</v>
      </c>
      <c r="B148" s="131" t="s">
        <v>766</v>
      </c>
      <c r="C148" s="137" t="s">
        <v>781</v>
      </c>
      <c r="D148" s="132" t="s">
        <v>471</v>
      </c>
      <c r="E148" s="279">
        <v>37499</v>
      </c>
      <c r="F148" s="133">
        <v>15072214</v>
      </c>
      <c r="G148" s="133">
        <v>15072214</v>
      </c>
      <c r="H148" s="133">
        <f t="shared" si="2"/>
        <v>0</v>
      </c>
      <c r="I148" s="128">
        <v>0</v>
      </c>
      <c r="J148" s="20"/>
    </row>
    <row r="149" spans="1:10" ht="14.25" customHeight="1">
      <c r="A149" s="130" t="s">
        <v>437</v>
      </c>
      <c r="B149" s="131" t="s">
        <v>748</v>
      </c>
      <c r="C149" s="131" t="s">
        <v>732</v>
      </c>
      <c r="D149" s="132" t="s">
        <v>545</v>
      </c>
      <c r="E149" s="279">
        <v>37529</v>
      </c>
      <c r="F149" s="133">
        <v>12806814</v>
      </c>
      <c r="G149" s="133">
        <v>12768414</v>
      </c>
      <c r="H149" s="133">
        <f t="shared" si="2"/>
        <v>38400</v>
      </c>
      <c r="I149" s="128">
        <v>0</v>
      </c>
      <c r="J149" s="89"/>
    </row>
    <row r="150" spans="1:10" ht="14.25" customHeight="1">
      <c r="A150" s="130" t="s">
        <v>438</v>
      </c>
      <c r="B150" s="131" t="s">
        <v>776</v>
      </c>
      <c r="C150" s="131">
        <v>6</v>
      </c>
      <c r="D150" s="132" t="s">
        <v>439</v>
      </c>
      <c r="E150" s="279">
        <v>37529</v>
      </c>
      <c r="F150" s="133">
        <v>15144115</v>
      </c>
      <c r="G150" s="133">
        <v>15144115</v>
      </c>
      <c r="H150" s="133">
        <f>SUM(F150-G150)</f>
        <v>0</v>
      </c>
      <c r="I150" s="128">
        <v>0</v>
      </c>
      <c r="J150" s="89"/>
    </row>
    <row r="151" spans="1:10" ht="14.25" customHeight="1">
      <c r="A151" s="130" t="s">
        <v>440</v>
      </c>
      <c r="B151" s="131" t="s">
        <v>756</v>
      </c>
      <c r="C151" s="131" t="s">
        <v>725</v>
      </c>
      <c r="D151" s="132" t="s">
        <v>546</v>
      </c>
      <c r="E151" s="279">
        <v>37560</v>
      </c>
      <c r="F151" s="133">
        <v>26593882</v>
      </c>
      <c r="G151" s="133">
        <v>26534682</v>
      </c>
      <c r="H151" s="133">
        <f t="shared" si="2"/>
        <v>59200</v>
      </c>
      <c r="I151" s="128">
        <v>0</v>
      </c>
      <c r="J151" s="89"/>
    </row>
    <row r="152" spans="1:10" ht="14.25" customHeight="1">
      <c r="A152" s="130" t="s">
        <v>441</v>
      </c>
      <c r="B152" s="131" t="s">
        <v>759</v>
      </c>
      <c r="C152" s="131" t="s">
        <v>725</v>
      </c>
      <c r="D152" s="132" t="s">
        <v>547</v>
      </c>
      <c r="E152" s="279">
        <v>37590</v>
      </c>
      <c r="F152" s="133">
        <v>12120580</v>
      </c>
      <c r="G152" s="133">
        <v>11838980</v>
      </c>
      <c r="H152" s="133">
        <f t="shared" si="2"/>
        <v>281600</v>
      </c>
      <c r="I152" s="128">
        <v>0</v>
      </c>
      <c r="J152" s="89"/>
    </row>
    <row r="153" spans="1:10" ht="14.25" customHeight="1">
      <c r="A153" s="130" t="s">
        <v>442</v>
      </c>
      <c r="B153" s="131" t="s">
        <v>740</v>
      </c>
      <c r="C153" s="131" t="s">
        <v>773</v>
      </c>
      <c r="D153" s="132" t="s">
        <v>443</v>
      </c>
      <c r="E153" s="279">
        <v>37590</v>
      </c>
      <c r="F153" s="133">
        <v>15058723</v>
      </c>
      <c r="G153" s="133">
        <v>14995683</v>
      </c>
      <c r="H153" s="133">
        <f>SUM(F153-G153)</f>
        <v>63040</v>
      </c>
      <c r="I153" s="128">
        <v>0</v>
      </c>
      <c r="J153" s="89"/>
    </row>
    <row r="154" spans="1:10" ht="14.25" customHeight="1">
      <c r="A154" s="130" t="s">
        <v>444</v>
      </c>
      <c r="B154" s="131" t="s">
        <v>762</v>
      </c>
      <c r="C154" s="131" t="s">
        <v>773</v>
      </c>
      <c r="D154" s="132" t="s">
        <v>548</v>
      </c>
      <c r="E154" s="279">
        <v>37621</v>
      </c>
      <c r="F154" s="133">
        <v>12052433</v>
      </c>
      <c r="G154" s="133">
        <v>11862033</v>
      </c>
      <c r="H154" s="133">
        <f>SUM(F154-G154)</f>
        <v>190400</v>
      </c>
      <c r="I154" s="128">
        <v>0</v>
      </c>
      <c r="J154" s="89"/>
    </row>
    <row r="155" spans="1:10" ht="14.25" customHeight="1">
      <c r="A155" s="130" t="s">
        <v>841</v>
      </c>
      <c r="B155" s="131" t="s">
        <v>743</v>
      </c>
      <c r="C155" s="277" t="s">
        <v>842</v>
      </c>
      <c r="D155" s="132" t="s">
        <v>908</v>
      </c>
      <c r="E155" s="279">
        <v>37621</v>
      </c>
      <c r="F155" s="133">
        <v>14821852</v>
      </c>
      <c r="G155" s="133">
        <v>14821852</v>
      </c>
      <c r="H155" s="133">
        <f>SUM(F155-G155)</f>
        <v>0</v>
      </c>
      <c r="I155" s="128">
        <v>0</v>
      </c>
      <c r="J155" s="89"/>
    </row>
    <row r="156" spans="1:10" ht="14.25" customHeight="1">
      <c r="A156" s="130" t="s">
        <v>445</v>
      </c>
      <c r="B156" s="131" t="s">
        <v>764</v>
      </c>
      <c r="C156" s="137" t="s">
        <v>738</v>
      </c>
      <c r="D156" s="132" t="s">
        <v>549</v>
      </c>
      <c r="E156" s="279">
        <v>37652</v>
      </c>
      <c r="F156" s="133">
        <v>13100640</v>
      </c>
      <c r="G156" s="133">
        <v>13100640</v>
      </c>
      <c r="H156" s="133">
        <f t="shared" si="2"/>
        <v>0</v>
      </c>
      <c r="I156" s="128">
        <v>0</v>
      </c>
      <c r="J156" s="89"/>
    </row>
    <row r="157" spans="1:10" ht="14.25" customHeight="1">
      <c r="A157" s="130" t="s">
        <v>845</v>
      </c>
      <c r="B157" s="131" t="s">
        <v>741</v>
      </c>
      <c r="C157" s="137" t="s">
        <v>787</v>
      </c>
      <c r="D157" s="132" t="s">
        <v>909</v>
      </c>
      <c r="E157" s="279">
        <v>37652</v>
      </c>
      <c r="F157" s="133">
        <v>15452421</v>
      </c>
      <c r="G157" s="133">
        <v>15452421</v>
      </c>
      <c r="H157" s="133">
        <f>SUM(F157-G157)</f>
        <v>0</v>
      </c>
      <c r="I157" s="128">
        <v>0</v>
      </c>
      <c r="J157" s="89"/>
    </row>
    <row r="158" spans="1:10" ht="14.25" customHeight="1">
      <c r="A158" s="130" t="s">
        <v>283</v>
      </c>
      <c r="B158" s="131" t="s">
        <v>733</v>
      </c>
      <c r="C158" s="131" t="s">
        <v>744</v>
      </c>
      <c r="D158" s="132" t="s">
        <v>550</v>
      </c>
      <c r="E158" s="279">
        <v>37667</v>
      </c>
      <c r="F158" s="133">
        <v>23562691</v>
      </c>
      <c r="G158" s="133">
        <v>22543235</v>
      </c>
      <c r="H158" s="133">
        <f t="shared" si="2"/>
        <v>1019456</v>
      </c>
      <c r="I158" s="128">
        <v>0</v>
      </c>
      <c r="J158" s="20"/>
    </row>
    <row r="159" spans="1:10" ht="14.25" customHeight="1">
      <c r="A159" s="130" t="s">
        <v>446</v>
      </c>
      <c r="B159" s="131" t="s">
        <v>774</v>
      </c>
      <c r="C159" s="137" t="s">
        <v>738</v>
      </c>
      <c r="D159" s="132" t="s">
        <v>551</v>
      </c>
      <c r="E159" s="279">
        <v>37680</v>
      </c>
      <c r="F159" s="133">
        <v>13670354</v>
      </c>
      <c r="G159" s="133">
        <v>13626354</v>
      </c>
      <c r="H159" s="133">
        <f t="shared" si="2"/>
        <v>44000</v>
      </c>
      <c r="I159" s="128">
        <v>0</v>
      </c>
      <c r="J159" s="20"/>
    </row>
    <row r="160" spans="1:10" ht="14.25" customHeight="1">
      <c r="A160" s="130" t="s">
        <v>149</v>
      </c>
      <c r="B160" s="131" t="s">
        <v>748</v>
      </c>
      <c r="C160" s="137" t="s">
        <v>181</v>
      </c>
      <c r="D160" s="132" t="s">
        <v>150</v>
      </c>
      <c r="E160" s="279">
        <v>37680</v>
      </c>
      <c r="F160" s="133">
        <v>14686746</v>
      </c>
      <c r="G160" s="133">
        <v>14686746</v>
      </c>
      <c r="H160" s="133">
        <f t="shared" si="2"/>
        <v>0</v>
      </c>
      <c r="I160" s="128">
        <v>0</v>
      </c>
      <c r="J160" s="89"/>
    </row>
    <row r="161" spans="1:10" ht="14.25" customHeight="1">
      <c r="A161" s="130" t="s">
        <v>285</v>
      </c>
      <c r="B161" s="131" t="s">
        <v>726</v>
      </c>
      <c r="C161" s="137" t="s">
        <v>738</v>
      </c>
      <c r="D161" s="132" t="s">
        <v>552</v>
      </c>
      <c r="E161" s="279">
        <v>37711</v>
      </c>
      <c r="F161" s="133">
        <v>14172892</v>
      </c>
      <c r="G161" s="133">
        <v>14172092</v>
      </c>
      <c r="H161" s="133">
        <f t="shared" si="2"/>
        <v>800</v>
      </c>
      <c r="I161" s="128">
        <v>0</v>
      </c>
      <c r="J161" s="20"/>
    </row>
    <row r="162" spans="1:10" ht="14.25" customHeight="1">
      <c r="A162" s="130" t="s">
        <v>286</v>
      </c>
      <c r="B162" s="131" t="s">
        <v>745</v>
      </c>
      <c r="C162" s="137" t="s">
        <v>725</v>
      </c>
      <c r="D162" s="132" t="s">
        <v>553</v>
      </c>
      <c r="E162" s="279">
        <v>37741</v>
      </c>
      <c r="F162" s="133">
        <v>12573248</v>
      </c>
      <c r="G162" s="133">
        <v>12573248</v>
      </c>
      <c r="H162" s="133">
        <f t="shared" si="2"/>
        <v>0</v>
      </c>
      <c r="I162" s="128">
        <v>0</v>
      </c>
      <c r="J162" s="89"/>
    </row>
    <row r="163" spans="1:10" ht="14.25" customHeight="1">
      <c r="A163" s="146" t="s">
        <v>287</v>
      </c>
      <c r="B163" s="137" t="s">
        <v>761</v>
      </c>
      <c r="C163" s="137" t="s">
        <v>738</v>
      </c>
      <c r="D163" s="184" t="s">
        <v>554</v>
      </c>
      <c r="E163" s="279">
        <v>37772</v>
      </c>
      <c r="F163" s="133">
        <v>13132243</v>
      </c>
      <c r="G163" s="133">
        <v>13132243</v>
      </c>
      <c r="H163" s="133">
        <f t="shared" si="2"/>
        <v>0</v>
      </c>
      <c r="I163" s="128">
        <v>0</v>
      </c>
      <c r="J163" s="89" t="s">
        <v>672</v>
      </c>
    </row>
    <row r="164" spans="1:10" ht="14.25" customHeight="1">
      <c r="A164" s="146" t="s">
        <v>288</v>
      </c>
      <c r="B164" s="137" t="s">
        <v>770</v>
      </c>
      <c r="C164" s="137" t="s">
        <v>779</v>
      </c>
      <c r="D164" s="184" t="s">
        <v>555</v>
      </c>
      <c r="E164" s="279">
        <v>37802</v>
      </c>
      <c r="F164" s="133">
        <v>13126779</v>
      </c>
      <c r="G164" s="133">
        <v>13125179</v>
      </c>
      <c r="H164" s="133">
        <f t="shared" si="2"/>
        <v>1600</v>
      </c>
      <c r="I164" s="128">
        <v>0</v>
      </c>
      <c r="J164" s="89" t="s">
        <v>672</v>
      </c>
    </row>
    <row r="165" spans="1:10" ht="14.25" customHeight="1">
      <c r="A165" s="130" t="s">
        <v>289</v>
      </c>
      <c r="B165" s="131" t="s">
        <v>752</v>
      </c>
      <c r="C165" s="131" t="s">
        <v>725</v>
      </c>
      <c r="D165" s="132" t="s">
        <v>556</v>
      </c>
      <c r="E165" s="279">
        <v>37848</v>
      </c>
      <c r="F165" s="133">
        <v>28011028</v>
      </c>
      <c r="G165" s="133">
        <v>26893428</v>
      </c>
      <c r="H165" s="133">
        <f t="shared" si="2"/>
        <v>1117600</v>
      </c>
      <c r="I165" s="128">
        <v>3200</v>
      </c>
      <c r="J165" s="20"/>
    </row>
    <row r="166" spans="1:10" ht="14.25" customHeight="1">
      <c r="A166" s="146" t="s">
        <v>447</v>
      </c>
      <c r="B166" s="137" t="s">
        <v>729</v>
      </c>
      <c r="C166" s="137" t="s">
        <v>783</v>
      </c>
      <c r="D166" s="184" t="s">
        <v>557</v>
      </c>
      <c r="E166" s="279">
        <v>37848</v>
      </c>
      <c r="F166" s="133">
        <v>19852263</v>
      </c>
      <c r="G166" s="133">
        <v>19742663</v>
      </c>
      <c r="H166" s="133">
        <f t="shared" si="2"/>
        <v>109600</v>
      </c>
      <c r="I166" s="128">
        <v>0</v>
      </c>
      <c r="J166" s="20"/>
    </row>
    <row r="167" spans="1:10" ht="14.25" customHeight="1">
      <c r="A167" s="146" t="s">
        <v>291</v>
      </c>
      <c r="B167" s="131" t="s">
        <v>737</v>
      </c>
      <c r="C167" s="137" t="s">
        <v>785</v>
      </c>
      <c r="D167" s="184" t="s">
        <v>558</v>
      </c>
      <c r="E167" s="279">
        <v>37940</v>
      </c>
      <c r="F167" s="133">
        <v>18625785</v>
      </c>
      <c r="G167" s="133">
        <v>18284985</v>
      </c>
      <c r="H167" s="133">
        <f t="shared" si="2"/>
        <v>340800</v>
      </c>
      <c r="I167" s="128">
        <v>14400</v>
      </c>
      <c r="J167" s="89"/>
    </row>
    <row r="168" spans="1:10" ht="14.25" customHeight="1">
      <c r="A168" s="130" t="s">
        <v>292</v>
      </c>
      <c r="B168" s="131" t="s">
        <v>733</v>
      </c>
      <c r="C168" s="131" t="s">
        <v>732</v>
      </c>
      <c r="D168" s="132" t="s">
        <v>559</v>
      </c>
      <c r="E168" s="279">
        <v>38032</v>
      </c>
      <c r="F168" s="133">
        <v>12955077</v>
      </c>
      <c r="G168" s="133">
        <v>12609477</v>
      </c>
      <c r="H168" s="133">
        <f t="shared" si="2"/>
        <v>345600</v>
      </c>
      <c r="I168" s="128">
        <v>41600</v>
      </c>
      <c r="J168" s="20"/>
    </row>
    <row r="169" spans="1:10" ht="14.25" customHeight="1">
      <c r="A169" s="130" t="s">
        <v>448</v>
      </c>
      <c r="B169" s="131" t="s">
        <v>726</v>
      </c>
      <c r="C169" s="137" t="s">
        <v>787</v>
      </c>
      <c r="D169" s="132" t="s">
        <v>87</v>
      </c>
      <c r="E169" s="279">
        <v>38032</v>
      </c>
      <c r="F169" s="133">
        <v>17823228</v>
      </c>
      <c r="G169" s="133">
        <v>17797628</v>
      </c>
      <c r="H169" s="133">
        <f>SUM(F169-G169)</f>
        <v>25600</v>
      </c>
      <c r="I169" s="128">
        <v>0</v>
      </c>
      <c r="J169" s="20" t="s">
        <v>672</v>
      </c>
    </row>
    <row r="170" spans="1:10" ht="14.25" customHeight="1">
      <c r="A170" s="130" t="s">
        <v>294</v>
      </c>
      <c r="B170" s="131" t="s">
        <v>752</v>
      </c>
      <c r="C170" s="131" t="s">
        <v>786</v>
      </c>
      <c r="D170" s="132" t="s">
        <v>560</v>
      </c>
      <c r="E170" s="279">
        <v>38122</v>
      </c>
      <c r="F170" s="133">
        <v>14440372</v>
      </c>
      <c r="G170" s="133">
        <v>14067572</v>
      </c>
      <c r="H170" s="133">
        <f t="shared" si="2"/>
        <v>372800</v>
      </c>
      <c r="I170" s="128">
        <v>0</v>
      </c>
      <c r="J170" s="20" t="s">
        <v>672</v>
      </c>
    </row>
    <row r="171" spans="1:10" ht="14.25" customHeight="1">
      <c r="A171" s="130" t="s">
        <v>295</v>
      </c>
      <c r="B171" s="131" t="s">
        <v>745</v>
      </c>
      <c r="C171" s="137" t="s">
        <v>783</v>
      </c>
      <c r="D171" s="132" t="s">
        <v>71</v>
      </c>
      <c r="E171" s="279">
        <v>38122</v>
      </c>
      <c r="F171" s="133">
        <v>18925383</v>
      </c>
      <c r="G171" s="133">
        <v>18925383</v>
      </c>
      <c r="H171" s="133">
        <f t="shared" si="2"/>
        <v>0</v>
      </c>
      <c r="I171" s="128">
        <v>0</v>
      </c>
      <c r="J171" s="89" t="s">
        <v>672</v>
      </c>
    </row>
    <row r="172" spans="1:10" ht="14.25" customHeight="1">
      <c r="A172" s="130" t="s">
        <v>296</v>
      </c>
      <c r="B172" s="131" t="s">
        <v>764</v>
      </c>
      <c r="C172" s="131" t="s">
        <v>786</v>
      </c>
      <c r="D172" s="132" t="s">
        <v>561</v>
      </c>
      <c r="E172" s="279">
        <v>38214</v>
      </c>
      <c r="F172" s="133">
        <v>13346467</v>
      </c>
      <c r="G172" s="133">
        <v>11965667</v>
      </c>
      <c r="H172" s="133">
        <f aca="true" t="shared" si="3" ref="H172:H191">SUM(F172-G172)</f>
        <v>1380800</v>
      </c>
      <c r="I172" s="128">
        <v>17600</v>
      </c>
      <c r="J172" s="20"/>
    </row>
    <row r="173" spans="1:10" ht="14.25" customHeight="1">
      <c r="A173" s="130" t="s">
        <v>297</v>
      </c>
      <c r="B173" s="131" t="s">
        <v>761</v>
      </c>
      <c r="C173" s="131">
        <v>6</v>
      </c>
      <c r="D173" s="132" t="s">
        <v>195</v>
      </c>
      <c r="E173" s="279">
        <v>38214</v>
      </c>
      <c r="F173" s="133">
        <v>18089806</v>
      </c>
      <c r="G173" s="133">
        <v>18089806</v>
      </c>
      <c r="H173" s="133">
        <f t="shared" si="3"/>
        <v>0</v>
      </c>
      <c r="I173" s="128">
        <v>0</v>
      </c>
      <c r="J173" s="89"/>
    </row>
    <row r="174" spans="1:10" ht="14.25" customHeight="1">
      <c r="A174" s="130" t="s">
        <v>298</v>
      </c>
      <c r="B174" s="131" t="s">
        <v>774</v>
      </c>
      <c r="C174" s="131" t="s">
        <v>775</v>
      </c>
      <c r="D174" s="132" t="s">
        <v>562</v>
      </c>
      <c r="E174" s="279">
        <v>38306</v>
      </c>
      <c r="F174" s="133">
        <v>14373760</v>
      </c>
      <c r="G174" s="133">
        <v>14368960</v>
      </c>
      <c r="H174" s="133">
        <f t="shared" si="3"/>
        <v>4800</v>
      </c>
      <c r="I174" s="128">
        <v>0</v>
      </c>
      <c r="J174" s="20"/>
    </row>
    <row r="175" spans="1:10" ht="14.25" customHeight="1">
      <c r="A175" s="130" t="s">
        <v>299</v>
      </c>
      <c r="B175" s="131" t="s">
        <v>770</v>
      </c>
      <c r="C175" s="131" t="s">
        <v>732</v>
      </c>
      <c r="D175" s="132" t="s">
        <v>162</v>
      </c>
      <c r="E175" s="279">
        <v>38306</v>
      </c>
      <c r="F175" s="133">
        <v>32658145</v>
      </c>
      <c r="G175" s="133">
        <v>32658145</v>
      </c>
      <c r="H175" s="133">
        <f t="shared" si="3"/>
        <v>0</v>
      </c>
      <c r="I175" s="128">
        <v>0</v>
      </c>
      <c r="J175" s="20"/>
    </row>
    <row r="176" spans="1:10" ht="14.25" customHeight="1">
      <c r="A176" s="130" t="s">
        <v>300</v>
      </c>
      <c r="B176" s="131" t="s">
        <v>733</v>
      </c>
      <c r="C176" s="131" t="s">
        <v>772</v>
      </c>
      <c r="D176" s="132" t="s">
        <v>563</v>
      </c>
      <c r="E176" s="279">
        <v>38398</v>
      </c>
      <c r="F176" s="133">
        <v>13834754</v>
      </c>
      <c r="G176" s="133">
        <v>13435074</v>
      </c>
      <c r="H176" s="133">
        <f t="shared" si="3"/>
        <v>399680</v>
      </c>
      <c r="I176" s="128">
        <v>0</v>
      </c>
      <c r="J176" s="20"/>
    </row>
    <row r="177" spans="1:10" ht="14.25" customHeight="1">
      <c r="A177" s="130" t="s">
        <v>301</v>
      </c>
      <c r="B177" s="131" t="s">
        <v>752</v>
      </c>
      <c r="C177" s="131" t="s">
        <v>749</v>
      </c>
      <c r="D177" s="132" t="s">
        <v>564</v>
      </c>
      <c r="E177" s="279">
        <v>38487</v>
      </c>
      <c r="F177" s="133">
        <v>14739504</v>
      </c>
      <c r="G177" s="133">
        <v>14739104</v>
      </c>
      <c r="H177" s="133">
        <f t="shared" si="3"/>
        <v>400</v>
      </c>
      <c r="I177" s="128">
        <v>0</v>
      </c>
      <c r="J177" s="20"/>
    </row>
    <row r="178" spans="1:10" ht="14.25" customHeight="1">
      <c r="A178" s="130" t="s">
        <v>302</v>
      </c>
      <c r="B178" s="131" t="s">
        <v>726</v>
      </c>
      <c r="C178" s="137" t="s">
        <v>757</v>
      </c>
      <c r="D178" s="132" t="s">
        <v>476</v>
      </c>
      <c r="E178" s="279">
        <v>38487</v>
      </c>
      <c r="F178" s="133">
        <v>28562370</v>
      </c>
      <c r="G178" s="133">
        <v>28562370</v>
      </c>
      <c r="H178" s="133">
        <f t="shared" si="3"/>
        <v>0</v>
      </c>
      <c r="I178" s="128">
        <v>0</v>
      </c>
      <c r="J178" s="20"/>
    </row>
    <row r="179" spans="1:10" ht="14.25" customHeight="1">
      <c r="A179" s="130" t="s">
        <v>303</v>
      </c>
      <c r="B179" s="131" t="s">
        <v>764</v>
      </c>
      <c r="C179" s="131" t="s">
        <v>749</v>
      </c>
      <c r="D179" s="132" t="s">
        <v>565</v>
      </c>
      <c r="E179" s="279">
        <v>38579</v>
      </c>
      <c r="F179" s="133">
        <v>15002580</v>
      </c>
      <c r="G179" s="133">
        <v>15002580</v>
      </c>
      <c r="H179" s="133">
        <f t="shared" si="3"/>
        <v>0</v>
      </c>
      <c r="I179" s="128">
        <v>0</v>
      </c>
      <c r="J179" s="20"/>
    </row>
    <row r="180" spans="1:10" ht="14.25" customHeight="1">
      <c r="A180" s="130" t="s">
        <v>304</v>
      </c>
      <c r="B180" s="131" t="s">
        <v>774</v>
      </c>
      <c r="C180" s="131" t="s">
        <v>732</v>
      </c>
      <c r="D180" s="132" t="s">
        <v>566</v>
      </c>
      <c r="E180" s="279">
        <v>38671</v>
      </c>
      <c r="F180" s="133">
        <v>15209920</v>
      </c>
      <c r="G180" s="133">
        <v>14838720</v>
      </c>
      <c r="H180" s="133">
        <f t="shared" si="3"/>
        <v>371200</v>
      </c>
      <c r="I180" s="128">
        <v>1600</v>
      </c>
      <c r="J180" s="20"/>
    </row>
    <row r="181" spans="1:10" ht="14.25" customHeight="1">
      <c r="A181" s="130" t="s">
        <v>305</v>
      </c>
      <c r="B181" s="131" t="s">
        <v>745</v>
      </c>
      <c r="C181" s="137" t="s">
        <v>725</v>
      </c>
      <c r="D181" s="132" t="s">
        <v>449</v>
      </c>
      <c r="E181" s="279">
        <v>38671</v>
      </c>
      <c r="F181" s="133">
        <v>28083841</v>
      </c>
      <c r="G181" s="133">
        <v>28083841</v>
      </c>
      <c r="H181" s="133">
        <f t="shared" si="3"/>
        <v>0</v>
      </c>
      <c r="I181" s="128">
        <v>0</v>
      </c>
      <c r="J181" s="89"/>
    </row>
    <row r="182" spans="1:10" ht="14.25" customHeight="1">
      <c r="A182" s="130" t="s">
        <v>306</v>
      </c>
      <c r="B182" s="131" t="s">
        <v>733</v>
      </c>
      <c r="C182" s="131" t="s">
        <v>773</v>
      </c>
      <c r="D182" s="132" t="s">
        <v>567</v>
      </c>
      <c r="E182" s="279">
        <v>38763</v>
      </c>
      <c r="F182" s="133">
        <v>15513587</v>
      </c>
      <c r="G182" s="133">
        <v>15493107</v>
      </c>
      <c r="H182" s="133">
        <f t="shared" si="3"/>
        <v>20480</v>
      </c>
      <c r="I182" s="128">
        <v>0</v>
      </c>
      <c r="J182" s="20"/>
    </row>
    <row r="183" spans="1:10" ht="14.25" customHeight="1">
      <c r="A183" s="130" t="s">
        <v>307</v>
      </c>
      <c r="B183" s="131" t="s">
        <v>752</v>
      </c>
      <c r="C183" s="131" t="s">
        <v>763</v>
      </c>
      <c r="D183" s="132" t="s">
        <v>568</v>
      </c>
      <c r="E183" s="281">
        <v>38852</v>
      </c>
      <c r="F183" s="133">
        <v>16015475</v>
      </c>
      <c r="G183" s="133">
        <v>15736435</v>
      </c>
      <c r="H183" s="133">
        <f t="shared" si="3"/>
        <v>279040</v>
      </c>
      <c r="I183" s="128">
        <v>0</v>
      </c>
      <c r="J183" s="20"/>
    </row>
    <row r="184" spans="1:10" ht="14.25" customHeight="1">
      <c r="A184" s="130" t="s">
        <v>308</v>
      </c>
      <c r="B184" s="131" t="s">
        <v>764</v>
      </c>
      <c r="C184" s="131" t="s">
        <v>746</v>
      </c>
      <c r="D184" s="132" t="s">
        <v>569</v>
      </c>
      <c r="E184" s="281">
        <v>38913</v>
      </c>
      <c r="F184" s="133">
        <v>22740446</v>
      </c>
      <c r="G184" s="133">
        <v>22740446</v>
      </c>
      <c r="H184" s="133">
        <f t="shared" si="3"/>
        <v>0</v>
      </c>
      <c r="I184" s="128">
        <v>0</v>
      </c>
      <c r="J184" s="20"/>
    </row>
    <row r="185" spans="1:10" ht="14.25" customHeight="1">
      <c r="A185" s="130" t="s">
        <v>309</v>
      </c>
      <c r="B185" s="131" t="s">
        <v>774</v>
      </c>
      <c r="C185" s="131" t="s">
        <v>749</v>
      </c>
      <c r="D185" s="132" t="s">
        <v>570</v>
      </c>
      <c r="E185" s="281">
        <v>39005</v>
      </c>
      <c r="F185" s="133">
        <v>22459675</v>
      </c>
      <c r="G185" s="133">
        <v>22459675</v>
      </c>
      <c r="H185" s="133">
        <f t="shared" si="3"/>
        <v>0</v>
      </c>
      <c r="I185" s="128">
        <v>0</v>
      </c>
      <c r="J185" s="20"/>
    </row>
    <row r="186" spans="1:10" ht="14.25" customHeight="1">
      <c r="A186" s="130" t="s">
        <v>310</v>
      </c>
      <c r="B186" s="131" t="s">
        <v>752</v>
      </c>
      <c r="C186" s="131" t="s">
        <v>744</v>
      </c>
      <c r="D186" s="132" t="s">
        <v>571</v>
      </c>
      <c r="E186" s="281">
        <v>39128</v>
      </c>
      <c r="F186" s="133">
        <v>13103678</v>
      </c>
      <c r="G186" s="133">
        <v>12998046</v>
      </c>
      <c r="H186" s="133">
        <f t="shared" si="3"/>
        <v>105632</v>
      </c>
      <c r="I186" s="128">
        <v>16800</v>
      </c>
      <c r="J186" s="89"/>
    </row>
    <row r="187" spans="1:10" ht="14.25" customHeight="1">
      <c r="A187" s="130" t="s">
        <v>311</v>
      </c>
      <c r="B187" s="131" t="s">
        <v>764</v>
      </c>
      <c r="C187" s="137" t="s">
        <v>784</v>
      </c>
      <c r="D187" s="132" t="s">
        <v>572</v>
      </c>
      <c r="E187" s="281">
        <v>39217</v>
      </c>
      <c r="F187" s="133">
        <v>13958186</v>
      </c>
      <c r="G187" s="133">
        <v>13801386</v>
      </c>
      <c r="H187" s="133">
        <f t="shared" si="3"/>
        <v>156800</v>
      </c>
      <c r="I187" s="128">
        <v>3200</v>
      </c>
      <c r="J187" s="89"/>
    </row>
    <row r="188" spans="1:10" ht="12.75" customHeight="1">
      <c r="A188" s="146" t="s">
        <v>312</v>
      </c>
      <c r="B188" s="131" t="s">
        <v>774</v>
      </c>
      <c r="C188" s="137" t="s">
        <v>781</v>
      </c>
      <c r="D188" s="132" t="s">
        <v>573</v>
      </c>
      <c r="E188" s="281">
        <v>39309</v>
      </c>
      <c r="F188" s="133">
        <v>25636803</v>
      </c>
      <c r="G188" s="133">
        <v>25232003</v>
      </c>
      <c r="H188" s="133">
        <f t="shared" si="3"/>
        <v>404800</v>
      </c>
      <c r="I188" s="128">
        <v>6400</v>
      </c>
      <c r="J188" s="89"/>
    </row>
    <row r="189" spans="1:10" ht="14.25" customHeight="1">
      <c r="A189" s="146" t="s">
        <v>313</v>
      </c>
      <c r="B189" s="131" t="s">
        <v>752</v>
      </c>
      <c r="C189" s="137" t="s">
        <v>738</v>
      </c>
      <c r="D189" s="132" t="s">
        <v>574</v>
      </c>
      <c r="E189" s="281">
        <v>39493</v>
      </c>
      <c r="F189" s="133">
        <v>13583412</v>
      </c>
      <c r="G189" s="133">
        <v>13571012</v>
      </c>
      <c r="H189" s="133">
        <f t="shared" si="3"/>
        <v>12400</v>
      </c>
      <c r="I189" s="128">
        <v>0</v>
      </c>
      <c r="J189" s="89"/>
    </row>
    <row r="190" spans="1:10" ht="14.25" customHeight="1">
      <c r="A190" s="146" t="s">
        <v>314</v>
      </c>
      <c r="B190" s="131" t="s">
        <v>764</v>
      </c>
      <c r="C190" s="131" t="s">
        <v>773</v>
      </c>
      <c r="D190" s="184" t="s">
        <v>575</v>
      </c>
      <c r="E190" s="281">
        <v>39583</v>
      </c>
      <c r="F190" s="133">
        <v>27190961</v>
      </c>
      <c r="G190" s="133">
        <v>27098161</v>
      </c>
      <c r="H190" s="133">
        <f t="shared" si="3"/>
        <v>92800</v>
      </c>
      <c r="I190" s="128">
        <v>0</v>
      </c>
      <c r="J190" s="89"/>
    </row>
    <row r="191" spans="1:10" ht="14.25" customHeight="1">
      <c r="A191" s="146" t="s">
        <v>315</v>
      </c>
      <c r="B191" s="131" t="s">
        <v>774</v>
      </c>
      <c r="C191" s="137" t="s">
        <v>787</v>
      </c>
      <c r="D191" s="184" t="s">
        <v>576</v>
      </c>
      <c r="E191" s="281">
        <v>39767</v>
      </c>
      <c r="F191" s="133">
        <v>25083125</v>
      </c>
      <c r="G191" s="133">
        <v>25011925</v>
      </c>
      <c r="H191" s="133">
        <f t="shared" si="3"/>
        <v>71200</v>
      </c>
      <c r="I191" s="128">
        <v>0</v>
      </c>
      <c r="J191" s="89"/>
    </row>
    <row r="192" spans="1:10" ht="14.25" customHeight="1">
      <c r="A192" s="146" t="s">
        <v>316</v>
      </c>
      <c r="B192" s="131" t="s">
        <v>752</v>
      </c>
      <c r="C192" s="137" t="s">
        <v>738</v>
      </c>
      <c r="D192" s="132" t="s">
        <v>72</v>
      </c>
      <c r="E192" s="281">
        <v>39948</v>
      </c>
      <c r="F192" s="133">
        <v>14794790</v>
      </c>
      <c r="G192" s="133">
        <v>14789190</v>
      </c>
      <c r="H192" s="133">
        <f>SUM(F192-G192)</f>
        <v>5600</v>
      </c>
      <c r="I192" s="128">
        <v>0</v>
      </c>
      <c r="J192" s="89" t="s">
        <v>672</v>
      </c>
    </row>
    <row r="193" spans="1:10" ht="14.25" customHeight="1">
      <c r="A193" s="146" t="s">
        <v>317</v>
      </c>
      <c r="B193" s="131" t="s">
        <v>764</v>
      </c>
      <c r="C193" s="137">
        <v>6</v>
      </c>
      <c r="D193" s="132" t="s">
        <v>196</v>
      </c>
      <c r="E193" s="281">
        <v>40040</v>
      </c>
      <c r="F193" s="133">
        <v>27399894</v>
      </c>
      <c r="G193" s="133">
        <v>27399794</v>
      </c>
      <c r="H193" s="133">
        <f>SUM(F193-G193)</f>
        <v>100</v>
      </c>
      <c r="I193" s="128">
        <v>0</v>
      </c>
      <c r="J193" s="89"/>
    </row>
    <row r="194" spans="1:10" ht="14.25" customHeight="1">
      <c r="A194" s="146" t="s">
        <v>318</v>
      </c>
      <c r="B194" s="131" t="s">
        <v>752</v>
      </c>
      <c r="C194" s="131" t="s">
        <v>749</v>
      </c>
      <c r="D194" s="132" t="s">
        <v>472</v>
      </c>
      <c r="E194" s="281">
        <v>40224</v>
      </c>
      <c r="F194" s="133">
        <v>23355709</v>
      </c>
      <c r="G194" s="133">
        <v>23166509</v>
      </c>
      <c r="H194" s="133">
        <f>SUM(F194-G194)</f>
        <v>189200</v>
      </c>
      <c r="I194" s="128">
        <v>1600</v>
      </c>
      <c r="J194" s="89"/>
    </row>
    <row r="195" spans="1:10" ht="14.25" customHeight="1">
      <c r="A195" s="146" t="s">
        <v>319</v>
      </c>
      <c r="B195" s="131" t="s">
        <v>764</v>
      </c>
      <c r="C195" s="137" t="s">
        <v>725</v>
      </c>
      <c r="D195" s="132" t="s">
        <v>40</v>
      </c>
      <c r="E195" s="281">
        <v>40405</v>
      </c>
      <c r="F195" s="133">
        <v>22437594</v>
      </c>
      <c r="G195" s="133">
        <v>22437594</v>
      </c>
      <c r="H195" s="133">
        <f>SUM(F195-G195)</f>
        <v>0</v>
      </c>
      <c r="I195" s="128">
        <v>0</v>
      </c>
      <c r="J195" s="89"/>
    </row>
    <row r="196" spans="1:10" ht="14.25" customHeight="1">
      <c r="A196" s="146" t="s">
        <v>214</v>
      </c>
      <c r="B196" s="131" t="s">
        <v>752</v>
      </c>
      <c r="C196" s="137">
        <v>5</v>
      </c>
      <c r="D196" s="132" t="s">
        <v>90</v>
      </c>
      <c r="E196" s="281">
        <v>40589</v>
      </c>
      <c r="F196" s="133">
        <v>11975922</v>
      </c>
      <c r="G196" s="133">
        <v>11975922</v>
      </c>
      <c r="H196" s="133">
        <f>SUM(F196-G196)</f>
        <v>0</v>
      </c>
      <c r="I196" s="128">
        <v>0</v>
      </c>
      <c r="J196" s="89"/>
    </row>
    <row r="197" spans="1:10" ht="14.25" customHeight="1">
      <c r="A197" s="146"/>
      <c r="B197" s="131"/>
      <c r="C197" s="137"/>
      <c r="D197" s="184"/>
      <c r="E197" s="140"/>
      <c r="F197" s="133"/>
      <c r="G197" s="133"/>
      <c r="H197" s="133"/>
      <c r="I197" s="128"/>
      <c r="J197" s="89"/>
    </row>
    <row r="198" spans="1:10" ht="14.25" customHeight="1">
      <c r="A198" s="161" t="s">
        <v>577</v>
      </c>
      <c r="B198" s="131"/>
      <c r="C198" s="137"/>
      <c r="D198" s="132" t="s">
        <v>672</v>
      </c>
      <c r="E198" s="140"/>
      <c r="F198" s="133">
        <f>SUM(F109:F197)</f>
        <v>1534832542</v>
      </c>
      <c r="G198" s="133">
        <f>SUM(G109:G197)</f>
        <v>1504024964</v>
      </c>
      <c r="H198" s="133">
        <f>SUM(H109:H197)</f>
        <v>30807578</v>
      </c>
      <c r="I198" s="128">
        <f>SUM(I109:I197)</f>
        <v>281500</v>
      </c>
      <c r="J198" s="89"/>
    </row>
    <row r="199" spans="1:10" ht="15.75" customHeight="1">
      <c r="A199" s="161"/>
      <c r="B199" s="131"/>
      <c r="C199" s="137"/>
      <c r="D199" s="122"/>
      <c r="E199" s="228"/>
      <c r="F199" s="133"/>
      <c r="G199" s="133"/>
      <c r="H199" s="133"/>
      <c r="I199" s="128"/>
      <c r="J199" s="89"/>
    </row>
    <row r="200" spans="1:10" ht="16.5" customHeight="1" thickBot="1">
      <c r="A200" s="206" t="s">
        <v>584</v>
      </c>
      <c r="B200" s="207"/>
      <c r="C200" s="207"/>
      <c r="D200" s="207"/>
      <c r="E200" s="207"/>
      <c r="F200" s="208">
        <f>SUM(+F64+F198+F75+F82)</f>
        <v>2185147195</v>
      </c>
      <c r="G200" s="208">
        <f>SUM(+G64+G198+G75+G82)</f>
        <v>2008494966</v>
      </c>
      <c r="H200" s="208">
        <f>SUM(+H64+H198+H75+H82)</f>
        <v>176652229</v>
      </c>
      <c r="I200" s="129">
        <f>SUM(+I64+I198+I75+I82)</f>
        <v>13129528</v>
      </c>
      <c r="J200" s="173"/>
    </row>
    <row r="201" spans="1:10" ht="16.5" customHeight="1" thickTop="1">
      <c r="A201" s="244"/>
      <c r="B201" s="245"/>
      <c r="C201" s="245"/>
      <c r="D201" s="245"/>
      <c r="E201" s="245"/>
      <c r="F201" s="245"/>
      <c r="G201" s="245"/>
      <c r="H201" s="245"/>
      <c r="I201" s="245"/>
      <c r="J201" s="160"/>
    </row>
    <row r="202" spans="1:10" ht="16.5" customHeight="1">
      <c r="A202" s="244"/>
      <c r="B202" s="245"/>
      <c r="C202" s="245"/>
      <c r="D202" s="245"/>
      <c r="E202" s="245"/>
      <c r="F202" s="245"/>
      <c r="G202" s="245"/>
      <c r="H202" s="245"/>
      <c r="I202" s="245"/>
      <c r="J202" s="160"/>
    </row>
    <row r="203" spans="1:10" ht="16.5" customHeight="1">
      <c r="A203" s="244"/>
      <c r="B203" s="245"/>
      <c r="C203" s="245"/>
      <c r="D203" s="245"/>
      <c r="E203" s="245"/>
      <c r="F203" s="245"/>
      <c r="G203" s="245"/>
      <c r="H203" s="245"/>
      <c r="I203" s="245"/>
      <c r="J203" s="160"/>
    </row>
    <row r="204" spans="1:16" ht="15.75" customHeight="1" thickBot="1">
      <c r="A204" s="113"/>
      <c r="B204" s="113"/>
      <c r="C204" s="113"/>
      <c r="D204" s="113"/>
      <c r="E204" s="113"/>
      <c r="F204" s="256"/>
      <c r="G204" s="257"/>
      <c r="H204" s="257"/>
      <c r="I204" s="258"/>
      <c r="J204" s="259"/>
      <c r="K204" s="260"/>
      <c r="L204" s="261"/>
      <c r="M204" s="260"/>
      <c r="N204" s="261"/>
      <c r="O204" s="260"/>
      <c r="P204" s="157"/>
    </row>
    <row r="205" spans="1:10" ht="16.5" customHeight="1" thickTop="1">
      <c r="A205" s="244"/>
      <c r="B205" s="245"/>
      <c r="C205" s="245"/>
      <c r="D205" s="245"/>
      <c r="E205" s="245"/>
      <c r="F205" s="245"/>
      <c r="G205" s="245"/>
      <c r="H205" s="245"/>
      <c r="I205" s="245"/>
      <c r="J205" s="160"/>
    </row>
    <row r="206" ht="14.25" customHeight="1"/>
  </sheetData>
  <mergeCells count="1">
    <mergeCell ref="G10:J10"/>
  </mergeCells>
  <printOptions horizontalCentered="1"/>
  <pageMargins left="0.5" right="0.5" top="0.4" bottom="0.25" header="0" footer="0"/>
  <pageSetup fitToHeight="2" horizontalDpi="300" verticalDpi="300" orientation="portrait" scale="37" r:id="rId1"/>
  <rowBreaks count="1" manualBreakCount="1">
    <brk id="98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M80"/>
  <sheetViews>
    <sheetView showGridLines="0" view="pageBreakPreview" zoomScale="75" zoomScaleNormal="72" zoomScaleSheetLayoutView="75" workbookViewId="0" topLeftCell="B60">
      <selection activeCell="C68" sqref="C68"/>
    </sheetView>
  </sheetViews>
  <sheetFormatPr defaultColWidth="9.77734375" defaultRowHeight="15"/>
  <cols>
    <col min="1" max="1" width="3.77734375" style="0" customWidth="1"/>
    <col min="2" max="3" width="20.77734375" style="0" customWidth="1"/>
    <col min="4" max="4" width="1.77734375" style="0" customWidth="1"/>
    <col min="5" max="12" width="9.77734375" style="0" customWidth="1"/>
    <col min="13" max="13" width="10.3359375" style="0" customWidth="1"/>
  </cols>
  <sheetData>
    <row r="1" spans="1:13" ht="15.75">
      <c r="A1" s="7">
        <v>12</v>
      </c>
      <c r="B1" s="2" t="s">
        <v>209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ht="15">
      <c r="B2" s="73"/>
    </row>
    <row r="3" spans="1:2" ht="16.5" customHeight="1">
      <c r="A3" s="44" t="s">
        <v>585</v>
      </c>
      <c r="B3" s="191" t="s">
        <v>468</v>
      </c>
    </row>
    <row r="4" spans="1:3" ht="16.5" customHeight="1">
      <c r="A4" s="98">
        <v>1</v>
      </c>
      <c r="B4" s="191" t="s">
        <v>851</v>
      </c>
      <c r="C4" s="20"/>
    </row>
    <row r="5" spans="1:3" ht="16.5" customHeight="1">
      <c r="A5" s="75">
        <v>2</v>
      </c>
      <c r="B5" s="191" t="s">
        <v>11</v>
      </c>
      <c r="C5" s="20"/>
    </row>
    <row r="6" spans="1:3" ht="16.5" customHeight="1">
      <c r="A6" s="75"/>
      <c r="B6" s="191" t="s">
        <v>10</v>
      </c>
      <c r="C6" s="20"/>
    </row>
    <row r="7" spans="1:3" ht="16.5" customHeight="1">
      <c r="A7" s="75">
        <v>3</v>
      </c>
      <c r="B7" s="191" t="s">
        <v>586</v>
      </c>
      <c r="C7" s="20"/>
    </row>
    <row r="8" spans="1:3" ht="16.5" customHeight="1">
      <c r="A8" s="75">
        <v>4</v>
      </c>
      <c r="B8" s="191" t="s">
        <v>23</v>
      </c>
      <c r="C8" s="20"/>
    </row>
    <row r="9" spans="1:3" ht="16.5" customHeight="1">
      <c r="A9" s="75">
        <v>5</v>
      </c>
      <c r="B9" s="191" t="s">
        <v>588</v>
      </c>
      <c r="C9" s="20"/>
    </row>
    <row r="10" spans="1:3" ht="16.5" customHeight="1">
      <c r="A10" s="75">
        <v>6</v>
      </c>
      <c r="B10" s="191" t="s">
        <v>591</v>
      </c>
      <c r="C10" s="20"/>
    </row>
    <row r="11" spans="1:3" ht="16.5" customHeight="1">
      <c r="A11" s="75"/>
      <c r="B11" s="191" t="s">
        <v>146</v>
      </c>
      <c r="C11" s="20"/>
    </row>
    <row r="12" spans="1:3" ht="16.5" customHeight="1">
      <c r="A12" s="75"/>
      <c r="B12" s="191" t="s">
        <v>687</v>
      </c>
      <c r="C12" s="20"/>
    </row>
    <row r="13" spans="1:2" ht="16.5" customHeight="1">
      <c r="A13" s="75">
        <v>7</v>
      </c>
      <c r="B13" s="191" t="s">
        <v>592</v>
      </c>
    </row>
    <row r="14" spans="1:2" ht="16.5" customHeight="1">
      <c r="A14" s="75">
        <v>8</v>
      </c>
      <c r="B14" s="191" t="s">
        <v>822</v>
      </c>
    </row>
    <row r="15" spans="1:2" ht="16.5" customHeight="1">
      <c r="A15" s="75">
        <v>9</v>
      </c>
      <c r="B15" s="191" t="s">
        <v>593</v>
      </c>
    </row>
    <row r="16" spans="1:2" ht="16.5" customHeight="1">
      <c r="A16" s="75">
        <v>10</v>
      </c>
      <c r="B16" s="191" t="s">
        <v>594</v>
      </c>
    </row>
    <row r="17" spans="1:2" ht="16.5" customHeight="1">
      <c r="A17" s="75">
        <v>11</v>
      </c>
      <c r="B17" s="191" t="s">
        <v>595</v>
      </c>
    </row>
    <row r="18" spans="1:2" ht="16.5" customHeight="1">
      <c r="A18" s="75"/>
      <c r="B18" s="191" t="s">
        <v>596</v>
      </c>
    </row>
    <row r="19" spans="1:2" ht="16.5" customHeight="1">
      <c r="A19" s="75">
        <v>12</v>
      </c>
      <c r="B19" s="191" t="s">
        <v>597</v>
      </c>
    </row>
    <row r="20" spans="1:2" ht="16.5" customHeight="1">
      <c r="A20" s="75">
        <v>13</v>
      </c>
      <c r="B20" s="191" t="s">
        <v>598</v>
      </c>
    </row>
    <row r="21" spans="1:2" ht="16.5" customHeight="1">
      <c r="A21" s="75"/>
      <c r="B21" s="191" t="s">
        <v>601</v>
      </c>
    </row>
    <row r="22" spans="1:2" ht="16.5" customHeight="1">
      <c r="A22" s="75">
        <v>14</v>
      </c>
      <c r="B22" s="191" t="s">
        <v>602</v>
      </c>
    </row>
    <row r="23" spans="1:2" ht="16.5" customHeight="1">
      <c r="A23" s="75"/>
      <c r="B23" s="191" t="s">
        <v>603</v>
      </c>
    </row>
    <row r="24" spans="1:2" ht="16.5" customHeight="1">
      <c r="A24" s="75">
        <v>15</v>
      </c>
      <c r="B24" s="191" t="s">
        <v>604</v>
      </c>
    </row>
    <row r="25" spans="1:2" ht="16.5" customHeight="1">
      <c r="A25" s="75"/>
      <c r="B25" s="191" t="s">
        <v>605</v>
      </c>
    </row>
    <row r="26" spans="1:2" ht="16.5" customHeight="1">
      <c r="A26" s="75">
        <v>16</v>
      </c>
      <c r="B26" s="191" t="s">
        <v>606</v>
      </c>
    </row>
    <row r="27" spans="1:2" ht="16.5" customHeight="1">
      <c r="A27" s="75"/>
      <c r="B27" s="191" t="s">
        <v>607</v>
      </c>
    </row>
    <row r="28" spans="1:2" ht="16.5" customHeight="1">
      <c r="A28" s="75">
        <v>17</v>
      </c>
      <c r="B28" s="191" t="s">
        <v>608</v>
      </c>
    </row>
    <row r="29" spans="1:2" ht="16.5" customHeight="1">
      <c r="A29" s="75">
        <v>18</v>
      </c>
      <c r="B29" s="191" t="s">
        <v>123</v>
      </c>
    </row>
    <row r="30" spans="1:3" ht="16.5" customHeight="1">
      <c r="A30" s="98"/>
      <c r="B30" s="191"/>
      <c r="C30" s="20"/>
    </row>
    <row r="31" spans="1:3" ht="16.5" customHeight="1">
      <c r="A31" s="98"/>
      <c r="B31" s="191"/>
      <c r="C31" s="20"/>
    </row>
    <row r="32" spans="1:3" ht="16.5" customHeight="1">
      <c r="A32" s="75"/>
      <c r="B32" s="191"/>
      <c r="C32" s="20"/>
    </row>
    <row r="33" spans="1:3" ht="16.5" customHeight="1">
      <c r="A33" s="75"/>
      <c r="B33" s="191"/>
      <c r="C33" s="20"/>
    </row>
    <row r="34" spans="1:2" ht="16.5" customHeight="1">
      <c r="A34" s="10" t="s">
        <v>609</v>
      </c>
      <c r="B34" s="73"/>
    </row>
    <row r="35" ht="16.5" customHeight="1">
      <c r="B35" s="191" t="s">
        <v>611</v>
      </c>
    </row>
    <row r="36" ht="16.5" customHeight="1">
      <c r="B36" s="191" t="s">
        <v>612</v>
      </c>
    </row>
    <row r="37" ht="16.5" customHeight="1">
      <c r="B37" s="191"/>
    </row>
    <row r="38" ht="16.5" customHeight="1">
      <c r="B38" s="191"/>
    </row>
    <row r="39" spans="1:7" ht="14.25" customHeight="1">
      <c r="A39" s="209" t="s">
        <v>901</v>
      </c>
      <c r="B39" s="210"/>
      <c r="C39" s="74"/>
      <c r="D39" s="74"/>
      <c r="E39" s="74"/>
      <c r="F39" s="74"/>
      <c r="G39" s="74"/>
    </row>
    <row r="40" spans="1:7" ht="14.25" customHeight="1">
      <c r="A40" s="209"/>
      <c r="B40" s="211"/>
      <c r="C40" s="84"/>
      <c r="D40" s="84"/>
      <c r="E40" s="84"/>
      <c r="F40" s="84"/>
      <c r="G40" s="84"/>
    </row>
    <row r="41" spans="1:7" ht="14.25" customHeight="1">
      <c r="A41" s="212"/>
      <c r="B41" s="213" t="s">
        <v>683</v>
      </c>
      <c r="C41" s="214" t="s">
        <v>589</v>
      </c>
      <c r="D41" s="215"/>
      <c r="E41" s="214" t="s">
        <v>590</v>
      </c>
      <c r="F41" s="216"/>
      <c r="G41" s="215"/>
    </row>
    <row r="42" spans="1:7" ht="14.25" customHeight="1">
      <c r="A42" s="217"/>
      <c r="B42" s="222">
        <v>117984.04</v>
      </c>
      <c r="C42" s="218">
        <v>228755.17</v>
      </c>
      <c r="D42" s="219"/>
      <c r="E42" s="218">
        <v>1868891.93</v>
      </c>
      <c r="F42" s="266"/>
      <c r="G42" s="219"/>
    </row>
    <row r="43" spans="1:2" ht="14.25" customHeight="1">
      <c r="A43" s="220"/>
      <c r="B43" s="223" t="s">
        <v>823</v>
      </c>
    </row>
    <row r="44" spans="1:7" ht="14.25" customHeight="1">
      <c r="A44" s="220"/>
      <c r="B44" s="221"/>
      <c r="C44" s="220"/>
      <c r="D44" s="220"/>
      <c r="E44" s="220"/>
      <c r="F44" s="3"/>
      <c r="G44" s="220"/>
    </row>
    <row r="45" spans="1:7" ht="16.5" customHeight="1">
      <c r="A45" s="220"/>
      <c r="B45" s="221"/>
      <c r="C45" s="220"/>
      <c r="D45" s="220"/>
      <c r="E45" s="220"/>
      <c r="F45" s="3"/>
      <c r="G45" s="220"/>
    </row>
    <row r="46" spans="1:2" ht="16.5" customHeight="1">
      <c r="A46" s="10" t="s">
        <v>694</v>
      </c>
      <c r="B46" s="73"/>
    </row>
    <row r="47" spans="1:2" ht="16.5" customHeight="1">
      <c r="A47" s="85" t="s">
        <v>712</v>
      </c>
      <c r="B47" s="191" t="s">
        <v>201</v>
      </c>
    </row>
    <row r="48" spans="1:2" ht="16.5" customHeight="1">
      <c r="A48" s="85"/>
      <c r="B48" s="191" t="s">
        <v>202</v>
      </c>
    </row>
    <row r="49" spans="1:2" ht="16.5" customHeight="1">
      <c r="A49" s="85" t="s">
        <v>652</v>
      </c>
      <c r="B49" s="191" t="s">
        <v>93</v>
      </c>
    </row>
    <row r="50" spans="1:2" ht="16.5" customHeight="1">
      <c r="A50" s="85"/>
      <c r="B50" s="191" t="s">
        <v>203</v>
      </c>
    </row>
    <row r="51" spans="1:2" ht="16.5" customHeight="1">
      <c r="A51" s="20"/>
      <c r="B51" s="73"/>
    </row>
    <row r="52" ht="16.5" customHeight="1">
      <c r="B52" s="73"/>
    </row>
    <row r="53" spans="1:2" ht="16.5" customHeight="1">
      <c r="A53" s="10" t="s">
        <v>654</v>
      </c>
      <c r="B53" s="73"/>
    </row>
    <row r="54" spans="1:2" ht="16.5" customHeight="1">
      <c r="A54" s="85" t="s">
        <v>655</v>
      </c>
      <c r="B54" s="191" t="s">
        <v>653</v>
      </c>
    </row>
    <row r="55" spans="1:2" ht="16.5" customHeight="1">
      <c r="A55" s="85" t="s">
        <v>848</v>
      </c>
      <c r="B55" s="191" t="s">
        <v>656</v>
      </c>
    </row>
    <row r="56" spans="1:2" ht="16.5" customHeight="1">
      <c r="A56" s="85"/>
      <c r="B56" s="191" t="s">
        <v>657</v>
      </c>
    </row>
    <row r="57" spans="1:2" ht="16.5" customHeight="1">
      <c r="A57" s="85"/>
      <c r="B57" s="191" t="s">
        <v>658</v>
      </c>
    </row>
    <row r="58" spans="1:2" ht="17.25" customHeight="1">
      <c r="A58" s="85"/>
      <c r="B58" s="191" t="s">
        <v>659</v>
      </c>
    </row>
    <row r="59" spans="1:2" ht="18">
      <c r="A59" s="85" t="s">
        <v>661</v>
      </c>
      <c r="B59" s="191" t="s">
        <v>660</v>
      </c>
    </row>
    <row r="60" spans="1:2" ht="18">
      <c r="A60" s="85" t="s">
        <v>695</v>
      </c>
      <c r="B60" s="191" t="s">
        <v>662</v>
      </c>
    </row>
    <row r="61" spans="1:2" ht="15">
      <c r="A61" s="20"/>
      <c r="B61" s="89" t="s">
        <v>663</v>
      </c>
    </row>
    <row r="62" spans="1:2" ht="15">
      <c r="A62" s="20"/>
      <c r="B62" s="89"/>
    </row>
    <row r="63" spans="1:2" ht="15">
      <c r="A63" s="20"/>
      <c r="B63" s="89"/>
    </row>
    <row r="64" spans="1:2" ht="15">
      <c r="A64" s="20"/>
      <c r="B64" s="89"/>
    </row>
    <row r="65" spans="1:2" ht="15">
      <c r="A65" s="20"/>
      <c r="B65" s="89"/>
    </row>
    <row r="66" spans="1:2" ht="15">
      <c r="A66" s="20"/>
      <c r="B66" s="89"/>
    </row>
    <row r="67" spans="1:2" ht="15">
      <c r="A67" s="20"/>
      <c r="B67" s="89"/>
    </row>
    <row r="68" spans="1:2" ht="15">
      <c r="A68" s="20"/>
      <c r="B68" s="89"/>
    </row>
    <row r="69" spans="1:2" ht="15">
      <c r="A69" s="20"/>
      <c r="B69" s="89"/>
    </row>
    <row r="70" spans="1:2" ht="15">
      <c r="A70" s="20"/>
      <c r="B70" s="73"/>
    </row>
    <row r="71" spans="1:2" ht="15">
      <c r="A71" s="20"/>
      <c r="B71" s="73"/>
    </row>
    <row r="72" spans="1:13" ht="15">
      <c r="A72" s="118"/>
      <c r="B72" s="118"/>
      <c r="C72" s="118"/>
      <c r="D72" s="84"/>
      <c r="E72" s="84"/>
      <c r="F72" s="84"/>
      <c r="G72" s="84"/>
      <c r="H72" s="84"/>
      <c r="I72" s="84"/>
      <c r="J72" s="84"/>
      <c r="K72" s="84"/>
      <c r="L72" s="84"/>
      <c r="M72" s="84"/>
    </row>
    <row r="73" spans="1:13" ht="15">
      <c r="A73" s="88" t="s">
        <v>664</v>
      </c>
      <c r="B73" s="9"/>
      <c r="C73" s="9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">
      <c r="A74" s="88" t="s">
        <v>665</v>
      </c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">
      <c r="A75" s="88" t="s">
        <v>666</v>
      </c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">
      <c r="A76" s="88"/>
      <c r="B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ht="15">
      <c r="B77" s="73"/>
    </row>
    <row r="78" ht="15">
      <c r="B78" s="73"/>
    </row>
    <row r="79" ht="15">
      <c r="B79" s="73"/>
    </row>
    <row r="80" ht="15">
      <c r="B80" s="73"/>
    </row>
  </sheetData>
  <printOptions horizontalCentered="1"/>
  <pageMargins left="0.5" right="0" top="0.6" bottom="0.25" header="0" footer="0"/>
  <pageSetup horizontalDpi="300" verticalDpi="3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jkarmstr</cp:lastModifiedBy>
  <cp:lastPrinted>2001-03-06T17:09:04Z</cp:lastPrinted>
  <dcterms:created xsi:type="dcterms:W3CDTF">1998-12-22T15:47:59Z</dcterms:created>
  <dcterms:modified xsi:type="dcterms:W3CDTF">2001-03-06T17:12:57Z</dcterms:modified>
  <cp:category/>
  <cp:version/>
  <cp:contentType/>
  <cp:contentStatus/>
</cp:coreProperties>
</file>