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26" windowWidth="7320" windowHeight="3870" firstSheet="3" activeTab="5"/>
  </bookViews>
  <sheets>
    <sheet name="Chart1" sheetId="1" r:id="rId1"/>
    <sheet name="Chart2" sheetId="2" r:id="rId2"/>
    <sheet name="Chart3" sheetId="3" r:id="rId3"/>
    <sheet name="Chart5" sheetId="4" r:id="rId4"/>
    <sheet name="Chart7" sheetId="5" r:id="rId5"/>
    <sheet name="Sheet1" sheetId="6" r:id="rId6"/>
    <sheet name="Sheet2" sheetId="7" r:id="rId7"/>
    <sheet name="Sheet3" sheetId="8" r:id="rId8"/>
  </sheets>
  <definedNames/>
  <calcPr fullCalcOnLoad="1"/>
</workbook>
</file>

<file path=xl/comments6.xml><?xml version="1.0" encoding="utf-8"?>
<comments xmlns="http://schemas.openxmlformats.org/spreadsheetml/2006/main">
  <authors>
    <author>Leonid Oliker</author>
  </authors>
  <commentList>
    <comment ref="K41" authorId="0">
      <text>
        <r>
          <rPr>
            <b/>
            <sz val="10"/>
            <rFont val="Tahoma"/>
            <family val="0"/>
          </rPr>
          <t>Miscalculated ops per word (need to divide by 2 since loading and storing matrix)</t>
        </r>
      </text>
    </comment>
  </commentList>
</comments>
</file>

<file path=xl/sharedStrings.xml><?xml version="1.0" encoding="utf-8"?>
<sst xmlns="http://schemas.openxmlformats.org/spreadsheetml/2006/main" count="72" uniqueCount="29">
  <si>
    <t>mult/cycle</t>
  </si>
  <si>
    <t>% peak</t>
  </si>
  <si>
    <t>L</t>
  </si>
  <si>
    <t>N</t>
  </si>
  <si>
    <t>IMAGINE</t>
  </si>
  <si>
    <t>IRAM</t>
  </si>
  <si>
    <t>%peak</t>
  </si>
  <si>
    <t>cycles</t>
  </si>
  <si>
    <t xml:space="preserve">M = </t>
  </si>
  <si>
    <t>N =</t>
  </si>
  <si>
    <t>N = 3</t>
  </si>
  <si>
    <t>M = 10</t>
  </si>
  <si>
    <t>M=20</t>
  </si>
  <si>
    <t>M=</t>
  </si>
  <si>
    <t>mul/cycle</t>
  </si>
  <si>
    <t># cycles</t>
  </si>
  <si>
    <t>M= 10</t>
  </si>
  <si>
    <t>MFLOPS</t>
  </si>
  <si>
    <t>N=5</t>
  </si>
  <si>
    <t xml:space="preserve">K = </t>
  </si>
  <si>
    <t>Mults/word</t>
  </si>
  <si>
    <t>K=10</t>
  </si>
  <si>
    <t>N=3</t>
  </si>
  <si>
    <t>Imagine</t>
  </si>
  <si>
    <t>L=16</t>
  </si>
  <si>
    <t>ops/word</t>
  </si>
  <si>
    <t>K=1</t>
  </si>
  <si>
    <t>K=5</t>
  </si>
  <si>
    <t>mults/word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</si>
</sst>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11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10" fontId="1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 = 1</a:t>
            </a:r>
          </a:p>
        </c:rich>
      </c:tx>
      <c:layout>
        <c:manualLayout>
          <c:xMode val="factor"/>
          <c:yMode val="factor"/>
          <c:x val="0"/>
          <c:y val="0.1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795"/>
          <c:h val="0.8275"/>
        </c:manualLayout>
      </c:layout>
      <c:lineChart>
        <c:grouping val="standard"/>
        <c:varyColors val="0"/>
        <c:ser>
          <c:idx val="1"/>
          <c:order val="0"/>
          <c:tx>
            <c:v>VIRAM  N = 3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Sheet1!$I$16:$I$23</c:f>
              <c:numCache>
                <c:ptCount val="8"/>
                <c:pt idx="0">
                  <c:v>0.16917293233082698</c:v>
                </c:pt>
                <c:pt idx="1">
                  <c:v>0.25495750708215303</c:v>
                </c:pt>
                <c:pt idx="2">
                  <c:v>0.349514563106796</c:v>
                </c:pt>
                <c:pt idx="3">
                  <c:v>0.326086956521739</c:v>
                </c:pt>
                <c:pt idx="4">
                  <c:v>0.36162732295329003</c:v>
                </c:pt>
                <c:pt idx="5">
                  <c:v>0.379047117662543</c:v>
                </c:pt>
                <c:pt idx="6">
                  <c:v>0.386007237635706</c:v>
                </c:pt>
                <c:pt idx="7">
                  <c:v>0.390879478827362</c:v>
                </c:pt>
              </c:numCache>
            </c:numRef>
          </c:val>
          <c:smooth val="0"/>
        </c:ser>
        <c:ser>
          <c:idx val="0"/>
          <c:order val="1"/>
          <c:tx>
            <c:v>IMAGINE  N = 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Sheet1!$D$16:$D$23</c:f>
              <c:numCache>
                <c:ptCount val="8"/>
                <c:pt idx="0">
                  <c:v>0.0077143125</c:v>
                </c:pt>
                <c:pt idx="1">
                  <c:v>0.0142856875</c:v>
                </c:pt>
                <c:pt idx="2">
                  <c:v>0.0248848125</c:v>
                </c:pt>
                <c:pt idx="3">
                  <c:v>0.0409090625</c:v>
                </c:pt>
                <c:pt idx="4">
                  <c:v>0.061363625</c:v>
                </c:pt>
                <c:pt idx="5">
                  <c:v>0.067817875</c:v>
                </c:pt>
                <c:pt idx="6">
                  <c:v>0.0716418125</c:v>
                </c:pt>
                <c:pt idx="7">
                  <c:v>0.0740043125</c:v>
                </c:pt>
              </c:numCache>
            </c:numRef>
          </c:val>
          <c:smooth val="0"/>
        </c:ser>
        <c:ser>
          <c:idx val="2"/>
          <c:order val="2"/>
          <c:tx>
            <c:v>VIRAM  N = 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Sheet1!$K$16:$K$23</c:f>
              <c:numCache>
                <c:ptCount val="8"/>
                <c:pt idx="0">
                  <c:v>0.23560209424083803</c:v>
                </c:pt>
                <c:pt idx="1">
                  <c:v>0.368550368550369</c:v>
                </c:pt>
                <c:pt idx="2">
                  <c:v>0.500834724540901</c:v>
                </c:pt>
                <c:pt idx="3">
                  <c:v>0.438489646772229</c:v>
                </c:pt>
                <c:pt idx="4">
                  <c:v>0.486486486486487</c:v>
                </c:pt>
                <c:pt idx="5">
                  <c:v>0.512857041099793</c:v>
                </c:pt>
                <c:pt idx="6">
                  <c:v>0.526488976637052</c:v>
                </c:pt>
                <c:pt idx="7">
                  <c:v>0.533451878195155</c:v>
                </c:pt>
              </c:numCache>
            </c:numRef>
          </c:val>
          <c:smooth val="0"/>
        </c:ser>
        <c:ser>
          <c:idx val="3"/>
          <c:order val="3"/>
          <c:tx>
            <c:v>IMAGINE  N = 5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Sheet1!$G$16:$G$23</c:f>
              <c:numCache>
                <c:ptCount val="8"/>
                <c:pt idx="0">
                  <c:v>0.01554725</c:v>
                </c:pt>
                <c:pt idx="1">
                  <c:v>0.0285388125</c:v>
                </c:pt>
                <c:pt idx="2">
                  <c:v>0.0487329375</c:v>
                </c:pt>
                <c:pt idx="3">
                  <c:v>0.07763975</c:v>
                </c:pt>
                <c:pt idx="4">
                  <c:v>0.111607125</c:v>
                </c:pt>
                <c:pt idx="5">
                  <c:v>0.1192605625</c:v>
                </c:pt>
                <c:pt idx="6">
                  <c:v>0.1231148125</c:v>
                </c:pt>
                <c:pt idx="7">
                  <c:v>0.138528125</c:v>
                </c:pt>
              </c:numCache>
            </c:numRef>
          </c:val>
          <c:smooth val="0"/>
        </c:ser>
        <c:marker val="1"/>
        <c:axId val="17532437"/>
        <c:axId val="23574206"/>
      </c:lineChart>
      <c:catAx>
        <c:axId val="17532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Matrices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4206"/>
        <c:crosses val="autoZero"/>
        <c:auto val="1"/>
        <c:lblOffset val="100"/>
        <c:tickLblSkip val="1"/>
        <c:noMultiLvlLbl val="0"/>
      </c:catAx>
      <c:valAx>
        <c:axId val="2357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Sqmat theoretical 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32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1695"/>
          <c:w val="0.7165"/>
          <c:h val="0.718"/>
        </c:manualLayout>
      </c:layout>
      <c:barChart>
        <c:barDir val="col"/>
        <c:grouping val="clustered"/>
        <c:varyColors val="0"/>
        <c:ser>
          <c:idx val="1"/>
          <c:order val="0"/>
          <c:tx>
            <c:v>CYCLES IRAM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/>
            </c:numRef>
          </c:cat>
          <c:val>
            <c:numRef>
              <c:f>Sheet1!$L$29:$L$36</c:f>
              <c:numCache/>
            </c:numRef>
          </c:val>
        </c:ser>
        <c:ser>
          <c:idx val="0"/>
          <c:order val="1"/>
          <c:tx>
            <c:v>CYCLES IMAGINE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/>
            </c:numRef>
          </c:cat>
          <c:val>
            <c:numRef>
              <c:f>Sheet1!$E$29:$E$36</c:f>
              <c:numCache/>
            </c:numRef>
          </c:val>
        </c:ser>
        <c:axId val="41151999"/>
        <c:axId val="34823672"/>
      </c:barChart>
      <c:lineChart>
        <c:grouping val="standard"/>
        <c:varyColors val="0"/>
        <c:ser>
          <c:idx val="2"/>
          <c:order val="2"/>
          <c:tx>
            <c:v>MFLOPS IRAM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Sheet1!$M$29:$M$36</c:f>
              <c:numCache/>
            </c:numRef>
          </c:val>
          <c:smooth val="0"/>
        </c:ser>
        <c:ser>
          <c:idx val="3"/>
          <c:order val="3"/>
          <c:tx>
            <c:v>MFLOPS IMAGINE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Sheet1!$F$29:$F$36</c:f>
              <c:numCache/>
            </c:numRef>
          </c:val>
          <c:smooth val="0"/>
        </c:ser>
        <c:axId val="44977593"/>
        <c:axId val="2145154"/>
      </c:lineChart>
      <c:catAx>
        <c:axId val="4115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Vector/Stream Length(L)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23672"/>
        <c:crosses val="autoZero"/>
        <c:auto val="0"/>
        <c:lblOffset val="100"/>
        <c:tickLblSkip val="1"/>
        <c:noMultiLvlLbl val="0"/>
      </c:catAx>
      <c:valAx>
        <c:axId val="3482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51999"/>
        <c:crossesAt val="1"/>
        <c:crossBetween val="between"/>
        <c:dispUnits/>
      </c:valAx>
      <c:catAx>
        <c:axId val="44977593"/>
        <c:scaling>
          <c:orientation val="minMax"/>
        </c:scaling>
        <c:axPos val="b"/>
        <c:delete val="1"/>
        <c:majorTickMark val="in"/>
        <c:minorTickMark val="none"/>
        <c:tickLblPos val="nextTo"/>
        <c:crossAx val="2145154"/>
        <c:crosses val="autoZero"/>
        <c:auto val="0"/>
        <c:lblOffset val="100"/>
        <c:tickLblSkip val="1"/>
        <c:noMultiLvlLbl val="0"/>
      </c:catAx>
      <c:valAx>
        <c:axId val="214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775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2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M=1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IRAM N=3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Sheet1!$J$16:$J$23</c:f>
              <c:numCache>
                <c:ptCount val="8"/>
                <c:pt idx="0">
                  <c:v>266.0000000000001</c:v>
                </c:pt>
                <c:pt idx="1">
                  <c:v>352.9999999999999</c:v>
                </c:pt>
                <c:pt idx="2">
                  <c:v>515.0000000000001</c:v>
                </c:pt>
                <c:pt idx="3">
                  <c:v>1104.0000000000005</c:v>
                </c:pt>
                <c:pt idx="4">
                  <c:v>1990.9999999999989</c:v>
                </c:pt>
                <c:pt idx="5">
                  <c:v>3798.9999999999977</c:v>
                </c:pt>
                <c:pt idx="6">
                  <c:v>7460.9999999999945</c:v>
                </c:pt>
                <c:pt idx="7">
                  <c:v>14735.999999999984</c:v>
                </c:pt>
              </c:numCache>
            </c:numRef>
          </c:val>
        </c:ser>
        <c:ser>
          <c:idx val="1"/>
          <c:order val="1"/>
          <c:tx>
            <c:v>IMAGINE, N=3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Sheet1!$E$16:$E$23</c:f>
              <c:numCache>
                <c:ptCount val="8"/>
                <c:pt idx="0">
                  <c:v>1749.9939236322093</c:v>
                </c:pt>
                <c:pt idx="1">
                  <c:v>1890.0035437566444</c:v>
                </c:pt>
                <c:pt idx="2">
                  <c:v>2169.998267015273</c:v>
                </c:pt>
                <c:pt idx="3">
                  <c:v>2640.001833334606</c:v>
                </c:pt>
                <c:pt idx="4">
                  <c:v>3520.000651851973</c:v>
                </c:pt>
                <c:pt idx="5">
                  <c:v>6370.002009057347</c:v>
                </c:pt>
                <c:pt idx="6">
                  <c:v>12059.996388282332</c:v>
                </c:pt>
                <c:pt idx="7">
                  <c:v>23349.99058331905</c:v>
                </c:pt>
              </c:numCache>
            </c:numRef>
          </c:val>
        </c:ser>
        <c:ser>
          <c:idx val="2"/>
          <c:order val="2"/>
          <c:tx>
            <c:v>IRAM, N=5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Sheet1!$L$16:$L$23</c:f>
              <c:numCache>
                <c:ptCount val="8"/>
                <c:pt idx="0">
                  <c:v>954.9999999999986</c:v>
                </c:pt>
                <c:pt idx="1">
                  <c:v>1220.9999999999986</c:v>
                </c:pt>
                <c:pt idx="2">
                  <c:v>1797.0000000000016</c:v>
                </c:pt>
                <c:pt idx="3">
                  <c:v>4105</c:v>
                </c:pt>
                <c:pt idx="4">
                  <c:v>7399.999999999991</c:v>
                </c:pt>
                <c:pt idx="5">
                  <c:v>14039.000000000011</c:v>
                </c:pt>
                <c:pt idx="6">
                  <c:v>27350.999999999985</c:v>
                </c:pt>
                <c:pt idx="7">
                  <c:v>53987.99999999994</c:v>
                </c:pt>
              </c:numCache>
            </c:numRef>
          </c:val>
        </c:ser>
        <c:ser>
          <c:idx val="3"/>
          <c:order val="3"/>
          <c:tx>
            <c:v>IMAGINE, N=5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Sheet1!$H$16:$H$23</c:f>
              <c:numCache>
                <c:ptCount val="8"/>
                <c:pt idx="0">
                  <c:v>4020.0035376031133</c:v>
                </c:pt>
                <c:pt idx="1">
                  <c:v>4380.000043800002</c:v>
                </c:pt>
                <c:pt idx="2">
                  <c:v>5130.000628425078</c:v>
                </c:pt>
                <c:pt idx="3">
                  <c:v>6440.000128800002</c:v>
                </c:pt>
                <c:pt idx="4">
                  <c:v>8960.00143360023</c:v>
                </c:pt>
                <c:pt idx="5">
                  <c:v>16770.003076247438</c:v>
                </c:pt>
                <c:pt idx="6">
                  <c:v>32489.997903379823</c:v>
                </c:pt>
                <c:pt idx="7">
                  <c:v>57750.00563964899</c:v>
                </c:pt>
              </c:numCache>
            </c:numRef>
          </c:val>
        </c:ser>
        <c:axId val="10841263"/>
        <c:axId val="30462504"/>
      </c:barChart>
      <c:catAx>
        <c:axId val="1084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Matrices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2504"/>
        <c:crosses val="autoZero"/>
        <c:auto val="1"/>
        <c:lblOffset val="100"/>
        <c:noMultiLvlLbl val="0"/>
      </c:catAx>
      <c:valAx>
        <c:axId val="3046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1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M=10, N =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IRAM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Sheet1!$K$29:$K$36</c:f>
              <c:numCache>
                <c:ptCount val="8"/>
                <c:pt idx="0">
                  <c:v>0.350740452065472</c:v>
                </c:pt>
                <c:pt idx="1">
                  <c:v>0.5524861878</c:v>
                </c:pt>
                <c:pt idx="2">
                  <c:v>0.77955</c:v>
                </c:pt>
                <c:pt idx="3">
                  <c:v>0.6553789999999999</c:v>
                </c:pt>
                <c:pt idx="4">
                  <c:v>0.7383858</c:v>
                </c:pt>
                <c:pt idx="5">
                  <c:v>0.7867991999999999</c:v>
                </c:pt>
                <c:pt idx="6">
                  <c:v>0.812411</c:v>
                </c:pt>
                <c:pt idx="7">
                  <c:v>0.823374</c:v>
                </c:pt>
              </c:numCache>
            </c:numRef>
          </c:val>
          <c:smooth val="0"/>
        </c:ser>
        <c:ser>
          <c:idx val="0"/>
          <c:order val="1"/>
          <c:tx>
            <c:v>IMAGINE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Sheet1!$D$29:$D$36</c:f>
              <c:numCache>
                <c:ptCount val="8"/>
                <c:pt idx="0">
                  <c:v>0.015882375</c:v>
                </c:pt>
                <c:pt idx="1">
                  <c:v>0.03061225</c:v>
                </c:pt>
                <c:pt idx="2">
                  <c:v>0.0573248125</c:v>
                </c:pt>
                <c:pt idx="3">
                  <c:v>0.1016949375</c:v>
                </c:pt>
                <c:pt idx="4">
                  <c:v>0.1656441875</c:v>
                </c:pt>
                <c:pt idx="5">
                  <c:v>0.2420168125</c:v>
                </c:pt>
                <c:pt idx="6">
                  <c:v>0.324081</c:v>
                </c:pt>
                <c:pt idx="7">
                  <c:v>0.3766346875</c:v>
                </c:pt>
              </c:numCache>
            </c:numRef>
          </c:val>
          <c:smooth val="0"/>
        </c:ser>
        <c:marker val="1"/>
        <c:axId val="5727081"/>
        <c:axId val="51543730"/>
      </c:lineChart>
      <c:catAx>
        <c:axId val="572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Matrices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3730"/>
        <c:crosses val="autoZero"/>
        <c:auto val="0"/>
        <c:lblOffset val="100"/>
        <c:tickLblSkip val="1"/>
        <c:noMultiLvlLbl val="0"/>
      </c:catAx>
      <c:valAx>
        <c:axId val="51543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Sqmat Theoretical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7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N=3, M = 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IRAM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Sheet1!$K$29:$K$36</c:f>
              <c:numCache>
                <c:ptCount val="8"/>
                <c:pt idx="0">
                  <c:v>0.350740452065472</c:v>
                </c:pt>
                <c:pt idx="1">
                  <c:v>0.5524861878</c:v>
                </c:pt>
                <c:pt idx="2">
                  <c:v>0.77955</c:v>
                </c:pt>
                <c:pt idx="3">
                  <c:v>0.6553789999999999</c:v>
                </c:pt>
                <c:pt idx="4">
                  <c:v>0.7383858</c:v>
                </c:pt>
                <c:pt idx="5">
                  <c:v>0.7867991999999999</c:v>
                </c:pt>
                <c:pt idx="6">
                  <c:v>0.812411</c:v>
                </c:pt>
                <c:pt idx="7">
                  <c:v>0.823374</c:v>
                </c:pt>
              </c:numCache>
            </c:numRef>
          </c:val>
          <c:smooth val="0"/>
        </c:ser>
        <c:ser>
          <c:idx val="0"/>
          <c:order val="1"/>
          <c:tx>
            <c:v>IMAGINE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1024</c:v>
                </c:pt>
              </c:numCache>
            </c:numRef>
          </c:cat>
          <c:val>
            <c:numRef>
              <c:f>Sheet1!$D$29:$D$36</c:f>
              <c:numCache>
                <c:ptCount val="8"/>
                <c:pt idx="0">
                  <c:v>0.015882375</c:v>
                </c:pt>
                <c:pt idx="1">
                  <c:v>0.03061225</c:v>
                </c:pt>
                <c:pt idx="2">
                  <c:v>0.0573248125</c:v>
                </c:pt>
                <c:pt idx="3">
                  <c:v>0.1016949375</c:v>
                </c:pt>
                <c:pt idx="4">
                  <c:v>0.1656441875</c:v>
                </c:pt>
                <c:pt idx="5">
                  <c:v>0.2420168125</c:v>
                </c:pt>
                <c:pt idx="6">
                  <c:v>0.324081</c:v>
                </c:pt>
                <c:pt idx="7">
                  <c:v>0.3766346875</c:v>
                </c:pt>
              </c:numCache>
            </c:numRef>
          </c:val>
          <c:smooth val="0"/>
        </c:ser>
        <c:marker val="1"/>
        <c:axId val="61240387"/>
        <c:axId val="14292572"/>
      </c:lineChart>
      <c:catAx>
        <c:axId val="6124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Matrices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92572"/>
        <c:crosses val="autoZero"/>
        <c:auto val="0"/>
        <c:lblOffset val="100"/>
        <c:tickLblSkip val="1"/>
        <c:noMultiLvlLbl val="0"/>
      </c:catAx>
      <c:valAx>
        <c:axId val="14292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Sqmat Theoretical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4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N=3 IRAM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Sheet1!$C$48:$C$82</c:f>
              <c:numCache>
                <c:ptCount val="3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120</c:v>
                </c:pt>
                <c:pt idx="14">
                  <c:v>150</c:v>
                </c:pt>
                <c:pt idx="15">
                  <c:v>180</c:v>
                </c:pt>
                <c:pt idx="16">
                  <c:v>200</c:v>
                </c:pt>
                <c:pt idx="17">
                  <c:v>210</c:v>
                </c:pt>
                <c:pt idx="18">
                  <c:v>240</c:v>
                </c:pt>
                <c:pt idx="19">
                  <c:v>250</c:v>
                </c:pt>
                <c:pt idx="20">
                  <c:v>270</c:v>
                </c:pt>
                <c:pt idx="21">
                  <c:v>300</c:v>
                </c:pt>
                <c:pt idx="22">
                  <c:v>350</c:v>
                </c:pt>
                <c:pt idx="23">
                  <c:v>400</c:v>
                </c:pt>
                <c:pt idx="24">
                  <c:v>450</c:v>
                </c:pt>
                <c:pt idx="25">
                  <c:v>500</c:v>
                </c:pt>
                <c:pt idx="26">
                  <c:v>550</c:v>
                </c:pt>
                <c:pt idx="27">
                  <c:v>600</c:v>
                </c:pt>
                <c:pt idx="28">
                  <c:v>650</c:v>
                </c:pt>
                <c:pt idx="29">
                  <c:v>700</c:v>
                </c:pt>
                <c:pt idx="30">
                  <c:v>750</c:v>
                </c:pt>
                <c:pt idx="31">
                  <c:v>800</c:v>
                </c:pt>
                <c:pt idx="32">
                  <c:v>850</c:v>
                </c:pt>
                <c:pt idx="33">
                  <c:v>900</c:v>
                </c:pt>
                <c:pt idx="34">
                  <c:v>950</c:v>
                </c:pt>
              </c:numCache>
            </c:numRef>
          </c:xVal>
          <c:yVal>
            <c:numRef>
              <c:f>Sheet1!$J$48:$J$82</c:f>
              <c:numCache>
                <c:ptCount val="35"/>
                <c:pt idx="0">
                  <c:v>0.7457919723</c:v>
                </c:pt>
                <c:pt idx="1">
                  <c:v>0.7717631999999999</c:v>
                </c:pt>
                <c:pt idx="2">
                  <c:v>0.7924606177</c:v>
                </c:pt>
                <c:pt idx="3">
                  <c:v>0.8093424</c:v>
                </c:pt>
                <c:pt idx="4">
                  <c:v>0.8233746</c:v>
                </c:pt>
                <c:pt idx="6">
                  <c:v>0.8233746</c:v>
                </c:pt>
                <c:pt idx="11">
                  <c:v>0.884732225142</c:v>
                </c:pt>
                <c:pt idx="12">
                  <c:v>0.8930509470000001</c:v>
                </c:pt>
                <c:pt idx="13">
                  <c:v>0.9058265405079001</c:v>
                </c:pt>
              </c:numCache>
            </c:numRef>
          </c:yVal>
          <c:smooth val="0"/>
        </c:ser>
        <c:ser>
          <c:idx val="1"/>
          <c:order val="1"/>
          <c:tx>
            <c:v>N=3 IMAGINE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Sheet1!$C$48:$C$82</c:f>
              <c:numCache>
                <c:ptCount val="3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120</c:v>
                </c:pt>
                <c:pt idx="14">
                  <c:v>150</c:v>
                </c:pt>
                <c:pt idx="15">
                  <c:v>180</c:v>
                </c:pt>
                <c:pt idx="16">
                  <c:v>200</c:v>
                </c:pt>
                <c:pt idx="17">
                  <c:v>210</c:v>
                </c:pt>
                <c:pt idx="18">
                  <c:v>240</c:v>
                </c:pt>
                <c:pt idx="19">
                  <c:v>250</c:v>
                </c:pt>
                <c:pt idx="20">
                  <c:v>270</c:v>
                </c:pt>
                <c:pt idx="21">
                  <c:v>300</c:v>
                </c:pt>
                <c:pt idx="22">
                  <c:v>350</c:v>
                </c:pt>
                <c:pt idx="23">
                  <c:v>400</c:v>
                </c:pt>
                <c:pt idx="24">
                  <c:v>450</c:v>
                </c:pt>
                <c:pt idx="25">
                  <c:v>500</c:v>
                </c:pt>
                <c:pt idx="26">
                  <c:v>550</c:v>
                </c:pt>
                <c:pt idx="27">
                  <c:v>600</c:v>
                </c:pt>
                <c:pt idx="28">
                  <c:v>650</c:v>
                </c:pt>
                <c:pt idx="29">
                  <c:v>700</c:v>
                </c:pt>
                <c:pt idx="30">
                  <c:v>750</c:v>
                </c:pt>
                <c:pt idx="31">
                  <c:v>800</c:v>
                </c:pt>
                <c:pt idx="32">
                  <c:v>850</c:v>
                </c:pt>
                <c:pt idx="33">
                  <c:v>900</c:v>
                </c:pt>
                <c:pt idx="34">
                  <c:v>950</c:v>
                </c:pt>
              </c:numCache>
            </c:numRef>
          </c:xVal>
          <c:yVal>
            <c:numRef>
              <c:f>Sheet1!$E$48:$E$82</c:f>
              <c:numCache>
                <c:ptCount val="35"/>
                <c:pt idx="4">
                  <c:v>0.5088706875</c:v>
                </c:pt>
                <c:pt idx="12">
                  <c:v>0.856936125</c:v>
                </c:pt>
                <c:pt idx="14">
                  <c:v>0.7259625625</c:v>
                </c:pt>
                <c:pt idx="16">
                  <c:v>0.888596375</c:v>
                </c:pt>
                <c:pt idx="19">
                  <c:v>0.793744125</c:v>
                </c:pt>
                <c:pt idx="21">
                  <c:v>0.899676125</c:v>
                </c:pt>
                <c:pt idx="22">
                  <c:v>0.826779375</c:v>
                </c:pt>
                <c:pt idx="23">
                  <c:v>0.90532025</c:v>
                </c:pt>
                <c:pt idx="24">
                  <c:v>0.8463501875</c:v>
                </c:pt>
                <c:pt idx="25">
                  <c:v>0.908740875</c:v>
                </c:pt>
                <c:pt idx="26">
                  <c:v>0.85932725</c:v>
                </c:pt>
                <c:pt idx="27">
                  <c:v>0.9110356875</c:v>
                </c:pt>
                <c:pt idx="28">
                  <c:v>0.8685171875</c:v>
                </c:pt>
                <c:pt idx="29">
                  <c:v>0.9126819375</c:v>
                </c:pt>
                <c:pt idx="30">
                  <c:v>0.8753834375</c:v>
                </c:pt>
                <c:pt idx="31">
                  <c:v>0.9139205625</c:v>
                </c:pt>
                <c:pt idx="32">
                  <c:v>0.8807303125</c:v>
                </c:pt>
                <c:pt idx="33">
                  <c:v>0.9148861875</c:v>
                </c:pt>
                <c:pt idx="34">
                  <c:v>0.8849766875</c:v>
                </c:pt>
              </c:numCache>
            </c:numRef>
          </c:yVal>
          <c:smooth val="0"/>
        </c:ser>
        <c:ser>
          <c:idx val="2"/>
          <c:order val="2"/>
          <c:tx>
            <c:v>N=5 IMAGINE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Sheet1!$C$48:$C$82</c:f>
              <c:numCache>
                <c:ptCount val="3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120</c:v>
                </c:pt>
                <c:pt idx="14">
                  <c:v>150</c:v>
                </c:pt>
                <c:pt idx="15">
                  <c:v>180</c:v>
                </c:pt>
                <c:pt idx="16">
                  <c:v>200</c:v>
                </c:pt>
                <c:pt idx="17">
                  <c:v>210</c:v>
                </c:pt>
                <c:pt idx="18">
                  <c:v>240</c:v>
                </c:pt>
                <c:pt idx="19">
                  <c:v>250</c:v>
                </c:pt>
                <c:pt idx="20">
                  <c:v>270</c:v>
                </c:pt>
                <c:pt idx="21">
                  <c:v>300</c:v>
                </c:pt>
                <c:pt idx="22">
                  <c:v>350</c:v>
                </c:pt>
                <c:pt idx="23">
                  <c:v>400</c:v>
                </c:pt>
                <c:pt idx="24">
                  <c:v>450</c:v>
                </c:pt>
                <c:pt idx="25">
                  <c:v>500</c:v>
                </c:pt>
                <c:pt idx="26">
                  <c:v>550</c:v>
                </c:pt>
                <c:pt idx="27">
                  <c:v>600</c:v>
                </c:pt>
                <c:pt idx="28">
                  <c:v>650</c:v>
                </c:pt>
                <c:pt idx="29">
                  <c:v>700</c:v>
                </c:pt>
                <c:pt idx="30">
                  <c:v>750</c:v>
                </c:pt>
                <c:pt idx="31">
                  <c:v>800</c:v>
                </c:pt>
                <c:pt idx="32">
                  <c:v>850</c:v>
                </c:pt>
                <c:pt idx="33">
                  <c:v>900</c:v>
                </c:pt>
                <c:pt idx="34">
                  <c:v>950</c:v>
                </c:pt>
              </c:numCache>
            </c:numRef>
          </c:xVal>
          <c:yVal>
            <c:numRef>
              <c:f>Sheet1!$H$48:$H$82</c:f>
              <c:numCache>
                <c:ptCount val="35"/>
                <c:pt idx="0">
                  <c:v>0.352200875</c:v>
                </c:pt>
                <c:pt idx="6">
                  <c:v>0.641520625</c:v>
                </c:pt>
                <c:pt idx="11">
                  <c:v>0.5305115625</c:v>
                </c:pt>
                <c:pt idx="13">
                  <c:v>0.69056775</c:v>
                </c:pt>
                <c:pt idx="14">
                  <c:v>0.590364625</c:v>
                </c:pt>
                <c:pt idx="15">
                  <c:v>0.6969240625</c:v>
                </c:pt>
                <c:pt idx="17">
                  <c:v>0.620146875</c:v>
                </c:pt>
                <c:pt idx="18">
                  <c:v>0.7001715</c:v>
                </c:pt>
                <c:pt idx="20">
                  <c:v>0.6381494375</c:v>
                </c:pt>
                <c:pt idx="27">
                  <c:v>0.70604</c:v>
                </c:pt>
                <c:pt idx="33">
                  <c:v>0.7073515</c:v>
                </c:pt>
              </c:numCache>
            </c:numRef>
          </c:yVal>
          <c:smooth val="0"/>
        </c:ser>
        <c:axId val="61524285"/>
        <c:axId val="16847654"/>
      </c:scatterChart>
      <c:valAx>
        <c:axId val="6152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Ops (or Mults) per word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47654"/>
        <c:crosses val="autoZero"/>
        <c:crossBetween val="midCat"/>
        <c:dispUnits/>
      </c:valAx>
      <c:valAx>
        <c:axId val="1684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Sqmat Theoretical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24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VIRAM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IMAGINE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Sheet1!$B$3:$B$7</c:f>
              <c:numCache/>
            </c:numRef>
          </c:cat>
          <c:val>
            <c:numRef>
              <c:f>Sheet1!$F$3:$F$7</c:f>
              <c:numCache/>
            </c:numRef>
          </c:val>
          <c:smooth val="0"/>
        </c:ser>
        <c:marker val="1"/>
        <c:axId val="17411159"/>
        <c:axId val="22482704"/>
      </c:lineChart>
      <c:catAx>
        <c:axId val="17411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82704"/>
        <c:crosses val="autoZero"/>
        <c:auto val="1"/>
        <c:lblOffset val="100"/>
        <c:tickLblSkip val="1"/>
        <c:noMultiLvlLbl val="0"/>
      </c:catAx>
      <c:valAx>
        <c:axId val="2248270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11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4825"/>
          <c:w val="0.72325"/>
          <c:h val="0.79225"/>
        </c:manualLayout>
      </c:layout>
      <c:lineChart>
        <c:grouping val="standard"/>
        <c:varyColors val="0"/>
        <c:ser>
          <c:idx val="0"/>
          <c:order val="0"/>
          <c:tx>
            <c:v>VIRAM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/>
            </c:numRef>
          </c:cat>
          <c:val>
            <c:numRef>
              <c:f>Sheet1!$I$16:$I$23</c:f>
              <c:numCache/>
            </c:numRef>
          </c:val>
          <c:smooth val="0"/>
        </c:ser>
        <c:ser>
          <c:idx val="1"/>
          <c:order val="1"/>
          <c:tx>
            <c:v>IMAGINE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Sheet1!$B$16:$B$23</c:f>
              <c:numCache/>
            </c:numRef>
          </c:cat>
          <c:val>
            <c:numRef>
              <c:f>Sheet1!$D$16:$D$23</c:f>
              <c:numCache/>
            </c:numRef>
          </c:val>
          <c:smooth val="0"/>
        </c:ser>
        <c:marker val="1"/>
        <c:axId val="1017745"/>
        <c:axId val="9159706"/>
      </c:lineChart>
      <c:catAx>
        <c:axId val="101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Vector/Stream Length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59706"/>
        <c:crosses val="autoZero"/>
        <c:auto val="1"/>
        <c:lblOffset val="100"/>
        <c:noMultiLvlLbl val="0"/>
      </c:catAx>
      <c:valAx>
        <c:axId val="915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of Peak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7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0825"/>
          <c:y val="0.3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VIRAM M=10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/>
            </c:numRef>
          </c:cat>
          <c:val>
            <c:numRef>
              <c:f>Sheet1!$K$29:$K$36</c:f>
              <c:numCache/>
            </c:numRef>
          </c:val>
          <c:smooth val="0"/>
        </c:ser>
        <c:ser>
          <c:idx val="1"/>
          <c:order val="1"/>
          <c:tx>
            <c:v>VIRAM M=20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/>
            </c:numRef>
          </c:cat>
          <c:val>
            <c:numRef>
              <c:f>Sheet1!$N$29:$N$36</c:f>
              <c:numCache/>
            </c:numRef>
          </c:val>
          <c:smooth val="0"/>
        </c:ser>
        <c:ser>
          <c:idx val="2"/>
          <c:order val="2"/>
          <c:tx>
            <c:v>IMAGINE M=10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/>
            </c:numRef>
          </c:cat>
          <c:val>
            <c:numRef>
              <c:f>Sheet1!$D$29:$D$36</c:f>
              <c:numCache/>
            </c:numRef>
          </c:val>
          <c:smooth val="0"/>
        </c:ser>
        <c:ser>
          <c:idx val="3"/>
          <c:order val="3"/>
          <c:tx>
            <c:v>IMAGINE M=20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/>
            </c:numRef>
          </c:cat>
          <c:val>
            <c:numRef>
              <c:f>Sheet1!$H$29:$H$36</c:f>
              <c:numCache/>
            </c:numRef>
          </c:val>
          <c:smooth val="0"/>
        </c:ser>
        <c:marker val="1"/>
        <c:axId val="15328491"/>
        <c:axId val="3738692"/>
      </c:lineChart>
      <c:catAx>
        <c:axId val="153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Vector/Stream Length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692"/>
        <c:crosses val="autoZero"/>
        <c:auto val="1"/>
        <c:lblOffset val="100"/>
        <c:noMultiLvlLbl val="0"/>
      </c:catAx>
      <c:valAx>
        <c:axId val="373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8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K=1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Sheet1!$L$42:$L$46</c:f>
              <c:numCache/>
            </c:numRef>
          </c:cat>
          <c:val>
            <c:numRef>
              <c:f>Sheet1!$N$42:$N$46</c:f>
              <c:numCache/>
            </c:numRef>
          </c:val>
        </c:ser>
        <c:ser>
          <c:idx val="1"/>
          <c:order val="1"/>
          <c:tx>
            <c:v>K=5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Sheet1!$L$42:$L$46</c:f>
              <c:numCache/>
            </c:numRef>
          </c:cat>
          <c:val>
            <c:numRef>
              <c:f>Sheet1!$P$42:$P$46</c:f>
              <c:numCache/>
            </c:numRef>
          </c:val>
        </c:ser>
        <c:ser>
          <c:idx val="2"/>
          <c:order val="2"/>
          <c:tx>
            <c:v>K=10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Sheet1!$L$42:$L$46</c:f>
              <c:numCache/>
            </c:numRef>
          </c:cat>
          <c:val>
            <c:numRef>
              <c:f>Sheet1!$R$42:$R$46</c:f>
              <c:numCache/>
            </c:numRef>
          </c:val>
        </c:ser>
        <c:axId val="33648229"/>
        <c:axId val="34398606"/>
      </c:barChart>
      <c:catAx>
        <c:axId val="33648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Computational Intensity (Multiplies/Word)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98606"/>
        <c:crosses val="autoZero"/>
        <c:auto val="1"/>
        <c:lblOffset val="100"/>
        <c:noMultiLvlLbl val="0"/>
      </c:catAx>
      <c:valAx>
        <c:axId val="34398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48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57150</xdr:rowOff>
    </xdr:from>
    <xdr:to>
      <xdr:col>14</xdr:col>
      <xdr:colOff>133350</xdr:colOff>
      <xdr:row>9</xdr:row>
      <xdr:rowOff>104775</xdr:rowOff>
    </xdr:to>
    <xdr:graphicFrame>
      <xdr:nvGraphicFramePr>
        <xdr:cNvPr id="1" name="Chart 1"/>
        <xdr:cNvGraphicFramePr/>
      </xdr:nvGraphicFramePr>
      <xdr:xfrm>
        <a:off x="5743575" y="57150"/>
        <a:ext cx="30956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10</xdr:row>
      <xdr:rowOff>47625</xdr:rowOff>
    </xdr:from>
    <xdr:to>
      <xdr:col>20</xdr:col>
      <xdr:colOff>180975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8010525" y="1809750"/>
        <a:ext cx="45339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24</xdr:row>
      <xdr:rowOff>114300</xdr:rowOff>
    </xdr:from>
    <xdr:to>
      <xdr:col>24</xdr:col>
      <xdr:colOff>314325</xdr:colOff>
      <xdr:row>37</xdr:row>
      <xdr:rowOff>95250</xdr:rowOff>
    </xdr:to>
    <xdr:graphicFrame>
      <xdr:nvGraphicFramePr>
        <xdr:cNvPr id="3" name="Chart 4"/>
        <xdr:cNvGraphicFramePr/>
      </xdr:nvGraphicFramePr>
      <xdr:xfrm>
        <a:off x="9477375" y="4371975"/>
        <a:ext cx="56388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485775</xdr:colOff>
      <xdr:row>38</xdr:row>
      <xdr:rowOff>57150</xdr:rowOff>
    </xdr:from>
    <xdr:to>
      <xdr:col>26</xdr:col>
      <xdr:colOff>238125</xdr:colOff>
      <xdr:row>54</xdr:row>
      <xdr:rowOff>28575</xdr:rowOff>
    </xdr:to>
    <xdr:graphicFrame>
      <xdr:nvGraphicFramePr>
        <xdr:cNvPr id="4" name="Chart 6"/>
        <xdr:cNvGraphicFramePr/>
      </xdr:nvGraphicFramePr>
      <xdr:xfrm>
        <a:off x="11630025" y="6810375"/>
        <a:ext cx="46291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485775</xdr:colOff>
      <xdr:row>5</xdr:row>
      <xdr:rowOff>180975</xdr:rowOff>
    </xdr:from>
    <xdr:to>
      <xdr:col>27</xdr:col>
      <xdr:colOff>571500</xdr:colOff>
      <xdr:row>24</xdr:row>
      <xdr:rowOff>85725</xdr:rowOff>
    </xdr:to>
    <xdr:graphicFrame>
      <xdr:nvGraphicFramePr>
        <xdr:cNvPr id="5" name="Chart 8"/>
        <xdr:cNvGraphicFramePr/>
      </xdr:nvGraphicFramePr>
      <xdr:xfrm>
        <a:off x="12849225" y="1076325"/>
        <a:ext cx="435292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2"/>
  <sheetViews>
    <sheetView tabSelected="1" workbookViewId="0" topLeftCell="N1">
      <selection activeCell="K41" sqref="K41"/>
    </sheetView>
  </sheetViews>
  <sheetFormatPr defaultColWidth="9.140625" defaultRowHeight="12.75"/>
  <cols>
    <col min="4" max="4" width="9.57421875" style="0" bestFit="1" customWidth="1"/>
    <col min="5" max="5" width="11.28125" style="0" bestFit="1" customWidth="1"/>
  </cols>
  <sheetData>
    <row r="1" spans="3:6" ht="12.75">
      <c r="C1" t="s">
        <v>24</v>
      </c>
      <c r="D1" t="s">
        <v>23</v>
      </c>
      <c r="E1" t="s">
        <v>23</v>
      </c>
      <c r="F1" t="s">
        <v>5</v>
      </c>
    </row>
    <row r="2" spans="2:6" ht="12.75">
      <c r="B2" t="s">
        <v>3</v>
      </c>
      <c r="D2" t="s">
        <v>0</v>
      </c>
      <c r="E2" t="s">
        <v>1</v>
      </c>
      <c r="F2" t="s">
        <v>1</v>
      </c>
    </row>
    <row r="3" spans="2:6" ht="15">
      <c r="B3">
        <v>1</v>
      </c>
      <c r="D3" s="1">
        <v>0.021333</v>
      </c>
      <c r="E3" s="7">
        <f>+D3/16</f>
        <v>0.0013333125</v>
      </c>
      <c r="F3" s="7">
        <v>0.04</v>
      </c>
    </row>
    <row r="4" spans="2:6" ht="15">
      <c r="B4">
        <v>2</v>
      </c>
      <c r="D4" s="1">
        <v>0.109402</v>
      </c>
      <c r="E4" s="7">
        <f>+D4/16</f>
        <v>0.006837625</v>
      </c>
      <c r="F4" s="7">
        <v>0.1904</v>
      </c>
    </row>
    <row r="5" spans="2:6" ht="15">
      <c r="B5">
        <v>3</v>
      </c>
      <c r="D5" s="1">
        <v>0.228571</v>
      </c>
      <c r="E5" s="7">
        <f>+D5/16</f>
        <v>0.0142856875</v>
      </c>
      <c r="F5" s="2">
        <f>+I17</f>
        <v>0.25495750708215303</v>
      </c>
    </row>
    <row r="6" spans="2:6" ht="15">
      <c r="B6">
        <v>4</v>
      </c>
      <c r="D6" s="1">
        <v>0.359298</v>
      </c>
      <c r="E6" s="7">
        <f>+D6/16</f>
        <v>0.022456125</v>
      </c>
      <c r="F6" s="7">
        <f>0.2533</f>
        <v>0.2533</v>
      </c>
    </row>
    <row r="7" spans="2:6" ht="15">
      <c r="B7">
        <v>5</v>
      </c>
      <c r="D7" s="1">
        <v>0.456621</v>
      </c>
      <c r="E7" s="7">
        <f>+D7/16</f>
        <v>0.0285388125</v>
      </c>
      <c r="F7" s="2">
        <f>+K17</f>
        <v>0.368550368550369</v>
      </c>
    </row>
    <row r="8" ht="12.75">
      <c r="D8" s="2"/>
    </row>
    <row r="10" spans="3:9" ht="12.75">
      <c r="C10" t="s">
        <v>4</v>
      </c>
      <c r="G10" t="s">
        <v>4</v>
      </c>
      <c r="I10" t="s">
        <v>5</v>
      </c>
    </row>
    <row r="11" spans="2:11" ht="12.75">
      <c r="B11" t="s">
        <v>8</v>
      </c>
      <c r="C11" t="s">
        <v>9</v>
      </c>
      <c r="F11" t="s">
        <v>3</v>
      </c>
      <c r="I11" t="s">
        <v>3</v>
      </c>
      <c r="K11" t="s">
        <v>3</v>
      </c>
    </row>
    <row r="12" spans="2:11" ht="12.75">
      <c r="B12">
        <v>1</v>
      </c>
      <c r="C12">
        <v>3</v>
      </c>
      <c r="F12">
        <v>5</v>
      </c>
      <c r="I12">
        <v>3</v>
      </c>
      <c r="K12">
        <v>5</v>
      </c>
    </row>
    <row r="13" spans="3:10" ht="12.75">
      <c r="C13" t="s">
        <v>0</v>
      </c>
      <c r="E13" t="s">
        <v>7</v>
      </c>
      <c r="F13" t="s">
        <v>0</v>
      </c>
      <c r="G13" t="s">
        <v>1</v>
      </c>
      <c r="H13" t="s">
        <v>7</v>
      </c>
      <c r="I13" t="s">
        <v>6</v>
      </c>
      <c r="J13" t="s">
        <v>7</v>
      </c>
    </row>
    <row r="14" ht="12.75">
      <c r="B14" t="s">
        <v>2</v>
      </c>
    </row>
    <row r="16" spans="2:12" ht="15">
      <c r="B16">
        <v>8</v>
      </c>
      <c r="C16" s="1">
        <v>0.123429</v>
      </c>
      <c r="D16" s="5">
        <f aca="true" t="shared" si="0" ref="D16:D23">+C16/16</f>
        <v>0.0077143125</v>
      </c>
      <c r="E16" s="3">
        <f>1/D16*$B16*$B$12*$C$12*$C$12*$C$12/16</f>
        <v>1749.9939236322093</v>
      </c>
      <c r="F16" s="1">
        <v>0.248756</v>
      </c>
      <c r="G16" s="2">
        <f>+F16/16</f>
        <v>0.01554725</v>
      </c>
      <c r="H16" s="3">
        <f aca="true" t="shared" si="1" ref="H16:H23">1/G16*$B16*$B$12*$F$12*$F$12*$F$12/16</f>
        <v>4020.0035376031133</v>
      </c>
      <c r="I16" s="4">
        <f>16.9172932330827/100</f>
        <v>0.16917293233082698</v>
      </c>
      <c r="J16" s="3">
        <f>1/I16*$B16*$B$12*(2*I$12^3-I$12^2)/8</f>
        <v>266.0000000000001</v>
      </c>
      <c r="K16" s="4">
        <f>0.01*23.5602094240838</f>
        <v>0.23560209424083803</v>
      </c>
      <c r="L16" s="3">
        <f aca="true" t="shared" si="2" ref="L16:L23">(1/K16*$B16*$B$12*(2*K$12^3-K$12^2))/8</f>
        <v>954.9999999999986</v>
      </c>
    </row>
    <row r="17" spans="2:12" ht="15">
      <c r="B17">
        <v>16</v>
      </c>
      <c r="C17" s="1">
        <v>0.228571</v>
      </c>
      <c r="D17" s="5">
        <f t="shared" si="0"/>
        <v>0.0142856875</v>
      </c>
      <c r="E17" s="3">
        <f aca="true" t="shared" si="3" ref="E17:E23">1/D17*$B17*$B$12*$C$12*$C$12*$C$12/16</f>
        <v>1890.0035437566444</v>
      </c>
      <c r="F17" s="1">
        <v>0.456621</v>
      </c>
      <c r="G17" s="2">
        <f aca="true" t="shared" si="4" ref="G17:G23">+F17/16</f>
        <v>0.0285388125</v>
      </c>
      <c r="H17" s="3">
        <f t="shared" si="1"/>
        <v>4380.000043800002</v>
      </c>
      <c r="I17" s="4">
        <f>25.4957507082153/100</f>
        <v>0.25495750708215303</v>
      </c>
      <c r="J17" s="3">
        <f>1/I17*$B17*$B$12*(2*I$12^3-I$12^2)/8</f>
        <v>352.9999999999999</v>
      </c>
      <c r="K17" s="4">
        <f>0.01*36.8550368550369</f>
        <v>0.368550368550369</v>
      </c>
      <c r="L17" s="3">
        <f t="shared" si="2"/>
        <v>1220.9999999999986</v>
      </c>
    </row>
    <row r="18" spans="2:12" ht="15">
      <c r="B18">
        <v>32</v>
      </c>
      <c r="C18" s="1">
        <v>0.398157</v>
      </c>
      <c r="D18" s="5">
        <f t="shared" si="0"/>
        <v>0.0248848125</v>
      </c>
      <c r="E18" s="3">
        <f t="shared" si="3"/>
        <v>2169.998267015273</v>
      </c>
      <c r="F18" s="1">
        <v>0.779727</v>
      </c>
      <c r="G18" s="2">
        <f t="shared" si="4"/>
        <v>0.0487329375</v>
      </c>
      <c r="H18" s="3">
        <f t="shared" si="1"/>
        <v>5130.000628425078</v>
      </c>
      <c r="I18" s="4">
        <f>34.9514563106796/100</f>
        <v>0.349514563106796</v>
      </c>
      <c r="J18" s="3">
        <f aca="true" t="shared" si="5" ref="J18:J23">1/I18*$B18*$B$12*(2*I$12^3-I$12^2)/8</f>
        <v>515.0000000000001</v>
      </c>
      <c r="K18" s="4">
        <f>0.01*50.0834724540901</f>
        <v>0.500834724540901</v>
      </c>
      <c r="L18" s="3">
        <f t="shared" si="2"/>
        <v>1797.0000000000016</v>
      </c>
    </row>
    <row r="19" spans="2:12" ht="15">
      <c r="B19">
        <v>64</v>
      </c>
      <c r="C19" s="1">
        <v>0.654545</v>
      </c>
      <c r="D19" s="5">
        <f t="shared" si="0"/>
        <v>0.0409090625</v>
      </c>
      <c r="E19" s="3">
        <f t="shared" si="3"/>
        <v>2640.001833334606</v>
      </c>
      <c r="F19" s="1">
        <v>1.242236</v>
      </c>
      <c r="G19" s="2">
        <f t="shared" si="4"/>
        <v>0.07763975</v>
      </c>
      <c r="H19" s="3">
        <f t="shared" si="1"/>
        <v>6440.000128800002</v>
      </c>
      <c r="I19" s="4">
        <f>32.6086956521739/100</f>
        <v>0.326086956521739</v>
      </c>
      <c r="J19" s="3">
        <f t="shared" si="5"/>
        <v>1104.0000000000005</v>
      </c>
      <c r="K19" s="4">
        <f>0.01*43.8489646772229</f>
        <v>0.438489646772229</v>
      </c>
      <c r="L19" s="3">
        <f t="shared" si="2"/>
        <v>4105</v>
      </c>
    </row>
    <row r="20" spans="2:12" ht="15">
      <c r="B20">
        <v>128</v>
      </c>
      <c r="C20" s="1">
        <v>0.981818</v>
      </c>
      <c r="D20" s="5">
        <f t="shared" si="0"/>
        <v>0.061363625</v>
      </c>
      <c r="E20" s="3">
        <f t="shared" si="3"/>
        <v>3520.000651851973</v>
      </c>
      <c r="F20" s="1">
        <v>1.785714</v>
      </c>
      <c r="G20" s="2">
        <f t="shared" si="4"/>
        <v>0.111607125</v>
      </c>
      <c r="H20" s="3">
        <f t="shared" si="1"/>
        <v>8960.00143360023</v>
      </c>
      <c r="I20" s="4">
        <f>36.162732295329/100</f>
        <v>0.36162732295329003</v>
      </c>
      <c r="J20" s="3">
        <f t="shared" si="5"/>
        <v>1990.9999999999989</v>
      </c>
      <c r="K20" s="4">
        <f>0.01*48.6486486486487</f>
        <v>0.486486486486487</v>
      </c>
      <c r="L20" s="3">
        <f t="shared" si="2"/>
        <v>7399.999999999991</v>
      </c>
    </row>
    <row r="21" spans="2:12" ht="15">
      <c r="B21">
        <v>256</v>
      </c>
      <c r="C21" s="1">
        <v>1.085086</v>
      </c>
      <c r="D21" s="5">
        <f t="shared" si="0"/>
        <v>0.067817875</v>
      </c>
      <c r="E21" s="3">
        <f t="shared" si="3"/>
        <v>6370.002009057347</v>
      </c>
      <c r="F21" s="1">
        <v>1.908169</v>
      </c>
      <c r="G21" s="2">
        <f t="shared" si="4"/>
        <v>0.1192605625</v>
      </c>
      <c r="H21" s="3">
        <f t="shared" si="1"/>
        <v>16770.003076247438</v>
      </c>
      <c r="I21" s="4">
        <f>0.01*37.9047117662543</f>
        <v>0.379047117662543</v>
      </c>
      <c r="J21" s="3">
        <f t="shared" si="5"/>
        <v>3798.9999999999977</v>
      </c>
      <c r="K21" s="4">
        <f>0.01*51.2857041099793</f>
        <v>0.512857041099793</v>
      </c>
      <c r="L21" s="3">
        <f t="shared" si="2"/>
        <v>14039.000000000011</v>
      </c>
    </row>
    <row r="22" spans="2:12" ht="15">
      <c r="B22">
        <f>+B23/2</f>
        <v>512</v>
      </c>
      <c r="C22" s="1">
        <v>1.146269</v>
      </c>
      <c r="D22" s="5">
        <f t="shared" si="0"/>
        <v>0.0716418125</v>
      </c>
      <c r="E22" s="3">
        <f t="shared" si="3"/>
        <v>12059.996388282332</v>
      </c>
      <c r="F22" s="1">
        <v>1.969837</v>
      </c>
      <c r="G22" s="2">
        <f t="shared" si="4"/>
        <v>0.1231148125</v>
      </c>
      <c r="H22" s="3">
        <f t="shared" si="1"/>
        <v>32489.997903379823</v>
      </c>
      <c r="I22" s="4">
        <f>0.01*38.6007237635706</f>
        <v>0.386007237635706</v>
      </c>
      <c r="J22" s="3">
        <f t="shared" si="5"/>
        <v>7460.9999999999945</v>
      </c>
      <c r="K22" s="4">
        <f>0.01*52.6488976637052</f>
        <v>0.526488976637052</v>
      </c>
      <c r="L22" s="3">
        <f t="shared" si="2"/>
        <v>27350.999999999985</v>
      </c>
    </row>
    <row r="23" spans="2:12" ht="15">
      <c r="B23">
        <v>1024</v>
      </c>
      <c r="C23" s="1">
        <v>1.184069</v>
      </c>
      <c r="D23" s="5">
        <f t="shared" si="0"/>
        <v>0.0740043125</v>
      </c>
      <c r="E23" s="3">
        <f t="shared" si="3"/>
        <v>23349.99058331905</v>
      </c>
      <c r="F23" s="1">
        <v>2.21645</v>
      </c>
      <c r="G23" s="2">
        <f t="shared" si="4"/>
        <v>0.138528125</v>
      </c>
      <c r="H23" s="3">
        <f t="shared" si="1"/>
        <v>57750.00563964899</v>
      </c>
      <c r="I23" s="4">
        <f>0.01*39.0879478827362</f>
        <v>0.390879478827362</v>
      </c>
      <c r="J23" s="3">
        <f t="shared" si="5"/>
        <v>14735.999999999984</v>
      </c>
      <c r="K23" s="4">
        <f>0.01*53.3451878195155</f>
        <v>0.533451878195155</v>
      </c>
      <c r="L23" s="3">
        <f t="shared" si="2"/>
        <v>53987.99999999994</v>
      </c>
    </row>
    <row r="25" spans="3:12" ht="12.75">
      <c r="C25" t="s">
        <v>4</v>
      </c>
      <c r="L25" t="s">
        <v>5</v>
      </c>
    </row>
    <row r="26" spans="2:14" ht="12.75">
      <c r="B26" t="s">
        <v>11</v>
      </c>
      <c r="C26" t="s">
        <v>10</v>
      </c>
      <c r="F26" t="s">
        <v>13</v>
      </c>
      <c r="K26" t="s">
        <v>16</v>
      </c>
      <c r="N26" t="s">
        <v>12</v>
      </c>
    </row>
    <row r="27" spans="2:6" ht="12.75">
      <c r="B27">
        <v>10</v>
      </c>
      <c r="C27">
        <v>3</v>
      </c>
      <c r="F27">
        <v>20</v>
      </c>
    </row>
    <row r="28" spans="2:15" ht="12.75">
      <c r="B28" t="s">
        <v>2</v>
      </c>
      <c r="C28" t="s">
        <v>14</v>
      </c>
      <c r="D28" t="s">
        <v>1</v>
      </c>
      <c r="E28" t="s">
        <v>15</v>
      </c>
      <c r="F28" t="s">
        <v>17</v>
      </c>
      <c r="G28" t="s">
        <v>0</v>
      </c>
      <c r="H28" t="s">
        <v>1</v>
      </c>
      <c r="I28" t="s">
        <v>15</v>
      </c>
      <c r="J28" t="s">
        <v>17</v>
      </c>
      <c r="K28" t="s">
        <v>1</v>
      </c>
      <c r="L28" t="s">
        <v>7</v>
      </c>
      <c r="M28" t="s">
        <v>17</v>
      </c>
      <c r="N28" t="s">
        <v>1</v>
      </c>
      <c r="O28" t="s">
        <v>7</v>
      </c>
    </row>
    <row r="29" spans="2:16" ht="15">
      <c r="B29">
        <v>8</v>
      </c>
      <c r="C29" s="1">
        <v>0.254118</v>
      </c>
      <c r="D29" s="5">
        <f aca="true" t="shared" si="6" ref="D29:D36">+C29/16</f>
        <v>0.015882375</v>
      </c>
      <c r="E29" s="3">
        <f>1/D29*$B29*$B$27*$C$27*$C$27*$C$27/16</f>
        <v>8499.988194460842</v>
      </c>
      <c r="F29" s="3">
        <f>(2*$C$27^3-$C$27^2)*$B29*$B$27/E29*500</f>
        <v>211.76499999999996</v>
      </c>
      <c r="G29" s="1">
        <v>0.495982</v>
      </c>
      <c r="H29" s="5">
        <f>+G29/16</f>
        <v>0.030998875</v>
      </c>
      <c r="I29" s="3">
        <f>1/H29*$B29*$F$27*$C$27^3/16</f>
        <v>8709.993507828913</v>
      </c>
      <c r="J29" s="3">
        <f>(2*$C$27^3-$C$27^2)*$B29*$F$27/I29*500</f>
        <v>413.3183333333333</v>
      </c>
      <c r="K29" s="5">
        <f>0.01*35.0740452065472</f>
        <v>0.350740452065472</v>
      </c>
      <c r="L29" s="3">
        <f>(1/K29*$B29*$B$27*(2*$C$27^3-$C$27^2))/8</f>
        <v>1282.9999999999984</v>
      </c>
      <c r="M29" s="3">
        <f>(2*$C$27^3-$C$27^2)*$B29*$B$27/L29*200</f>
        <v>561.1847233047552</v>
      </c>
      <c r="N29" s="4">
        <f>0.01*36.6897676314717</f>
        <v>0.36689767631471704</v>
      </c>
      <c r="O29" s="3">
        <f>(1/N29*$B29*$F$27*(2*$C$27^3-$C$27^2))/8</f>
        <v>2452.9999999999977</v>
      </c>
      <c r="P29" s="3">
        <f>(2*$C$27^3-$C$27^2)*$B29*$F$27/O29*200</f>
        <v>587.0362821035473</v>
      </c>
    </row>
    <row r="30" spans="2:16" ht="15">
      <c r="B30">
        <v>16</v>
      </c>
      <c r="C30" s="1">
        <v>0.489796</v>
      </c>
      <c r="D30" s="5">
        <f t="shared" si="6"/>
        <v>0.03061225</v>
      </c>
      <c r="E30" s="3">
        <f aca="true" t="shared" si="7" ref="E30:E36">1/D30*$B30*$B$27*$C$27*$C$27*$C$27/16</f>
        <v>8819.998530000245</v>
      </c>
      <c r="F30" s="3">
        <f aca="true" t="shared" si="8" ref="F30:F36">(2*$C$27^3-$C$27^2)*$B30*$B$27/E30*500</f>
        <v>408.16333333333336</v>
      </c>
      <c r="G30" s="1">
        <v>0.937093</v>
      </c>
      <c r="H30" s="5">
        <f aca="true" t="shared" si="9" ref="H30:H36">+G30/16</f>
        <v>0.0585683125</v>
      </c>
      <c r="I30" s="3">
        <f aca="true" t="shared" si="10" ref="I30:I36">1/H30*$B30*$F$27*$C$27^3/16</f>
        <v>9220.002710510054</v>
      </c>
      <c r="J30" s="3">
        <f aca="true" t="shared" si="11" ref="J30:J36">(2*$C$27^3-$C$27^2)*$B30*$F$27/I30*500</f>
        <v>780.9108333333335</v>
      </c>
      <c r="K30" s="4">
        <f>0.01*55.24861878</f>
        <v>0.5524861878</v>
      </c>
      <c r="L30" s="3">
        <f aca="true" t="shared" si="12" ref="L30:L35">(1/K30*$B30*$B$27*(2*$C$27^3-$C$27^2))/8</f>
        <v>1629.0000001335782</v>
      </c>
      <c r="M30" s="3">
        <f aca="true" t="shared" si="13" ref="M30:M36">(2*$C$27^3-$C$27^2)*$B30*$B$27/L30*200</f>
        <v>883.9779004799999</v>
      </c>
      <c r="N30" s="4">
        <f>0.01*58.6510263929619</f>
        <v>0.586510263929619</v>
      </c>
      <c r="O30" s="3">
        <f aca="true" t="shared" si="14" ref="O30:O36">(1/N30*$B30*$F$27*(2*$C$27^3-$C$27^2))/8</f>
        <v>3068.999999999998</v>
      </c>
      <c r="P30" s="3">
        <f aca="true" t="shared" si="15" ref="P30:P36">(2*$C$27^3-$C$27^2)*$B30*$F$27/O30*200</f>
        <v>938.4164222873906</v>
      </c>
    </row>
    <row r="31" spans="2:16" ht="15">
      <c r="B31">
        <v>32</v>
      </c>
      <c r="C31" s="1">
        <v>0.917197</v>
      </c>
      <c r="D31" s="5">
        <f t="shared" si="6"/>
        <v>0.0573248125</v>
      </c>
      <c r="E31" s="3">
        <f t="shared" si="7"/>
        <v>9420.004644585624</v>
      </c>
      <c r="F31" s="3">
        <f t="shared" si="8"/>
        <v>764.3308333333333</v>
      </c>
      <c r="G31" s="1">
        <v>1.694118</v>
      </c>
      <c r="H31" s="5">
        <f t="shared" si="9"/>
        <v>0.105882375</v>
      </c>
      <c r="I31" s="3">
        <f t="shared" si="10"/>
        <v>10199.997875000441</v>
      </c>
      <c r="J31" s="3">
        <f t="shared" si="11"/>
        <v>1411.765</v>
      </c>
      <c r="K31" s="4">
        <f>0.01*77.955</f>
        <v>0.77955</v>
      </c>
      <c r="L31" s="3">
        <f t="shared" si="12"/>
        <v>2309.0244371752933</v>
      </c>
      <c r="M31" s="3">
        <f t="shared" si="13"/>
        <v>1247.2800000000002</v>
      </c>
      <c r="N31" s="4">
        <f>0.01*83.9356493355094</f>
        <v>0.839356493355094</v>
      </c>
      <c r="O31" s="3">
        <f t="shared" si="14"/>
        <v>4289.000000000002</v>
      </c>
      <c r="P31" s="3">
        <f t="shared" si="15"/>
        <v>1342.9703893681506</v>
      </c>
    </row>
    <row r="32" spans="2:16" ht="15">
      <c r="B32">
        <v>64</v>
      </c>
      <c r="C32" s="1">
        <v>1.627119</v>
      </c>
      <c r="D32" s="5">
        <f t="shared" si="6"/>
        <v>0.1016949375</v>
      </c>
      <c r="E32" s="3">
        <f t="shared" si="7"/>
        <v>10619.997676875511</v>
      </c>
      <c r="F32" s="3">
        <f t="shared" si="8"/>
        <v>1355.9324999999994</v>
      </c>
      <c r="G32" s="1">
        <v>2.842105</v>
      </c>
      <c r="H32" s="5">
        <f t="shared" si="9"/>
        <v>0.1776315625</v>
      </c>
      <c r="I32" s="3">
        <f t="shared" si="10"/>
        <v>12160.001125926028</v>
      </c>
      <c r="J32" s="3">
        <f t="shared" si="11"/>
        <v>2368.420833333334</v>
      </c>
      <c r="K32" s="4">
        <f>0.01*65.5379</f>
        <v>0.6553789999999999</v>
      </c>
      <c r="L32" s="3">
        <f t="shared" si="12"/>
        <v>5493.004810956714</v>
      </c>
      <c r="M32" s="3">
        <f t="shared" si="13"/>
        <v>1048.6064</v>
      </c>
      <c r="N32" s="4">
        <f>0.01*70.1549254603917</f>
        <v>0.7015492546039169</v>
      </c>
      <c r="O32" s="3">
        <f t="shared" si="14"/>
        <v>10263.000000000002</v>
      </c>
      <c r="P32" s="3">
        <f t="shared" si="15"/>
        <v>1122.478807366267</v>
      </c>
    </row>
    <row r="33" spans="2:16" ht="15">
      <c r="B33">
        <v>128</v>
      </c>
      <c r="C33" s="1">
        <v>2.650307</v>
      </c>
      <c r="D33" s="5">
        <f t="shared" si="6"/>
        <v>0.1656441875</v>
      </c>
      <c r="E33" s="3">
        <f t="shared" si="7"/>
        <v>13039.998762407526</v>
      </c>
      <c r="F33" s="3">
        <f t="shared" si="8"/>
        <v>2208.5891666666666</v>
      </c>
      <c r="G33" s="1">
        <v>4.293168</v>
      </c>
      <c r="H33" s="5">
        <f t="shared" si="9"/>
        <v>0.268323</v>
      </c>
      <c r="I33" s="3">
        <f t="shared" si="10"/>
        <v>16099.998881944526</v>
      </c>
      <c r="J33" s="3">
        <f t="shared" si="11"/>
        <v>3577.6399999999994</v>
      </c>
      <c r="K33" s="4">
        <f>0.01*73.83858</f>
        <v>0.7383858</v>
      </c>
      <c r="L33" s="3">
        <f t="shared" si="12"/>
        <v>9751.000086946417</v>
      </c>
      <c r="M33" s="3">
        <f t="shared" si="13"/>
        <v>1181.4172800000001</v>
      </c>
      <c r="N33" s="4">
        <f>0.01*79.4658131449699</f>
        <v>0.794658131449699</v>
      </c>
      <c r="O33" s="3">
        <f t="shared" si="14"/>
        <v>18121.000000000007</v>
      </c>
      <c r="P33" s="3">
        <f t="shared" si="15"/>
        <v>1271.4530103195182</v>
      </c>
    </row>
    <row r="34" spans="2:16" ht="15">
      <c r="B34">
        <v>256</v>
      </c>
      <c r="C34" s="1">
        <v>3.872269</v>
      </c>
      <c r="D34" s="5">
        <f t="shared" si="6"/>
        <v>0.2420168125</v>
      </c>
      <c r="E34" s="3">
        <f t="shared" si="7"/>
        <v>17849.999573893238</v>
      </c>
      <c r="F34" s="3">
        <f t="shared" si="8"/>
        <v>3226.8908333333334</v>
      </c>
      <c r="G34" s="1">
        <v>5.772025</v>
      </c>
      <c r="H34" s="5">
        <f t="shared" si="9"/>
        <v>0.3607515625</v>
      </c>
      <c r="I34" s="3">
        <f t="shared" si="10"/>
        <v>23950.000216561777</v>
      </c>
      <c r="J34" s="3">
        <f t="shared" si="11"/>
        <v>4810.020833333334</v>
      </c>
      <c r="K34" s="4">
        <f>0.01*78.67992</f>
        <v>0.7867991999999999</v>
      </c>
      <c r="L34" s="3">
        <f t="shared" si="12"/>
        <v>18302.001323844765</v>
      </c>
      <c r="M34" s="3">
        <f t="shared" si="13"/>
        <v>1258.87872</v>
      </c>
      <c r="N34" s="4">
        <f>0.01*85.0259801606046</f>
        <v>0.8502598016060461</v>
      </c>
      <c r="O34" s="3">
        <f t="shared" si="14"/>
        <v>33872.00000000001</v>
      </c>
      <c r="P34" s="3">
        <f t="shared" si="15"/>
        <v>1360.4156825696737</v>
      </c>
    </row>
    <row r="35" spans="2:16" ht="15">
      <c r="B35">
        <f>+B36/2</f>
        <v>512</v>
      </c>
      <c r="C35" s="1">
        <v>5.185296</v>
      </c>
      <c r="D35" s="5">
        <f t="shared" si="6"/>
        <v>0.324081</v>
      </c>
      <c r="E35" s="3">
        <f t="shared" si="7"/>
        <v>26660.001666250104</v>
      </c>
      <c r="F35" s="3">
        <f t="shared" si="8"/>
        <v>4321.08</v>
      </c>
      <c r="G35" s="1">
        <v>7.118435</v>
      </c>
      <c r="H35" s="5">
        <f t="shared" si="9"/>
        <v>0.4449021875</v>
      </c>
      <c r="I35" s="3">
        <f t="shared" si="10"/>
        <v>38839.99783660313</v>
      </c>
      <c r="J35" s="3">
        <f t="shared" si="11"/>
        <v>5932.029166666667</v>
      </c>
      <c r="K35" s="4">
        <f>0.01*81.2411</f>
        <v>0.812411</v>
      </c>
      <c r="L35" s="3">
        <f t="shared" si="12"/>
        <v>35450.03698866706</v>
      </c>
      <c r="M35" s="3">
        <f t="shared" si="13"/>
        <v>1299.8576000000003</v>
      </c>
      <c r="N35" s="4">
        <f>0.01*88.046468969734</f>
        <v>0.8804646896973399</v>
      </c>
      <c r="O35" s="3">
        <f t="shared" si="14"/>
        <v>65420.00000000002</v>
      </c>
      <c r="P35" s="3">
        <f t="shared" si="15"/>
        <v>1408.743503515744</v>
      </c>
    </row>
    <row r="36" spans="2:16" ht="15">
      <c r="B36">
        <v>1024</v>
      </c>
      <c r="C36" s="1">
        <v>6.026155</v>
      </c>
      <c r="D36" s="5">
        <f t="shared" si="6"/>
        <v>0.3766346875</v>
      </c>
      <c r="E36" s="3">
        <f t="shared" si="7"/>
        <v>45880.00142711231</v>
      </c>
      <c r="F36" s="3">
        <f t="shared" si="8"/>
        <v>5021.795833333334</v>
      </c>
      <c r="G36" s="1">
        <v>7.87468</v>
      </c>
      <c r="H36" s="5">
        <f t="shared" si="9"/>
        <v>0.4921675</v>
      </c>
      <c r="I36" s="3">
        <f t="shared" si="10"/>
        <v>70219.9962411171</v>
      </c>
      <c r="J36" s="3">
        <f t="shared" si="11"/>
        <v>6562.233333333334</v>
      </c>
      <c r="K36" s="4">
        <f>0.01*82.3374</f>
        <v>0.823374</v>
      </c>
      <c r="L36" s="3">
        <f>(1/K36*$B36*$B$27*(2*$C$27^3-$C$27^2))/8</f>
        <v>69956.05885053451</v>
      </c>
      <c r="M36" s="3">
        <f t="shared" si="13"/>
        <v>1317.3984</v>
      </c>
      <c r="N36" s="4">
        <f>0.01*89.3050947316196</f>
        <v>0.893050947316196</v>
      </c>
      <c r="O36" s="3">
        <f t="shared" si="14"/>
        <v>128995.99999999997</v>
      </c>
      <c r="P36" s="3">
        <f t="shared" si="15"/>
        <v>1428.8815157059137</v>
      </c>
    </row>
    <row r="38" ht="12.75">
      <c r="M38" t="s">
        <v>4</v>
      </c>
    </row>
    <row r="39" spans="3:18" ht="12.75">
      <c r="C39" t="s">
        <v>4</v>
      </c>
      <c r="M39" t="s">
        <v>28</v>
      </c>
      <c r="N39" t="s">
        <v>1</v>
      </c>
      <c r="O39" t="s">
        <v>28</v>
      </c>
      <c r="P39" t="s">
        <v>1</v>
      </c>
      <c r="Q39" t="s">
        <v>28</v>
      </c>
      <c r="R39" t="s">
        <v>1</v>
      </c>
    </row>
    <row r="40" spans="2:18" ht="12.75">
      <c r="B40" t="s">
        <v>18</v>
      </c>
      <c r="C40" t="s">
        <v>19</v>
      </c>
      <c r="F40" t="s">
        <v>3</v>
      </c>
      <c r="G40" t="s">
        <v>21</v>
      </c>
      <c r="J40" t="s">
        <v>5</v>
      </c>
      <c r="M40" t="s">
        <v>26</v>
      </c>
      <c r="N40" t="s">
        <v>26</v>
      </c>
      <c r="O40" t="s">
        <v>27</v>
      </c>
      <c r="P40" t="s">
        <v>27</v>
      </c>
      <c r="Q40" t="s">
        <v>21</v>
      </c>
      <c r="R40" t="s">
        <v>21</v>
      </c>
    </row>
    <row r="41" spans="2:18" ht="12.75">
      <c r="B41">
        <v>5</v>
      </c>
      <c r="C41">
        <v>10</v>
      </c>
      <c r="F41">
        <v>3</v>
      </c>
      <c r="J41" t="s">
        <v>22</v>
      </c>
      <c r="L41" t="s">
        <v>25</v>
      </c>
      <c r="M41" s="3">
        <v>1</v>
      </c>
      <c r="N41" s="3">
        <v>1</v>
      </c>
      <c r="O41" s="3">
        <v>5</v>
      </c>
      <c r="P41" s="3">
        <v>5</v>
      </c>
      <c r="Q41" s="3">
        <v>10</v>
      </c>
      <c r="R41" s="3">
        <v>10</v>
      </c>
    </row>
    <row r="42" spans="3:18" ht="12.75">
      <c r="C42" t="s">
        <v>20</v>
      </c>
      <c r="D42" t="s">
        <v>0</v>
      </c>
      <c r="E42" t="s">
        <v>1</v>
      </c>
      <c r="F42" t="s">
        <v>20</v>
      </c>
      <c r="G42" t="s">
        <v>0</v>
      </c>
      <c r="H42" t="s">
        <v>6</v>
      </c>
      <c r="K42">
        <v>60</v>
      </c>
      <c r="L42">
        <f>+K42/2</f>
        <v>30</v>
      </c>
      <c r="M42">
        <v>3.3</v>
      </c>
      <c r="N42" s="8">
        <f>+M42/16</f>
        <v>0.20625</v>
      </c>
      <c r="O42">
        <v>8.4</v>
      </c>
      <c r="P42" s="8">
        <f>+O42/16</f>
        <v>0.525</v>
      </c>
      <c r="Q42">
        <v>10.2</v>
      </c>
      <c r="R42" s="8">
        <f>+Q42/16</f>
        <v>0.6375</v>
      </c>
    </row>
    <row r="43" spans="2:18" ht="15">
      <c r="B43">
        <v>5</v>
      </c>
      <c r="C43">
        <v>5</v>
      </c>
      <c r="J43" s="4">
        <f>0.01*3908.7947882%</f>
        <v>0.39087947882</v>
      </c>
      <c r="K43">
        <v>120</v>
      </c>
      <c r="L43">
        <f>+K43/2</f>
        <v>60</v>
      </c>
      <c r="M43">
        <v>3.6</v>
      </c>
      <c r="N43" s="8">
        <f>+M43/16</f>
        <v>0.225</v>
      </c>
      <c r="O43">
        <v>9.6</v>
      </c>
      <c r="P43" s="8">
        <f>+O43/16</f>
        <v>0.6</v>
      </c>
      <c r="Q43">
        <v>11.1</v>
      </c>
      <c r="R43" s="8">
        <f>+Q43/16</f>
        <v>0.69375</v>
      </c>
    </row>
    <row r="44" spans="2:18" ht="15">
      <c r="B44">
        <v>10</v>
      </c>
      <c r="C44">
        <f>+B44/2</f>
        <v>5</v>
      </c>
      <c r="J44" s="4">
        <f>0.01*5069.53001232177%</f>
        <v>0.506953001232177</v>
      </c>
      <c r="K44">
        <v>600</v>
      </c>
      <c r="L44">
        <f>+K44/2</f>
        <v>300</v>
      </c>
      <c r="M44">
        <v>3.9</v>
      </c>
      <c r="N44" s="8">
        <f>+M44/16</f>
        <v>0.24375</v>
      </c>
      <c r="O44">
        <v>10.4</v>
      </c>
      <c r="P44" s="8">
        <f>+O44/16</f>
        <v>0.65</v>
      </c>
      <c r="Q44">
        <v>11.3</v>
      </c>
      <c r="R44" s="8">
        <f>+Q44/16</f>
        <v>0.70625</v>
      </c>
    </row>
    <row r="45" spans="2:18" ht="15">
      <c r="B45">
        <v>15</v>
      </c>
      <c r="C45">
        <f aca="true" t="shared" si="16" ref="C45:C82">+B45/2</f>
        <v>7.5</v>
      </c>
      <c r="J45" s="4">
        <f>0.01*6036.04862372502%</f>
        <v>0.603604862372502</v>
      </c>
      <c r="K45">
        <v>900</v>
      </c>
      <c r="L45">
        <f>+K45/2</f>
        <v>450</v>
      </c>
      <c r="M45">
        <v>3.9</v>
      </c>
      <c r="N45" s="8">
        <f>+M45/16</f>
        <v>0.24375</v>
      </c>
      <c r="O45">
        <v>10.6</v>
      </c>
      <c r="P45" s="8">
        <f>+O45/16</f>
        <v>0.6625</v>
      </c>
      <c r="Q45">
        <v>11.3</v>
      </c>
      <c r="R45" s="8">
        <f>+Q45/16</f>
        <v>0.70625</v>
      </c>
    </row>
    <row r="46" spans="2:18" ht="12.75">
      <c r="B46">
        <v>20</v>
      </c>
      <c r="C46">
        <f t="shared" si="16"/>
        <v>10</v>
      </c>
      <c r="J46" s="4">
        <f>0.01*6672.07228078304%</f>
        <v>0.667207228078304</v>
      </c>
      <c r="K46">
        <v>1200</v>
      </c>
      <c r="L46">
        <f>+K46/2</f>
        <v>600</v>
      </c>
      <c r="M46">
        <v>3.9</v>
      </c>
      <c r="N46" s="8">
        <f>+M46/16</f>
        <v>0.24375</v>
      </c>
      <c r="O46">
        <v>10.6</v>
      </c>
      <c r="P46" s="8">
        <f>+O46/16</f>
        <v>0.6625</v>
      </c>
      <c r="Q46">
        <v>11.3</v>
      </c>
      <c r="R46" s="8">
        <f>+Q46/16</f>
        <v>0.70625</v>
      </c>
    </row>
    <row r="47" spans="2:10" ht="12.75">
      <c r="B47">
        <v>25</v>
      </c>
      <c r="C47">
        <f t="shared" si="16"/>
        <v>12.5</v>
      </c>
      <c r="J47" s="4">
        <f>0.01*7122.36620832921%</f>
        <v>0.7122366208329209</v>
      </c>
    </row>
    <row r="48" spans="2:10" ht="12.75">
      <c r="B48">
        <v>30</v>
      </c>
      <c r="C48">
        <f t="shared" si="16"/>
        <v>15</v>
      </c>
      <c r="E48" s="5"/>
      <c r="G48" s="1">
        <v>5.635214</v>
      </c>
      <c r="H48" s="5">
        <f>+G48/16</f>
        <v>0.352200875</v>
      </c>
      <c r="J48" s="4">
        <f>0.01*7457.919723%</f>
        <v>0.7457919723</v>
      </c>
    </row>
    <row r="49" spans="2:10" ht="12.75">
      <c r="B49">
        <v>35</v>
      </c>
      <c r="C49">
        <f t="shared" si="16"/>
        <v>17.5</v>
      </c>
      <c r="E49" s="5"/>
      <c r="G49" s="1"/>
      <c r="H49" s="5"/>
      <c r="J49" s="4">
        <f>0.01*7717.632%</f>
        <v>0.7717631999999999</v>
      </c>
    </row>
    <row r="50" spans="2:10" ht="12.75">
      <c r="B50">
        <v>40</v>
      </c>
      <c r="C50">
        <f t="shared" si="16"/>
        <v>20</v>
      </c>
      <c r="E50" s="5"/>
      <c r="G50" s="1"/>
      <c r="H50" s="5"/>
      <c r="J50" s="4">
        <f>0.01*7924.606177%</f>
        <v>0.7924606177</v>
      </c>
    </row>
    <row r="51" spans="2:10" ht="12.75">
      <c r="B51">
        <v>45</v>
      </c>
      <c r="C51">
        <f t="shared" si="16"/>
        <v>22.5</v>
      </c>
      <c r="E51" s="5"/>
      <c r="G51" s="1"/>
      <c r="H51" s="5"/>
      <c r="J51" s="4">
        <f>0.01*8093.424%</f>
        <v>0.8093424</v>
      </c>
    </row>
    <row r="52" spans="2:10" ht="12.75">
      <c r="B52">
        <v>50</v>
      </c>
      <c r="C52">
        <f t="shared" si="16"/>
        <v>25</v>
      </c>
      <c r="D52" s="1">
        <v>8.141931</v>
      </c>
      <c r="E52" s="5">
        <f>+D52/16</f>
        <v>0.5088706875</v>
      </c>
      <c r="H52" s="5"/>
      <c r="J52" s="4">
        <f>0.01*8233.746%</f>
        <v>0.8233746</v>
      </c>
    </row>
    <row r="53" spans="2:10" ht="12.75">
      <c r="B53">
        <v>55</v>
      </c>
      <c r="C53">
        <f t="shared" si="16"/>
        <v>27.5</v>
      </c>
      <c r="D53" s="1"/>
      <c r="E53" s="5"/>
      <c r="H53" s="5"/>
      <c r="J53" s="5"/>
    </row>
    <row r="54" spans="2:10" ht="12.75">
      <c r="B54">
        <v>60</v>
      </c>
      <c r="C54">
        <f t="shared" si="16"/>
        <v>30</v>
      </c>
      <c r="D54" s="1"/>
      <c r="E54" s="5"/>
      <c r="G54" s="1">
        <v>10.26433</v>
      </c>
      <c r="H54" s="5">
        <f>+G54/16</f>
        <v>0.641520625</v>
      </c>
      <c r="J54" s="4">
        <f>0.01*8233.746%</f>
        <v>0.8233746</v>
      </c>
    </row>
    <row r="55" spans="2:10" ht="12.75">
      <c r="B55">
        <v>65</v>
      </c>
      <c r="C55">
        <f t="shared" si="16"/>
        <v>32.5</v>
      </c>
      <c r="D55" s="1"/>
      <c r="E55" s="5"/>
      <c r="G55" s="1"/>
      <c r="H55" s="5"/>
      <c r="J55" s="5"/>
    </row>
    <row r="56" spans="2:10" ht="12.75">
      <c r="B56">
        <v>70</v>
      </c>
      <c r="C56">
        <f t="shared" si="16"/>
        <v>35</v>
      </c>
      <c r="D56" s="1"/>
      <c r="E56" s="5"/>
      <c r="G56" s="1"/>
      <c r="H56" s="5"/>
      <c r="J56" s="5"/>
    </row>
    <row r="57" spans="2:10" ht="12.75">
      <c r="B57">
        <v>75</v>
      </c>
      <c r="C57">
        <f t="shared" si="16"/>
        <v>37.5</v>
      </c>
      <c r="D57" s="1"/>
      <c r="E57" s="5"/>
      <c r="G57" s="1"/>
      <c r="H57" s="5"/>
      <c r="J57" s="5"/>
    </row>
    <row r="58" spans="2:10" ht="12.75">
      <c r="B58">
        <v>80</v>
      </c>
      <c r="C58">
        <f t="shared" si="16"/>
        <v>40</v>
      </c>
      <c r="D58" s="1"/>
      <c r="E58" s="5"/>
      <c r="G58" s="1"/>
      <c r="H58" s="5"/>
      <c r="J58" s="5"/>
    </row>
    <row r="59" spans="2:10" ht="12.75">
      <c r="B59">
        <v>90</v>
      </c>
      <c r="C59">
        <f t="shared" si="16"/>
        <v>45</v>
      </c>
      <c r="D59" s="1"/>
      <c r="E59" s="5"/>
      <c r="G59" s="1">
        <v>8.488185</v>
      </c>
      <c r="H59" s="5">
        <f>+G59/16</f>
        <v>0.5305115625</v>
      </c>
      <c r="J59" s="4">
        <f>0.01*8847.32225142%</f>
        <v>0.884732225142</v>
      </c>
    </row>
    <row r="60" spans="2:10" ht="12.75">
      <c r="B60">
        <v>100</v>
      </c>
      <c r="C60">
        <f t="shared" si="16"/>
        <v>50</v>
      </c>
      <c r="D60" s="1">
        <v>13.710978</v>
      </c>
      <c r="E60" s="5">
        <f>+D60/16</f>
        <v>0.856936125</v>
      </c>
      <c r="H60" s="5"/>
      <c r="J60" s="4">
        <f>0.01*8930.50947%</f>
        <v>0.8930509470000001</v>
      </c>
    </row>
    <row r="61" spans="2:10" ht="12.75">
      <c r="B61">
        <v>120</v>
      </c>
      <c r="C61">
        <f t="shared" si="16"/>
        <v>60</v>
      </c>
      <c r="D61" s="1"/>
      <c r="E61" s="5"/>
      <c r="G61" s="1">
        <v>11.049084</v>
      </c>
      <c r="H61" s="5">
        <f>+G61/16</f>
        <v>0.69056775</v>
      </c>
      <c r="J61" s="4">
        <f>0.01*9058.265405079%</f>
        <v>0.9058265405079001</v>
      </c>
    </row>
    <row r="62" spans="2:10" ht="12.75">
      <c r="B62">
        <v>150</v>
      </c>
      <c r="C62">
        <f t="shared" si="16"/>
        <v>75</v>
      </c>
      <c r="D62" s="1">
        <v>11.615401</v>
      </c>
      <c r="E62" s="5">
        <f>+D62/16</f>
        <v>0.7259625625</v>
      </c>
      <c r="G62" s="1">
        <v>9.445834</v>
      </c>
      <c r="H62" s="5">
        <f>+G62/16</f>
        <v>0.590364625</v>
      </c>
      <c r="J62" s="5"/>
    </row>
    <row r="63" spans="2:10" ht="12.75">
      <c r="B63">
        <v>180</v>
      </c>
      <c r="C63">
        <f t="shared" si="16"/>
        <v>90</v>
      </c>
      <c r="D63" s="1"/>
      <c r="E63" s="5"/>
      <c r="G63" s="1">
        <v>11.150785</v>
      </c>
      <c r="H63" s="5">
        <f>+G63/16</f>
        <v>0.6969240625</v>
      </c>
      <c r="J63" s="5"/>
    </row>
    <row r="64" spans="2:10" ht="12.75">
      <c r="B64">
        <v>200</v>
      </c>
      <c r="C64">
        <f t="shared" si="16"/>
        <v>100</v>
      </c>
      <c r="D64" s="1">
        <v>14.217542</v>
      </c>
      <c r="E64" s="5">
        <f>+D64/16</f>
        <v>0.888596375</v>
      </c>
      <c r="H64" s="5"/>
      <c r="J64" s="5"/>
    </row>
    <row r="65" spans="2:10" ht="12.75">
      <c r="B65">
        <v>210</v>
      </c>
      <c r="C65">
        <f t="shared" si="16"/>
        <v>105</v>
      </c>
      <c r="D65" s="1"/>
      <c r="E65" s="5"/>
      <c r="G65" s="1">
        <v>9.92235</v>
      </c>
      <c r="H65" s="5">
        <f>+G65/16</f>
        <v>0.620146875</v>
      </c>
      <c r="J65" s="5"/>
    </row>
    <row r="66" spans="2:10" ht="12.75">
      <c r="B66">
        <v>240</v>
      </c>
      <c r="C66">
        <f t="shared" si="16"/>
        <v>120</v>
      </c>
      <c r="D66" s="1"/>
      <c r="E66" s="5"/>
      <c r="G66" s="1">
        <v>11.202744</v>
      </c>
      <c r="H66" s="5">
        <f>+G66/16</f>
        <v>0.7001715</v>
      </c>
      <c r="J66" s="5"/>
    </row>
    <row r="67" spans="2:10" ht="12.75">
      <c r="B67">
        <v>250</v>
      </c>
      <c r="C67">
        <f t="shared" si="16"/>
        <v>125</v>
      </c>
      <c r="D67" s="1">
        <v>12.699906</v>
      </c>
      <c r="E67" s="5">
        <f>+D67/16</f>
        <v>0.793744125</v>
      </c>
      <c r="H67" s="5"/>
      <c r="J67" s="5"/>
    </row>
    <row r="68" spans="2:10" ht="12.75">
      <c r="B68">
        <v>270</v>
      </c>
      <c r="C68">
        <f t="shared" si="16"/>
        <v>135</v>
      </c>
      <c r="D68" s="1"/>
      <c r="E68" s="5"/>
      <c r="G68" s="1">
        <v>10.210391</v>
      </c>
      <c r="H68" s="5">
        <f>+G68/16</f>
        <v>0.6381494375</v>
      </c>
      <c r="J68" s="5"/>
    </row>
    <row r="69" spans="2:10" ht="12.75">
      <c r="B69">
        <v>300</v>
      </c>
      <c r="C69">
        <f t="shared" si="16"/>
        <v>150</v>
      </c>
      <c r="D69" s="6">
        <v>14.394818</v>
      </c>
      <c r="E69" s="5">
        <f>+D69/16</f>
        <v>0.899676125</v>
      </c>
      <c r="H69" s="5"/>
      <c r="J69" s="5"/>
    </row>
    <row r="70" spans="2:10" ht="12.75">
      <c r="B70">
        <v>350</v>
      </c>
      <c r="C70">
        <f t="shared" si="16"/>
        <v>175</v>
      </c>
      <c r="D70" s="1">
        <v>13.22847</v>
      </c>
      <c r="E70" s="5">
        <f aca="true" t="shared" si="17" ref="E70:E82">+D70/16</f>
        <v>0.826779375</v>
      </c>
      <c r="H70" s="5"/>
      <c r="J70" s="5"/>
    </row>
    <row r="71" spans="2:10" ht="12.75">
      <c r="B71">
        <v>400</v>
      </c>
      <c r="C71">
        <f t="shared" si="16"/>
        <v>200</v>
      </c>
      <c r="D71" s="1">
        <v>14.485124</v>
      </c>
      <c r="E71" s="5">
        <f t="shared" si="17"/>
        <v>0.90532025</v>
      </c>
      <c r="H71" s="5"/>
      <c r="J71" s="5"/>
    </row>
    <row r="72" spans="2:10" ht="12.75">
      <c r="B72">
        <v>450</v>
      </c>
      <c r="C72">
        <f t="shared" si="16"/>
        <v>225</v>
      </c>
      <c r="D72" s="1">
        <v>13.541603</v>
      </c>
      <c r="E72" s="5">
        <f t="shared" si="17"/>
        <v>0.8463501875</v>
      </c>
      <c r="H72" s="5"/>
      <c r="J72" s="5"/>
    </row>
    <row r="73" spans="2:10" ht="12.75">
      <c r="B73">
        <v>500</v>
      </c>
      <c r="C73">
        <f t="shared" si="16"/>
        <v>250</v>
      </c>
      <c r="D73" s="1">
        <v>14.539854</v>
      </c>
      <c r="E73" s="5">
        <f t="shared" si="17"/>
        <v>0.908740875</v>
      </c>
      <c r="H73" s="5"/>
      <c r="J73" s="5"/>
    </row>
    <row r="74" spans="2:10" ht="12.75">
      <c r="B74">
        <v>550</v>
      </c>
      <c r="C74">
        <f t="shared" si="16"/>
        <v>275</v>
      </c>
      <c r="D74" s="1">
        <v>13.749236</v>
      </c>
      <c r="E74" s="5">
        <f t="shared" si="17"/>
        <v>0.85932725</v>
      </c>
      <c r="H74" s="5"/>
      <c r="J74" s="5"/>
    </row>
    <row r="75" spans="2:10" ht="12.75">
      <c r="B75">
        <v>600</v>
      </c>
      <c r="C75">
        <f t="shared" si="16"/>
        <v>300</v>
      </c>
      <c r="D75" s="1">
        <v>14.576571</v>
      </c>
      <c r="E75" s="5">
        <f t="shared" si="17"/>
        <v>0.9110356875</v>
      </c>
      <c r="G75" s="1">
        <v>11.29664</v>
      </c>
      <c r="H75" s="5">
        <f>+G75/16</f>
        <v>0.70604</v>
      </c>
      <c r="J75" s="5"/>
    </row>
    <row r="76" spans="2:10" ht="12.75">
      <c r="B76">
        <v>650</v>
      </c>
      <c r="C76">
        <f t="shared" si="16"/>
        <v>325</v>
      </c>
      <c r="D76" s="1">
        <v>13.896275</v>
      </c>
      <c r="E76" s="5">
        <f t="shared" si="17"/>
        <v>0.8685171875</v>
      </c>
      <c r="H76" s="5"/>
      <c r="J76" s="5"/>
    </row>
    <row r="77" spans="2:10" ht="12.75">
      <c r="B77">
        <v>700</v>
      </c>
      <c r="C77">
        <f t="shared" si="16"/>
        <v>350</v>
      </c>
      <c r="D77" s="1">
        <v>14.602911</v>
      </c>
      <c r="E77" s="5">
        <f t="shared" si="17"/>
        <v>0.9126819375</v>
      </c>
      <c r="H77" s="5"/>
      <c r="J77" s="5"/>
    </row>
    <row r="78" spans="2:10" ht="12.75">
      <c r="B78">
        <v>750</v>
      </c>
      <c r="C78">
        <f t="shared" si="16"/>
        <v>375</v>
      </c>
      <c r="D78" s="1">
        <v>14.006135</v>
      </c>
      <c r="E78" s="5">
        <f t="shared" si="17"/>
        <v>0.8753834375</v>
      </c>
      <c r="H78" s="5"/>
      <c r="J78" s="5"/>
    </row>
    <row r="79" spans="2:10" ht="12.75">
      <c r="B79">
        <v>800</v>
      </c>
      <c r="C79">
        <f t="shared" si="16"/>
        <v>400</v>
      </c>
      <c r="D79" s="1">
        <v>14.622729</v>
      </c>
      <c r="E79" s="5">
        <f t="shared" si="17"/>
        <v>0.9139205625</v>
      </c>
      <c r="H79" s="5"/>
      <c r="J79" s="5"/>
    </row>
    <row r="80" spans="2:10" ht="12.75">
      <c r="B80">
        <v>850</v>
      </c>
      <c r="C80">
        <f t="shared" si="16"/>
        <v>425</v>
      </c>
      <c r="D80" s="1">
        <v>14.091685</v>
      </c>
      <c r="E80" s="5">
        <f t="shared" si="17"/>
        <v>0.8807303125</v>
      </c>
      <c r="H80" s="5"/>
      <c r="J80" s="5"/>
    </row>
    <row r="81" spans="2:10" ht="12.75">
      <c r="B81">
        <v>900</v>
      </c>
      <c r="C81">
        <f t="shared" si="16"/>
        <v>450</v>
      </c>
      <c r="D81" s="1">
        <v>14.638179</v>
      </c>
      <c r="E81" s="5">
        <f t="shared" si="17"/>
        <v>0.9148861875</v>
      </c>
      <c r="G81" s="1">
        <v>11.317624</v>
      </c>
      <c r="H81" s="5">
        <f>+G81/16</f>
        <v>0.7073515</v>
      </c>
      <c r="J81" s="5"/>
    </row>
    <row r="82" spans="2:10" ht="12.75">
      <c r="B82">
        <v>950</v>
      </c>
      <c r="C82">
        <f t="shared" si="16"/>
        <v>475</v>
      </c>
      <c r="D82" s="1">
        <v>14.159627</v>
      </c>
      <c r="E82" s="5">
        <f t="shared" si="17"/>
        <v>0.8849766875</v>
      </c>
      <c r="J82" s="5"/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 Oliker</dc:creator>
  <cp:keywords/>
  <dc:description/>
  <cp:lastModifiedBy>Leonid Oliker</cp:lastModifiedBy>
  <dcterms:created xsi:type="dcterms:W3CDTF">2002-10-02T17:21:20Z</dcterms:created>
  <dcterms:modified xsi:type="dcterms:W3CDTF">2002-10-08T13:02:28Z</dcterms:modified>
  <cp:category/>
  <cp:version/>
  <cp:contentType/>
  <cp:contentStatus/>
</cp:coreProperties>
</file>