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0" yWindow="65521" windowWidth="7680" windowHeight="9030" activeTab="0"/>
  </bookViews>
  <sheets>
    <sheet name="User Interface" sheetId="1" r:id="rId1"/>
    <sheet name="Data" sheetId="2" r:id="rId2"/>
    <sheet name="Default Values" sheetId="3" r:id="rId3"/>
    <sheet name="Equipment" sheetId="4" r:id="rId4"/>
    <sheet name="Dehumidifiers" sheetId="5" r:id="rId5"/>
    <sheet name="Tabular Results" sheetId="6" r:id="rId6"/>
    <sheet name="Emissions Calculations" sheetId="7" r:id="rId7"/>
    <sheet name="Alternative Energy" sheetId="8" r:id="rId8"/>
    <sheet name="Input Report" sheetId="9" r:id="rId9"/>
    <sheet name="Output Report" sheetId="10" r:id="rId10"/>
    <sheet name="Plot Data" sheetId="11" r:id="rId11"/>
    <sheet name="Equations" sheetId="12" r:id="rId12"/>
    <sheet name="EGRID 200 Data" sheetId="13" r:id="rId13"/>
  </sheets>
  <definedNames>
    <definedName name="A">'Plot Data'!$Q$31</definedName>
    <definedName name="a1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0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0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1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1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2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3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3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4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1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2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3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3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4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5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5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6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6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7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7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8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8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9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9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aa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aa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aaa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aaa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alpha">'Data'!$W$18</definedName>
    <definedName name="AnnualPower">'Data'!$W$35</definedName>
    <definedName name="B">'Plot Data'!$Q$30</definedName>
    <definedName name="bb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b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bb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bg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bbbg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beta">'Data'!$W$10</definedName>
    <definedName name="beta1">'Data'!$AE$33</definedName>
    <definedName name="beta2">'Data'!$S$16</definedName>
    <definedName name="beta3">'Data'!$AE$35</definedName>
    <definedName name="ccc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ccc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Ce">'Data'!$C$30</definedName>
    <definedName name="Cexport">'Data'!$W$7</definedName>
    <definedName name="Cfuel">'Data'!$C$31</definedName>
    <definedName name="ChillerEfficiency">'Data'!$S$14</definedName>
    <definedName name="COM">'Data'!$W$29</definedName>
    <definedName name="Cp">'Data'!$AE$40</definedName>
    <definedName name="Cstandby">'Data'!$W$6</definedName>
    <definedName name="dammit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ammit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elta">'Data'!$W$13</definedName>
    <definedName name="DT">'Data'!$AE$18</definedName>
    <definedName name="dummy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1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10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11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1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13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1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3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5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6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7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8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9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aa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aaaa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b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bb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bbbbb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bbbbg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ccc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dammit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dammit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dummy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dummy1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dummy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dummy3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huh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huhg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what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whaterva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whatever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whatonearth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_zzzzz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1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1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2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2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3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dummy3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Eff1">'Data'!$AE$48</definedName>
    <definedName name="Eff2">'Data'!$AE$49</definedName>
    <definedName name="Eff3">'Data'!$AE$50</definedName>
    <definedName name="EmissionTable">'EGRID 200 Data'!$B$5:$F$56</definedName>
    <definedName name="epsilon">'Data'!$W$14</definedName>
    <definedName name="eta">'Data'!$W$12</definedName>
    <definedName name="gamma">'Data'!$W$8</definedName>
    <definedName name="gCOP">'Data'!$S$15</definedName>
    <definedName name="H">'Data'!$W$34</definedName>
    <definedName name="huh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huh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huhg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huhg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i">'Data'!$W$9</definedName>
    <definedName name="K">'Plot Data'!$Q$33</definedName>
    <definedName name="K_2">'Plot Data'!$Q$32</definedName>
    <definedName name="kappa">'Data'!$W$25</definedName>
    <definedName name="NoGenerators">'Data'!$G$5</definedName>
    <definedName name="Pbuydown">'Data'!$G$27</definedName>
    <definedName name="Pnetcost">'Data'!$G$39</definedName>
    <definedName name="Psubsidy">'Data'!$G$28</definedName>
    <definedName name="Qe">'Data'!$G$22</definedName>
    <definedName name="Qrecovered">'Data'!$K$45</definedName>
    <definedName name="rho">'Data'!$AE$39</definedName>
    <definedName name="what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erva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erva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ever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ever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onearth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hatonearth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rn.System._.Simulation._.Summary.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wrn.System._.Simulation._.Summary.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zzzzzz" localSheetId="4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  <definedName name="zzzzzz" hidden="1">{"System Simulation Summary",#N/A,TRUE,"Summary";"Low Temp #1 Input &amp; Summary",#N/A,TRUE,"Low Temp Secondary Loop #1";"Low Temp #2 Input &amp; Summary",#N/A,TRUE,"Low Temp Secondary Loop #2";"Low Temp #3 Input &amp; Summary",#N/A,TRUE,"Low Temp Secondary Loop #3";"Medium Temp #1 Input &amp; Summary",#N/A,TRUE,"Med Temp Secondary Loop #1";"Medium Temp #2 Input &amp; Summary",#N/A,TRUE,"Med Temp Secondary Loop #2";"Medium Temp #3 Input &amp; Summary",#N/A,TRUE,"Med Temp Secondary Loop #3"}</definedName>
  </definedNames>
  <calcPr fullCalcOnLoad="1"/>
</workbook>
</file>

<file path=xl/comments2.xml><?xml version="1.0" encoding="utf-8"?>
<comments xmlns="http://schemas.openxmlformats.org/spreadsheetml/2006/main">
  <authors>
    <author>Steve Fischer</author>
  </authors>
  <commentList>
    <comment ref="W43" authorId="0">
      <text>
        <r>
          <rPr>
            <b/>
            <sz val="8"/>
            <rFont val="Tahoma"/>
            <family val="0"/>
          </rPr>
          <t xml:space="preserve">Cogeneration Design Guide, p. 34
</t>
        </r>
      </text>
    </comment>
    <comment ref="W44" authorId="0">
      <text>
        <r>
          <rPr>
            <b/>
            <sz val="8"/>
            <rFont val="Tahoma"/>
            <family val="0"/>
          </rPr>
          <t xml:space="preserve">Cogeneration Design Guide, p. 34
</t>
        </r>
      </text>
    </comment>
    <comment ref="W41" authorId="0">
      <text>
        <r>
          <rPr>
            <b/>
            <sz val="8"/>
            <rFont val="Tahoma"/>
            <family val="0"/>
          </rPr>
          <t>Curve fit to mfr data</t>
        </r>
      </text>
    </comment>
    <comment ref="W46" authorId="0">
      <text>
        <r>
          <rPr>
            <b/>
            <sz val="8"/>
            <rFont val="Tahoma"/>
            <family val="0"/>
          </rPr>
          <t>for a lean burn IC-engine, 320 kW operating 4000 h/y in San Diego at a cost of $1892/year. Modern Power Systems, August 2002. Ravi Krishnan</t>
        </r>
      </text>
    </comment>
    <comment ref="W45" authorId="0">
      <text>
        <r>
          <rPr>
            <b/>
            <sz val="8"/>
            <rFont val="Tahoma"/>
            <family val="0"/>
          </rPr>
          <t>Steve Fischer:</t>
        </r>
        <r>
          <rPr>
            <sz val="8"/>
            <rFont val="Tahoma"/>
            <family val="0"/>
          </rPr>
          <t xml:space="preserve">
</t>
        </r>
      </text>
    </comment>
    <comment ref="X45" authorId="0">
      <text>
        <r>
          <rPr>
            <b/>
            <sz val="8"/>
            <rFont val="Tahoma"/>
            <family val="0"/>
          </rPr>
          <t>also estimated at $0.0086/kWh using data from "SCR: California Cleaning" by Ravi Krishnan, Moder Power Systems, August 2002 for a 320 kW natural-gas fired IC engine generator</t>
        </r>
      </text>
    </comment>
  </commentList>
</comments>
</file>

<file path=xl/comments8.xml><?xml version="1.0" encoding="utf-8"?>
<comments xmlns="http://schemas.openxmlformats.org/spreadsheetml/2006/main">
  <authors>
    <author>Steve Fischer</author>
  </authors>
  <commentList>
    <comment ref="K16" authorId="0">
      <text>
        <r>
          <rPr>
            <b/>
            <sz val="8"/>
            <rFont val="Tahoma"/>
            <family val="0"/>
          </rPr>
          <t xml:space="preserve">-999 is flagged to indicate no payback
</t>
        </r>
      </text>
    </comment>
  </commentList>
</comments>
</file>

<file path=xl/sharedStrings.xml><?xml version="1.0" encoding="utf-8"?>
<sst xmlns="http://schemas.openxmlformats.org/spreadsheetml/2006/main" count="1725" uniqueCount="1073">
  <si>
    <t>kW</t>
  </si>
  <si>
    <t>kWh</t>
  </si>
  <si>
    <t>/kWh</t>
  </si>
  <si>
    <t>/ MMBtu</t>
  </si>
  <si>
    <t>prime mover heat rate</t>
  </si>
  <si>
    <t>Btu/kWh</t>
  </si>
  <si>
    <t>CHP O&amp;M costs</t>
  </si>
  <si>
    <t>/kW</t>
  </si>
  <si>
    <t>HRSG effectiveness</t>
  </si>
  <si>
    <t>IC-Engine Generator</t>
  </si>
  <si>
    <t>Gas Turbine-Generator</t>
  </si>
  <si>
    <t>Steam Turbine-Generator</t>
  </si>
  <si>
    <t>(Btu / kWh)</t>
  </si>
  <si>
    <t>($ / kWh)</t>
  </si>
  <si>
    <t>O&amp;M</t>
  </si>
  <si>
    <t>Prime Mover Data</t>
  </si>
  <si>
    <t>years</t>
  </si>
  <si>
    <t>Installed</t>
  </si>
  <si>
    <t>Cost</t>
  </si>
  <si>
    <t>($/kW)</t>
  </si>
  <si>
    <t>equipment cost</t>
  </si>
  <si>
    <t>Cost of Fuel</t>
  </si>
  <si>
    <t>Simple Payback</t>
  </si>
  <si>
    <t>hours</t>
  </si>
  <si>
    <t>/ year</t>
  </si>
  <si>
    <t>Heat Rate</t>
  </si>
  <si>
    <t>O&amp;M Cost</t>
  </si>
  <si>
    <t>Installed Cost</t>
  </si>
  <si>
    <t>Btu / kWh</t>
  </si>
  <si>
    <t>/ kW</t>
  </si>
  <si>
    <t>/ kWh</t>
  </si>
  <si>
    <t>Gas Turbine</t>
  </si>
  <si>
    <t>IC Engine</t>
  </si>
  <si>
    <t>Lookup Values</t>
  </si>
  <si>
    <t>scheduled and unscheduled outages</t>
  </si>
  <si>
    <t>weeks / year</t>
  </si>
  <si>
    <t>/ kW per year</t>
  </si>
  <si>
    <t>Annual Outage</t>
  </si>
  <si>
    <t>weeks</t>
  </si>
  <si>
    <t>Interpolated Equipment Data</t>
  </si>
  <si>
    <t>MMBtu / h</t>
  </si>
  <si>
    <t>kW / ton</t>
  </si>
  <si>
    <t>Waste Heat</t>
  </si>
  <si>
    <t>Microturbine</t>
  </si>
  <si>
    <t>Micro-Turbine</t>
  </si>
  <si>
    <t>Fuel Cell</t>
  </si>
  <si>
    <t>Stack Cost</t>
  </si>
  <si>
    <t>Stack Lifetime</t>
  </si>
  <si>
    <t>Availability</t>
  </si>
  <si>
    <t>Stack Replacement Cost</t>
  </si>
  <si>
    <t>Recovered Waste Heat</t>
  </si>
  <si>
    <t>?</t>
  </si>
  <si>
    <t>Fuel Cell Assumptions</t>
  </si>
  <si>
    <t>recovered heat</t>
  </si>
  <si>
    <t>X</t>
  </si>
  <si>
    <t>absorption chiller</t>
  </si>
  <si>
    <t>total</t>
  </si>
  <si>
    <t>tons</t>
  </si>
  <si>
    <t>horizontal</t>
  </si>
  <si>
    <t>vertical</t>
  </si>
  <si>
    <t>Top</t>
  </si>
  <si>
    <t>Bottom</t>
  </si>
  <si>
    <t>Left</t>
  </si>
  <si>
    <t>Width</t>
  </si>
  <si>
    <t>Right</t>
  </si>
  <si>
    <t>Height</t>
  </si>
  <si>
    <t>/ ton</t>
  </si>
  <si>
    <t>/ kWh generated</t>
  </si>
  <si>
    <t>($ / ton)</t>
  </si>
  <si>
    <t>low</t>
  </si>
  <si>
    <t>high</t>
  </si>
  <si>
    <t>Absorption Chiller Costs</t>
  </si>
  <si>
    <t>Single-Effect</t>
  </si>
  <si>
    <t>Double-Effect</t>
  </si>
  <si>
    <t>HRSG Effectiveness</t>
  </si>
  <si>
    <t>Miscellaneous Heat Losses</t>
  </si>
  <si>
    <t>a. natural gas</t>
  </si>
  <si>
    <t>MMBtu</t>
  </si>
  <si>
    <t>1. Electric Utility Information</t>
  </si>
  <si>
    <t xml:space="preserve">   a. annual cost of power</t>
  </si>
  <si>
    <t xml:space="preserve">   b. annual consumption</t>
  </si>
  <si>
    <t xml:space="preserve">kW </t>
  </si>
  <si>
    <t>2. Fuel Consumption Information</t>
  </si>
  <si>
    <t xml:space="preserve">   a. natural gas</t>
  </si>
  <si>
    <t xml:space="preserve">   b. #2 fuel oil</t>
  </si>
  <si>
    <t xml:space="preserve">   c. coal</t>
  </si>
  <si>
    <t>cost</t>
  </si>
  <si>
    <t>consumption</t>
  </si>
  <si>
    <t>3. Generator Information</t>
  </si>
  <si>
    <t xml:space="preserve">   a. number of generators</t>
  </si>
  <si>
    <t xml:space="preserve">   b. capacity of each generator</t>
  </si>
  <si>
    <t xml:space="preserve">   c. type of generator</t>
  </si>
  <si>
    <t>4. Chiller Data</t>
  </si>
  <si>
    <t xml:space="preserve">   a. type of chillers (if any)</t>
  </si>
  <si>
    <t xml:space="preserve">   e. cost of absorption chillers (if any)</t>
  </si>
  <si>
    <t xml:space="preserve">   a. cost of stack</t>
  </si>
  <si>
    <t xml:space="preserve">   b. stack lifetime</t>
  </si>
  <si>
    <t xml:space="preserve">   c. availability of fuel cell for stack replacement calculations</t>
  </si>
  <si>
    <t xml:space="preserve">   a. standby charges</t>
  </si>
  <si>
    <t xml:space="preserve">   b. price of exported power</t>
  </si>
  <si>
    <t xml:space="preserve">   c. fraction of generated power used on site</t>
  </si>
  <si>
    <t>7. Data for Graph</t>
  </si>
  <si>
    <t xml:space="preserve">   a. maximum for horizontal axis</t>
  </si>
  <si>
    <t xml:space="preserve">   b. maximum for vertical axis</t>
  </si>
  <si>
    <t xml:space="preserve">   c. alternative cost of fuel</t>
  </si>
  <si>
    <t xml:space="preserve">   d. heat rate</t>
  </si>
  <si>
    <t xml:space="preserve">   e. non-fuel operating and maintenance costs</t>
  </si>
  <si>
    <t>gallons</t>
  </si>
  <si>
    <t xml:space="preserve">   a. average cost of power</t>
  </si>
  <si>
    <t xml:space="preserve">   b. average cost of fuel</t>
  </si>
  <si>
    <t xml:space="preserve">   c. spark spread</t>
  </si>
  <si>
    <t xml:space="preserve">   d. average to peak electric ratio</t>
  </si>
  <si>
    <t xml:space="preserve">   e. average to peak thermal ratio</t>
  </si>
  <si>
    <t>unknown</t>
  </si>
  <si>
    <t xml:space="preserve">   f. thermal to electric ratio</t>
  </si>
  <si>
    <t xml:space="preserve">   g. simple payback</t>
  </si>
  <si>
    <t xml:space="preserve">2. CHP Plant </t>
  </si>
  <si>
    <t xml:space="preserve">   a. electrical capacity</t>
  </si>
  <si>
    <t xml:space="preserve">   b. thermal capacity</t>
  </si>
  <si>
    <t xml:space="preserve">   a. average electric load</t>
  </si>
  <si>
    <t xml:space="preserve">   b. peak electric load</t>
  </si>
  <si>
    <t xml:space="preserve">   c. average thermal load</t>
  </si>
  <si>
    <t xml:space="preserve">   a. increased costs</t>
  </si>
  <si>
    <t xml:space="preserve">      (1) fuel and O&amp;M</t>
  </si>
  <si>
    <t xml:space="preserve">      (2) standby charges</t>
  </si>
  <si>
    <t xml:space="preserve">      (3) total increased costs</t>
  </si>
  <si>
    <t xml:space="preserve">   b. avoided costs</t>
  </si>
  <si>
    <t xml:space="preserve">      (1) purchased electricity</t>
  </si>
  <si>
    <t xml:space="preserve">MMBtu  </t>
  </si>
  <si>
    <t xml:space="preserve">      (2) boiler fuel for heat &amp; steam</t>
  </si>
  <si>
    <t xml:space="preserve">      (3) electricity for chiller operation</t>
  </si>
  <si>
    <t xml:space="preserve">     (4) exported electricity</t>
  </si>
  <si>
    <t xml:space="preserve">     (5) total avoided costs</t>
  </si>
  <si>
    <t xml:space="preserve">   c. net savings / losses from operation</t>
  </si>
  <si>
    <t>1. Current Plant</t>
  </si>
  <si>
    <t xml:space="preserve">   a. fuel input</t>
  </si>
  <si>
    <t xml:space="preserve">   b. energy outputs</t>
  </si>
  <si>
    <t xml:space="preserve">      (1) electricity generated</t>
  </si>
  <si>
    <t xml:space="preserve">      (3) total outputs</t>
  </si>
  <si>
    <t xml:space="preserve">   c. efficiencies</t>
  </si>
  <si>
    <t xml:space="preserve">      (1) electrical </t>
  </si>
  <si>
    <t xml:space="preserve">      (2) overall</t>
  </si>
  <si>
    <t>4. CHP Metrics</t>
  </si>
  <si>
    <t>5. Cost of Operation</t>
  </si>
  <si>
    <t>3. Energy Summary</t>
  </si>
  <si>
    <t xml:space="preserve">      (2) useful recovered heat</t>
  </si>
  <si>
    <t>maximum chilled water capacity</t>
  </si>
  <si>
    <t xml:space="preserve">      (1) generator and HRSG</t>
  </si>
  <si>
    <t xml:space="preserve">      (2) absorption chiller</t>
  </si>
  <si>
    <t xml:space="preserve">   c. installed cost</t>
  </si>
  <si>
    <t xml:space="preserve">   d. annual cost savings</t>
  </si>
  <si>
    <t>B</t>
  </si>
  <si>
    <t>A</t>
  </si>
  <si>
    <t>b</t>
  </si>
  <si>
    <t>Cost of Electricity</t>
  </si>
  <si>
    <t>Annual Operation</t>
  </si>
  <si>
    <t>(years)</t>
  </si>
  <si>
    <t>wood</t>
  </si>
  <si>
    <t xml:space="preserve">   bone dry</t>
  </si>
  <si>
    <t xml:space="preserve">   air dry, 20% moisture</t>
  </si>
  <si>
    <t>agricultural residues</t>
  </si>
  <si>
    <t>charcoal</t>
  </si>
  <si>
    <t>coal</t>
  </si>
  <si>
    <t xml:space="preserve">   default data</t>
  </si>
  <si>
    <t xml:space="preserve">   lignite</t>
  </si>
  <si>
    <t xml:space="preserve">   sub-bituminous</t>
  </si>
  <si>
    <t>Solid Fuels</t>
  </si>
  <si>
    <t>multipliers</t>
  </si>
  <si>
    <t>MMBtu / ton</t>
  </si>
  <si>
    <t>Btu / lb</t>
  </si>
  <si>
    <t>Heat Content</t>
  </si>
  <si>
    <t>Minimum</t>
  </si>
  <si>
    <t>Maximum</t>
  </si>
  <si>
    <t>Axis Limits</t>
  </si>
  <si>
    <t>1. Electricity</t>
  </si>
  <si>
    <t>2. Natural Gas</t>
  </si>
  <si>
    <t>Parameters</t>
  </si>
  <si>
    <t>1. Gamma</t>
  </si>
  <si>
    <t>2. Alpha</t>
  </si>
  <si>
    <t>3. Beta</t>
  </si>
  <si>
    <t>4. Beta2</t>
  </si>
  <si>
    <t>5. Delta</t>
  </si>
  <si>
    <t>6. Epsilon</t>
  </si>
  <si>
    <t>7. gCOP</t>
  </si>
  <si>
    <t>8. EtaChiller</t>
  </si>
  <si>
    <t>9. EtaBoiler</t>
  </si>
  <si>
    <t>10. Qe</t>
  </si>
  <si>
    <t>11. H</t>
  </si>
  <si>
    <t>12. COM</t>
  </si>
  <si>
    <t>13. Cstandby</t>
  </si>
  <si>
    <t>14. Cexport</t>
  </si>
  <si>
    <t>g</t>
  </si>
  <si>
    <t>a</t>
  </si>
  <si>
    <r>
      <t>b</t>
    </r>
    <r>
      <rPr>
        <vertAlign val="subscript"/>
        <sz val="12"/>
        <rFont val="Arial"/>
        <family val="2"/>
      </rPr>
      <t>2</t>
    </r>
  </si>
  <si>
    <t>d</t>
  </si>
  <si>
    <t>e</t>
  </si>
  <si>
    <t>gCOP</t>
  </si>
  <si>
    <r>
      <t>h</t>
    </r>
    <r>
      <rPr>
        <vertAlign val="subscript"/>
        <sz val="12"/>
        <rFont val="Arial"/>
        <family val="2"/>
      </rPr>
      <t>chiller</t>
    </r>
  </si>
  <si>
    <r>
      <t>h</t>
    </r>
    <r>
      <rPr>
        <vertAlign val="subscript"/>
        <sz val="12"/>
        <rFont val="Arial"/>
        <family val="2"/>
      </rPr>
      <t>boiler</t>
    </r>
  </si>
  <si>
    <r>
      <t>Q</t>
    </r>
    <r>
      <rPr>
        <vertAlign val="subscript"/>
        <sz val="10"/>
        <rFont val="Arial"/>
        <family val="2"/>
      </rPr>
      <t>e</t>
    </r>
  </si>
  <si>
    <t>H</t>
  </si>
  <si>
    <r>
      <t>C</t>
    </r>
    <r>
      <rPr>
        <vertAlign val="subscript"/>
        <sz val="10"/>
        <rFont val="Arial"/>
        <family val="2"/>
      </rPr>
      <t>O&amp;M</t>
    </r>
  </si>
  <si>
    <r>
      <t>C</t>
    </r>
    <r>
      <rPr>
        <vertAlign val="subscript"/>
        <sz val="10"/>
        <rFont val="Arial"/>
        <family val="2"/>
      </rPr>
      <t>Standby</t>
    </r>
  </si>
  <si>
    <r>
      <t>C</t>
    </r>
    <r>
      <rPr>
        <vertAlign val="subscript"/>
        <sz val="10"/>
        <rFont val="Arial"/>
        <family val="2"/>
      </rPr>
      <t>export</t>
    </r>
  </si>
  <si>
    <t>hours / year</t>
  </si>
  <si>
    <t>/ KW / year</t>
  </si>
  <si>
    <r>
      <t>K</t>
    </r>
    <r>
      <rPr>
        <vertAlign val="subscript"/>
        <sz val="10"/>
        <rFont val="Arial"/>
        <family val="2"/>
      </rPr>
      <t>2</t>
    </r>
  </si>
  <si>
    <t>15. Psubsidy</t>
  </si>
  <si>
    <r>
      <t>P</t>
    </r>
    <r>
      <rPr>
        <vertAlign val="subscript"/>
        <sz val="10"/>
        <rFont val="Arial"/>
        <family val="2"/>
      </rPr>
      <t>subsidy</t>
    </r>
  </si>
  <si>
    <t>16. Pbuydown</t>
  </si>
  <si>
    <r>
      <t>P</t>
    </r>
    <r>
      <rPr>
        <vertAlign val="subscript"/>
        <sz val="10"/>
        <rFont val="Arial"/>
        <family val="2"/>
      </rPr>
      <t>buydown</t>
    </r>
  </si>
  <si>
    <t>17. Pturbine</t>
  </si>
  <si>
    <r>
      <t>P</t>
    </r>
    <r>
      <rPr>
        <vertAlign val="subscript"/>
        <sz val="10"/>
        <rFont val="Arial"/>
        <family val="2"/>
      </rPr>
      <t>turbine</t>
    </r>
  </si>
  <si>
    <t>18. Pchiller</t>
  </si>
  <si>
    <r>
      <t>P</t>
    </r>
    <r>
      <rPr>
        <vertAlign val="subscript"/>
        <sz val="10"/>
        <rFont val="Arial"/>
        <family val="2"/>
      </rPr>
      <t>chiller</t>
    </r>
  </si>
  <si>
    <t>19. Kappa</t>
  </si>
  <si>
    <t>k</t>
  </si>
  <si>
    <t>Years</t>
  </si>
  <si>
    <t>Horizontal Coordinate - Cost of Electricity</t>
  </si>
  <si>
    <t>Vertical Coordinate - Cost of Fuel</t>
  </si>
  <si>
    <t>Energy Rates</t>
  </si>
  <si>
    <t>2. Fuel</t>
  </si>
  <si>
    <t>"Energy"</t>
  </si>
  <si>
    <t>Site Name:</t>
  </si>
  <si>
    <t>Electricity Data</t>
  </si>
  <si>
    <t>a. annual cost</t>
  </si>
  <si>
    <t>b. annual consumption</t>
  </si>
  <si>
    <t>c. summer peak demand</t>
  </si>
  <si>
    <t>d. winter peak demand</t>
  </si>
  <si>
    <t>Natural Gas Data</t>
  </si>
  <si>
    <t>c. consumption units</t>
  </si>
  <si>
    <t xml:space="preserve">   (1) MMBtu</t>
  </si>
  <si>
    <t xml:space="preserve">   (2) therms</t>
  </si>
  <si>
    <t xml:space="preserve">   (3) thousand cubic feet</t>
  </si>
  <si>
    <t>Other Fuels</t>
  </si>
  <si>
    <t>a. fuel oil</t>
  </si>
  <si>
    <t xml:space="preserve">   (1) annual cost</t>
  </si>
  <si>
    <t xml:space="preserve">   (2) annual consumption</t>
  </si>
  <si>
    <t>gallons / year</t>
  </si>
  <si>
    <t>b. coal &amp; solid fuels</t>
  </si>
  <si>
    <t>tons / year</t>
  </si>
  <si>
    <t>Average Energy Costs</t>
  </si>
  <si>
    <t>a. electricity</t>
  </si>
  <si>
    <t>b. fossil fuels</t>
  </si>
  <si>
    <t>Computations</t>
  </si>
  <si>
    <t>b. fuel oil</t>
  </si>
  <si>
    <t>c. coal or coal equivalent</t>
  </si>
  <si>
    <t>d. total consumption</t>
  </si>
  <si>
    <t>Conversion Factors</t>
  </si>
  <si>
    <t>a. therms</t>
  </si>
  <si>
    <t>b. thousand cubic feet</t>
  </si>
  <si>
    <t>c. gallon fuel oil</t>
  </si>
  <si>
    <t>d. ton coal</t>
  </si>
  <si>
    <t>"System"</t>
  </si>
  <si>
    <t>Number of Generators:</t>
  </si>
  <si>
    <t>Generator Capacity:</t>
  </si>
  <si>
    <t>Type of Generator ("GT", "IC", "MT", "FC"):</t>
  </si>
  <si>
    <t>a. average electric load</t>
  </si>
  <si>
    <t>b. peak electric load</t>
  </si>
  <si>
    <t>c. average to peak ratio</t>
  </si>
  <si>
    <t>a. average thermal load</t>
  </si>
  <si>
    <t>b. average thermal to electric ratio</t>
  </si>
  <si>
    <t>a. total electrical capacity</t>
  </si>
  <si>
    <t>b. total thermal capacity</t>
  </si>
  <si>
    <t>Financial Externalities:</t>
  </si>
  <si>
    <t>CHP Capacities:</t>
  </si>
  <si>
    <t>Thermal Load Data:</t>
  </si>
  <si>
    <t>Electric Load Data:</t>
  </si>
  <si>
    <t>a. up front buy-down</t>
  </si>
  <si>
    <t>b. annual operating subsidy</t>
  </si>
  <si>
    <t>"Indices"</t>
  </si>
  <si>
    <t>Derived Information:</t>
  </si>
  <si>
    <t>a. average cost of electricity</t>
  </si>
  <si>
    <t>b. average electric demand</t>
  </si>
  <si>
    <t>c. average cost of fuel</t>
  </si>
  <si>
    <t>d. spark spread</t>
  </si>
  <si>
    <t>e. average to peak electric ratio</t>
  </si>
  <si>
    <t>f. average thermal demand</t>
  </si>
  <si>
    <t>g. thermal to electric ratio</t>
  </si>
  <si>
    <t>Notes:</t>
  </si>
  <si>
    <t>"Results"</t>
  </si>
  <si>
    <t>Computed Results</t>
  </si>
  <si>
    <t>a. CHP Capacity</t>
  </si>
  <si>
    <t>b. approximate cost</t>
  </si>
  <si>
    <t>c. annual operating savings</t>
  </si>
  <si>
    <t>d. CHP savings factor</t>
  </si>
  <si>
    <t>e. simple payback using 100% recovered heat</t>
  </si>
  <si>
    <t xml:space="preserve">   (1) current energy rates</t>
  </si>
  <si>
    <t xml:space="preserve">   (2) alternative fuel rate</t>
  </si>
  <si>
    <t>g. minimum waste heat use for net savings</t>
  </si>
  <si>
    <t>h. fuel cost for 10 year payback at 100% heat use</t>
  </si>
  <si>
    <t>i. electric cost for 10 year payback at 100% heat use</t>
  </si>
  <si>
    <t>"Chillers and Fuel Cells"</t>
  </si>
  <si>
    <t>Type of Chiller</t>
  </si>
  <si>
    <t>a. no absorption chiller</t>
  </si>
  <si>
    <t>b. absorption chiller</t>
  </si>
  <si>
    <t>Type of Absorption Chiller</t>
  </si>
  <si>
    <t>a. steam-fired single effect</t>
  </si>
  <si>
    <t>b. steam-fired double effect</t>
  </si>
  <si>
    <t>Other Data</t>
  </si>
  <si>
    <t>a. electric chiller efficiency</t>
  </si>
  <si>
    <t>b. absorption chiller efficiency</t>
  </si>
  <si>
    <t>c. fraction of recovered heat used by chiller</t>
  </si>
  <si>
    <t>d. cost of absorption chiller</t>
  </si>
  <si>
    <t>e. cost of fuel cell stack</t>
  </si>
  <si>
    <t>f. fuel cell stack lifetime</t>
  </si>
  <si>
    <t>g. fuel cell availability for stack calculations</t>
  </si>
  <si>
    <t>h. stack replacement cost</t>
  </si>
  <si>
    <t>"Misc."</t>
  </si>
  <si>
    <t>Assumptions</t>
  </si>
  <si>
    <t>a. standby charges</t>
  </si>
  <si>
    <t>per kW / year</t>
  </si>
  <si>
    <t>b. price for exported power</t>
  </si>
  <si>
    <t>c. fraction of generated power used on site</t>
  </si>
  <si>
    <t>d. interest rate</t>
  </si>
  <si>
    <t>e. fraction of recoverable heat that is usable</t>
  </si>
  <si>
    <t>f. boiler efficiency</t>
  </si>
  <si>
    <t>g. miscellaneous thermal losses</t>
  </si>
  <si>
    <t>h. heat recovery heat exchanger effectiveness</t>
  </si>
  <si>
    <t>i. alternative fuel cost for analysis</t>
  </si>
  <si>
    <t>Computed / Interpolated Parameters</t>
  </si>
  <si>
    <t>a. generator heat rate</t>
  </si>
  <si>
    <t>b. CHP installed cost</t>
  </si>
  <si>
    <t xml:space="preserve">   (1) engine, generator, and HRHX</t>
  </si>
  <si>
    <t>c. non-fuel operating &amp; maintenance costs</t>
  </si>
  <si>
    <t>d. scheduled and unscheduled outages</t>
  </si>
  <si>
    <t>e. recoverable waste heat</t>
  </si>
  <si>
    <t>a. annual operating hours</t>
  </si>
  <si>
    <t>b. power generated</t>
  </si>
  <si>
    <t>c. fuel consumption</t>
  </si>
  <si>
    <t>"Graph"</t>
  </si>
  <si>
    <t>Alternative Energy Costs</t>
  </si>
  <si>
    <t>a. cost of electricity</t>
  </si>
  <si>
    <t>b. cost of fuel</t>
  </si>
  <si>
    <t>c. payback information</t>
  </si>
  <si>
    <t>simple</t>
  </si>
  <si>
    <t xml:space="preserve">   (5) 100% waste heat use</t>
  </si>
  <si>
    <t xml:space="preserve">   (1)   0% waste heat use</t>
  </si>
  <si>
    <t xml:space="preserve">   (2)  25% waste heat use</t>
  </si>
  <si>
    <t xml:space="preserve">   (3)  50% waste heat use</t>
  </si>
  <si>
    <t xml:space="preserve">   (4)  75% waste heat use</t>
  </si>
  <si>
    <t>d. computed parameters</t>
  </si>
  <si>
    <t xml:space="preserve">   (1) horizontal scroll bar</t>
  </si>
  <si>
    <t xml:space="preserve">      (a) minimum value</t>
  </si>
  <si>
    <t xml:space="preserve">      (b) maximum value</t>
  </si>
  <si>
    <t xml:space="preserve">   (2) vertical scroll bar</t>
  </si>
  <si>
    <t xml:space="preserve">      (c) current value</t>
  </si>
  <si>
    <t>Graph Axis Limits</t>
  </si>
  <si>
    <t>a. horizontal</t>
  </si>
  <si>
    <t>b. vertical</t>
  </si>
  <si>
    <t>Manipulate Graph and Legends</t>
  </si>
  <si>
    <t>a. data form size</t>
  </si>
  <si>
    <t xml:space="preserve">   (1) 100%</t>
  </si>
  <si>
    <t xml:space="preserve">   (2)  90%</t>
  </si>
  <si>
    <t xml:space="preserve">   (3)  80%</t>
  </si>
  <si>
    <t xml:space="preserve">   (4)  70%</t>
  </si>
  <si>
    <t xml:space="preserve">   (5) 60%</t>
  </si>
  <si>
    <t>b. legend</t>
  </si>
  <si>
    <t>c. summary message</t>
  </si>
  <si>
    <t>Calculations</t>
  </si>
  <si>
    <t>a. engine, generator, HRHX installed cost</t>
  </si>
  <si>
    <t>b. absorption chiller installed cost</t>
  </si>
  <si>
    <t>Notes</t>
  </si>
  <si>
    <t>f. alternative waste heat</t>
  </si>
  <si>
    <t>Rated Capacity</t>
  </si>
  <si>
    <t>Type of Equipment</t>
  </si>
  <si>
    <t>miscellaneous thermal losses</t>
  </si>
  <si>
    <t>Current Values for Alternative Energy Line</t>
  </si>
  <si>
    <t>b. fuel</t>
  </si>
  <si>
    <t>Interpolated Chiller Costs</t>
  </si>
  <si>
    <t>Current Energy Rates</t>
  </si>
  <si>
    <t>Future Energy Rates</t>
  </si>
  <si>
    <t>21. QkWh</t>
  </si>
  <si>
    <t>QkWh</t>
  </si>
  <si>
    <r>
      <t xml:space="preserve">3. </t>
    </r>
    <r>
      <rPr>
        <sz val="10"/>
        <rFont val="Symbol"/>
        <family val="1"/>
      </rP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CHP</t>
    </r>
  </si>
  <si>
    <t>4. Payback</t>
  </si>
  <si>
    <t>Current Energy Costs</t>
  </si>
  <si>
    <t>Payback at Current Rates</t>
  </si>
  <si>
    <t>Payback at Alternative Rates</t>
  </si>
  <si>
    <t>Label Positions</t>
  </si>
  <si>
    <t>j financed payback assuming 100% use of waste heat</t>
  </si>
  <si>
    <t>Application Guide for Absorption Cooling / Refrigeration Using Recovered Heat</t>
  </si>
  <si>
    <t>Chad B. Dorgan, Steven P. Leight, and Charles E. Dorgan</t>
  </si>
  <si>
    <t>American Society of Heating, Refrigeration, and Air Conditioning Engineers, 1995</t>
  </si>
  <si>
    <t>p. 26</t>
  </si>
  <si>
    <t>Single-Effect ($ / ton)</t>
  </si>
  <si>
    <t>Double-Effect ($ / ton)</t>
  </si>
  <si>
    <t>Nominal Size</t>
  </si>
  <si>
    <t>average</t>
  </si>
  <si>
    <t>Single-Effect Absorption Chillers</t>
  </si>
  <si>
    <t>Capacity</t>
  </si>
  <si>
    <t>R.S. Means 2002, p. 455</t>
  </si>
  <si>
    <t>(tons)</t>
  </si>
  <si>
    <t>Steam Absorption Chiller, Water Cooled</t>
  </si>
  <si>
    <t>single-effect chiller is pictured</t>
  </si>
  <si>
    <t>Double-Effect Absorption Chillers</t>
  </si>
  <si>
    <t>University of Wisconsin Cogeneration Short Course</t>
  </si>
  <si>
    <t>Rule of Thumb #15</t>
  </si>
  <si>
    <t>Single Effect Steam-Fired Absorption</t>
  </si>
  <si>
    <t>Double-Effect Steam-Fired Absorption</t>
  </si>
  <si>
    <t>Centrifugal Chillers</t>
  </si>
  <si>
    <t>$400 to $500</t>
  </si>
  <si>
    <t>Gas-Fired Chiller-Heaters as a Central Plant Alternative for Small Office Buildings</t>
  </si>
  <si>
    <t>Heating / Piping / Air Conditioning, January 1998, p. 103-112.</t>
  </si>
  <si>
    <t>centrifugal chiller</t>
  </si>
  <si>
    <t>double-effect absorption chiller</t>
  </si>
  <si>
    <t>Data from Arnold and Bahnfleth, "Peak Shaving Using Natural Gas Engine-Driven Chillers," HPAC, September 1998,  p. 51-59</t>
  </si>
  <si>
    <t>Fax from Patti Garland (ORNL) to Ron Fiskum (DOE) datae March 19, 1998, and</t>
  </si>
  <si>
    <t>Fax from Jay Kohler (York or Trane) to Patti Garland (ORNL) dated February 25, 1999.</t>
  </si>
  <si>
    <t>Absorption and Centrifugal Chiller Reference Material</t>
  </si>
  <si>
    <t>Label Height</t>
  </si>
  <si>
    <t>Coordinates of Plot Area</t>
  </si>
  <si>
    <t>Horizontal Offset (?)</t>
  </si>
  <si>
    <t>Financed</t>
  </si>
  <si>
    <t>Btu / h (per generator)</t>
  </si>
  <si>
    <t>tons (per generator)</t>
  </si>
  <si>
    <t>MMBtu / h (per generator)</t>
  </si>
  <si>
    <t>i. maximum absorption chiller capacity</t>
  </si>
  <si>
    <t>j. installed absorption chiller capacity</t>
  </si>
  <si>
    <t>Installed Cost Summary: Interpolated Initial Values</t>
  </si>
  <si>
    <t>fraction of generated power used on site</t>
  </si>
  <si>
    <t>heat rate of generator (Btu / kWh)</t>
  </si>
  <si>
    <t>fraction of recoverable waste heat used effectively</t>
  </si>
  <si>
    <t>fraction of recoverable waste heat used to produce chilled water</t>
  </si>
  <si>
    <t>misc. engine-generator thermal losses (%)</t>
  </si>
  <si>
    <t>HRHX effectiveness</t>
  </si>
  <si>
    <t>absorption chiller efficiency</t>
  </si>
  <si>
    <t>alternative electric chiller efficiency (kW / ton)</t>
  </si>
  <si>
    <t>alternative boiler efficiency</t>
  </si>
  <si>
    <t>annual hours of operation</t>
  </si>
  <si>
    <t>non-fuel generator operating and maintenance costs ($ / kWh generated)</t>
  </si>
  <si>
    <t>annual utility charges for distributed generation ($ / kW installed per year)</t>
  </si>
  <si>
    <t>value of exported electricity ($ / kWh)</t>
  </si>
  <si>
    <r>
      <t>C</t>
    </r>
    <r>
      <rPr>
        <vertAlign val="subscript"/>
        <sz val="10"/>
        <rFont val="Arial"/>
        <family val="2"/>
      </rPr>
      <t>e</t>
    </r>
  </si>
  <si>
    <t>average avoided cost of electricity ($ / kWh)</t>
  </si>
  <si>
    <t>annual operating subsidy for "externalities" (e.g. energy security), ($ per year)</t>
  </si>
  <si>
    <t>one-time payment to subsidize equipment and installation</t>
  </si>
  <si>
    <t>installed cost of turbine, IC-engine generator, microturbine, or fuel cell ($ / kW)</t>
  </si>
  <si>
    <t>installed cost of absorption chiller ($ / kW of generating capacity)</t>
  </si>
  <si>
    <t>multiplier for final cost (generally equal to 1.0)</t>
  </si>
  <si>
    <t>interest rate</t>
  </si>
  <si>
    <t>1. Annual operating subsidy for "externalities" is included in value of generation ($ per year divided by annual generation, kWh)</t>
  </si>
  <si>
    <t>2. Net installed cost is computed by subtracting a one time payment divided by the total installed capacity (to get $/kW) from the cost of prime-mover/generator and any absorption chillers</t>
  </si>
  <si>
    <t>The primary use of this spreadsheet to date has been for retrofit applications in federal facilities where there is no cost associated with the "Do Nothing" alternative to CHP.</t>
  </si>
  <si>
    <t>Comparisons with a non-CHP alternative can be determined by assigning the cost associated with the alternative as an up-front one-time payment in order to get a net installed cost.</t>
  </si>
  <si>
    <t>Three recent changes have been made that are not reflected in these equations</t>
  </si>
  <si>
    <t>3. A multiplier "k" has been added to increase (or decrease) the computed net installed cost to account for other, non-itemized, costs.</t>
  </si>
  <si>
    <t>Recoverable Waste Heat</t>
  </si>
  <si>
    <t>a. available</t>
  </si>
  <si>
    <t>Btu / h</t>
  </si>
  <si>
    <t>b. useable</t>
  </si>
  <si>
    <t xml:space="preserve">   (1) heating</t>
  </si>
  <si>
    <t xml:space="preserve">   (2) cooling</t>
  </si>
  <si>
    <t xml:space="preserve">   (3) desiccant regeneration</t>
  </si>
  <si>
    <t>Alternative Energy Cost</t>
  </si>
  <si>
    <t>1. Cost of Fuel for Generation</t>
  </si>
  <si>
    <t>2. O&amp;M Costs</t>
  </si>
  <si>
    <t>3. Standby Charges</t>
  </si>
  <si>
    <t>4. Value of Power Produced</t>
  </si>
  <si>
    <t>5. Value of Power Exported</t>
  </si>
  <si>
    <t>6. Value of Recovered Heat for Heat and Hot Water</t>
  </si>
  <si>
    <t>7. Value of Recovered Heat for Chilled Water</t>
  </si>
  <si>
    <t>8. Value of Recovered Heat for Desiccant Regeneration</t>
  </si>
  <si>
    <t>9. Net Savings or Losses from Operation</t>
  </si>
  <si>
    <t>Recoverable Heat Rate</t>
  </si>
  <si>
    <t>°F</t>
  </si>
  <si>
    <t>grains</t>
  </si>
  <si>
    <r>
      <t>lb / ft</t>
    </r>
    <r>
      <rPr>
        <vertAlign val="superscript"/>
        <sz val="10"/>
        <rFont val="Arial"/>
        <family val="2"/>
      </rPr>
      <t>3</t>
    </r>
  </si>
  <si>
    <t>Btu / lb°F</t>
  </si>
  <si>
    <t>d. conversion factor</t>
  </si>
  <si>
    <r>
      <t>grains / lb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</si>
  <si>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Desiccant System Properties</t>
  </si>
  <si>
    <t>d. fan &amp; motor power</t>
  </si>
  <si>
    <t>e. air flow rate</t>
  </si>
  <si>
    <t>cfm</t>
  </si>
  <si>
    <r>
      <t>W / lb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</si>
  <si>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c. conversion factor</t>
  </si>
  <si>
    <t>a. density of air</t>
  </si>
  <si>
    <t>b. specific heat of air</t>
  </si>
  <si>
    <t>Constants Used in Calculations</t>
  </si>
  <si>
    <t>c. electric dehumidifier (fan &amp; compressor)</t>
  </si>
  <si>
    <t>f. heat recovery wheel effectiveness</t>
  </si>
  <si>
    <t>g. bldg air conditioner COP</t>
  </si>
  <si>
    <t>a. ventilation air exhaust temperature</t>
  </si>
  <si>
    <t>b. regeneration temperature</t>
  </si>
  <si>
    <t>Use of Waste Heat</t>
  </si>
  <si>
    <t>a. fraction of recoverable waste heat used</t>
  </si>
  <si>
    <t>b. fraction of used waste heat for space heating</t>
  </si>
  <si>
    <t>c. fraction of used waste heat for chilled water</t>
  </si>
  <si>
    <t>d. fraction of used waste heat for desiccants</t>
  </si>
  <si>
    <t>a. unit cost</t>
  </si>
  <si>
    <t>/ cfm</t>
  </si>
  <si>
    <r>
      <t>F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(equipment)</t>
    </r>
  </si>
  <si>
    <r>
      <t>F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(equipment)</t>
    </r>
  </si>
  <si>
    <r>
      <t>F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(equipment)</t>
    </r>
  </si>
  <si>
    <r>
      <t>K</t>
    </r>
    <r>
      <rPr>
        <vertAlign val="subscript"/>
        <sz val="10"/>
        <rFont val="Arial"/>
        <family val="2"/>
      </rPr>
      <t>1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</si>
  <si>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CHP</t>
    </r>
  </si>
  <si>
    <t>Parameters Used in Table</t>
  </si>
  <si>
    <t>Components of Cost</t>
  </si>
  <si>
    <t>Project Cost</t>
  </si>
  <si>
    <t>1. Generator &amp; Heat Recovery Heat Exchanger</t>
  </si>
  <si>
    <t>2. Absorption Chiller</t>
  </si>
  <si>
    <t>3. Desiccant Dehumidifier</t>
  </si>
  <si>
    <t>($)</t>
  </si>
  <si>
    <t>4. Miscellaneous Other Costs</t>
  </si>
  <si>
    <t>5. Total Installed Cost</t>
  </si>
  <si>
    <t>6. Adjusted Installed Cost</t>
  </si>
  <si>
    <t>7. Cost Buydown</t>
  </si>
  <si>
    <t>8. Net Project Cost</t>
  </si>
  <si>
    <t>10. Operating Subsidy</t>
  </si>
  <si>
    <t>12. Total Net Savings or Losses from Operation</t>
  </si>
  <si>
    <t>13. Simple Payback</t>
  </si>
  <si>
    <t>($/kWh)</t>
  </si>
  <si>
    <t>($/year)</t>
  </si>
  <si>
    <t>1. Cost of power</t>
  </si>
  <si>
    <t>2. Cost of fuel</t>
  </si>
  <si>
    <t>2. Recoverable Waste Heat Used</t>
  </si>
  <si>
    <t>4. Recoverable Waste Heat Used for Chilled Water Production</t>
  </si>
  <si>
    <t>5. Recoverable Waste Heat Used for Desiccant Wheel Regeneration</t>
  </si>
  <si>
    <t>3. Recoverable Waste Heat Used for Space Heating &amp; Hot Water</t>
  </si>
  <si>
    <t>specified %</t>
  </si>
  <si>
    <r>
      <t>Value ($ / kWh</t>
    </r>
    <r>
      <rPr>
        <vertAlign val="subscript"/>
        <sz val="10"/>
        <rFont val="Arial"/>
        <family val="2"/>
      </rPr>
      <t>generated</t>
    </r>
    <r>
      <rPr>
        <sz val="10"/>
        <rFont val="Arial"/>
        <family val="2"/>
      </rPr>
      <t>)</t>
    </r>
  </si>
  <si>
    <t xml:space="preserve">      (4) electricity for dehumidification</t>
  </si>
  <si>
    <t>Number of Generators</t>
  </si>
  <si>
    <t>Generator Capacity</t>
  </si>
  <si>
    <t>Type of Generator ("GT", "IC", "MT", or "FC")</t>
  </si>
  <si>
    <t>Financial Externalities</t>
  </si>
  <si>
    <t>G5</t>
  </si>
  <si>
    <t>G7</t>
  </si>
  <si>
    <t>G10</t>
  </si>
  <si>
    <t>G27</t>
  </si>
  <si>
    <t>G28</t>
  </si>
  <si>
    <t>a. steam-fired single-effect</t>
  </si>
  <si>
    <t>b. steam-fired double-effect</t>
  </si>
  <si>
    <t>h. installed absorption chiller capacity</t>
  </si>
  <si>
    <t>S6</t>
  </si>
  <si>
    <t>S7</t>
  </si>
  <si>
    <t>S10</t>
  </si>
  <si>
    <t>S11</t>
  </si>
  <si>
    <t>S14</t>
  </si>
  <si>
    <t>S15</t>
  </si>
  <si>
    <t>S16</t>
  </si>
  <si>
    <t>S17</t>
  </si>
  <si>
    <t>S18</t>
  </si>
  <si>
    <t>S19</t>
  </si>
  <si>
    <t>S20</t>
  </si>
  <si>
    <t>S24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</si>
  <si>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</si>
  <si>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</si>
  <si>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</si>
  <si>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</si>
  <si>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</si>
  <si>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</si>
  <si>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</si>
  <si>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</si>
  <si>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</si>
  <si>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</si>
  <si>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AA25:AB25</t>
  </si>
  <si>
    <t>AA26:AB26</t>
  </si>
  <si>
    <t>c. data form size</t>
  </si>
  <si>
    <t>AA34</t>
  </si>
  <si>
    <t>"Misc. 2"</t>
  </si>
  <si>
    <t>AE6</t>
  </si>
  <si>
    <t>AE7</t>
  </si>
  <si>
    <t>AE8</t>
  </si>
  <si>
    <t>AE9</t>
  </si>
  <si>
    <t>AE10</t>
  </si>
  <si>
    <t>AE11</t>
  </si>
  <si>
    <t>AE12</t>
  </si>
  <si>
    <t>h. unit cost</t>
  </si>
  <si>
    <t>i. size</t>
  </si>
  <si>
    <t>AE38</t>
  </si>
  <si>
    <t>AE39</t>
  </si>
  <si>
    <t>C8</t>
  </si>
  <si>
    <t>C9</t>
  </si>
  <si>
    <t>C10</t>
  </si>
  <si>
    <t>C11</t>
  </si>
  <si>
    <t>C14</t>
  </si>
  <si>
    <t>C15</t>
  </si>
  <si>
    <t>C17</t>
  </si>
  <si>
    <t>C18</t>
  </si>
  <si>
    <t>C19</t>
  </si>
  <si>
    <t>GT</t>
  </si>
  <si>
    <t>C5</t>
  </si>
  <si>
    <t>Default Data Set</t>
  </si>
  <si>
    <t>Site Name</t>
  </si>
  <si>
    <t>Interpolated Data</t>
  </si>
  <si>
    <t>a. prime mover heat rate</t>
  </si>
  <si>
    <t>b. O&amp;M costs</t>
  </si>
  <si>
    <t>c. equipment costs</t>
  </si>
  <si>
    <t>d. outages</t>
  </si>
  <si>
    <t>e. recovered heat rate</t>
  </si>
  <si>
    <t>f. maximum chilled water capacity</t>
  </si>
  <si>
    <t>g. HRSG effectiveness</t>
  </si>
  <si>
    <t>h. miscellaneous thermal losses</t>
  </si>
  <si>
    <t>i. absorption chiller costs</t>
  </si>
  <si>
    <t>W18</t>
  </si>
  <si>
    <t>W20</t>
  </si>
  <si>
    <t>S23</t>
  </si>
  <si>
    <t>tons / generator</t>
  </si>
  <si>
    <t>c. desiccant dehumidifier installed cost</t>
  </si>
  <si>
    <t>e. multiplier</t>
  </si>
  <si>
    <t>d. basic installed cost</t>
  </si>
  <si>
    <t>f. adjusted installed cost</t>
  </si>
  <si>
    <t>g. up front buy down</t>
  </si>
  <si>
    <t>h. net project cost</t>
  </si>
  <si>
    <t>i. cost per unit capacity</t>
  </si>
  <si>
    <t>e. total waste heat use</t>
  </si>
  <si>
    <t xml:space="preserve">   (2) absorption chiller</t>
  </si>
  <si>
    <t xml:space="preserve">   (3) desiccant dehumidifier</t>
  </si>
  <si>
    <t xml:space="preserve">   (4) miscellaneous other costs</t>
  </si>
  <si>
    <t xml:space="preserve">   (5) subtotal</t>
  </si>
  <si>
    <t xml:space="preserve">   (6) multiplier</t>
  </si>
  <si>
    <t xml:space="preserve">   (7) adjusted installed cost</t>
  </si>
  <si>
    <t xml:space="preserve">   (8) subsidy or buy-down</t>
  </si>
  <si>
    <t xml:space="preserve">   (9) net installed cost</t>
  </si>
  <si>
    <t>W23</t>
  </si>
  <si>
    <t>Miscellaneous Equipment Costs</t>
  </si>
  <si>
    <t>Cost Adjustment Factor</t>
  </si>
  <si>
    <t>W25</t>
  </si>
  <si>
    <t>W29</t>
  </si>
  <si>
    <t>W30</t>
  </si>
  <si>
    <t>W31</t>
  </si>
  <si>
    <t>Distribution of Waste Heat</t>
  </si>
  <si>
    <t>a. heating and hot water</t>
  </si>
  <si>
    <t>b. chilled water</t>
  </si>
  <si>
    <t>c. desiccant regeneration</t>
  </si>
  <si>
    <t>AE33</t>
  </si>
  <si>
    <t>AE35</t>
  </si>
  <si>
    <t>cfm / kW</t>
  </si>
  <si>
    <r>
      <t>Q</t>
    </r>
    <r>
      <rPr>
        <vertAlign val="subscript"/>
        <sz val="10"/>
        <rFont val="Arial"/>
        <family val="2"/>
      </rPr>
      <t>recovered</t>
    </r>
  </si>
  <si>
    <t>Btu / h per kW capacity</t>
  </si>
  <si>
    <r>
      <t>Q</t>
    </r>
    <r>
      <rPr>
        <vertAlign val="subscript"/>
        <sz val="10"/>
        <rFont val="Arial"/>
        <family val="2"/>
      </rPr>
      <t>regenerator</t>
    </r>
  </si>
  <si>
    <t>lb air / ft3</t>
  </si>
  <si>
    <t>Btu / lb air °F</t>
  </si>
  <si>
    <t>Btu / ft3</t>
  </si>
  <si>
    <r>
      <t>m</t>
    </r>
    <r>
      <rPr>
        <vertAlign val="subscript"/>
        <sz val="10"/>
        <rFont val="Arial"/>
        <family val="2"/>
      </rPr>
      <t>desiccant</t>
    </r>
  </si>
  <si>
    <t>cfm / kW capacity</t>
  </si>
  <si>
    <t xml:space="preserve">      (3) desiccant dehumidifier</t>
  </si>
  <si>
    <t xml:space="preserve">      (6) project scaling factor</t>
  </si>
  <si>
    <t xml:space="preserve">      (7) adjusted project cost</t>
  </si>
  <si>
    <t xml:space="preserve">      (4) miscellaneous project costs</t>
  </si>
  <si>
    <t xml:space="preserve">      (5) subtotal</t>
  </si>
  <si>
    <t xml:space="preserve">      (8) equipment subsidy or buy-down</t>
  </si>
  <si>
    <t xml:space="preserve">      (9) net project cost</t>
  </si>
  <si>
    <t>5. Desiccant Dehumidifier Data</t>
  </si>
  <si>
    <t xml:space="preserve">   b. chiller capacity</t>
  </si>
  <si>
    <t xml:space="preserve">   c. electric chiller efficiency</t>
  </si>
  <si>
    <t xml:space="preserve">   d. absorption chiller efficiency</t>
  </si>
  <si>
    <t xml:space="preserve">   a. space heating and hot water</t>
  </si>
  <si>
    <t xml:space="preserve">   b. absorption chilled water production</t>
  </si>
  <si>
    <t xml:space="preserve">   c. desiccant regeneration</t>
  </si>
  <si>
    <t xml:space="preserve">   d. fraction of recoverable waste heat used effectively</t>
  </si>
  <si>
    <t xml:space="preserve">   a. desiccant system capacity</t>
  </si>
  <si>
    <t xml:space="preserve">   b. desiccant system installed cost</t>
  </si>
  <si>
    <t xml:space="preserve">   c. electric dehumidifier power consumption</t>
  </si>
  <si>
    <r>
      <t>/ lb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</si>
  <si>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 xml:space="preserve">   d. desiccant system power consumption</t>
  </si>
  <si>
    <t>W / cfm</t>
  </si>
  <si>
    <t xml:space="preserve">   e. heat recovery wheel effectiveness</t>
  </si>
  <si>
    <t xml:space="preserve">   f. regeneration and ventilation exhaust temperatures</t>
  </si>
  <si>
    <t xml:space="preserve">   g. desiccant inlet and exit humidities</t>
  </si>
  <si>
    <t>6. Fuel Cell Data</t>
  </si>
  <si>
    <t>7. Allocation of Recovered Waste Heat</t>
  </si>
  <si>
    <t>8. Miscellaneous Assumptions</t>
  </si>
  <si>
    <t xml:space="preserve">   d. boiler efficiency</t>
  </si>
  <si>
    <t xml:space="preserve">   f. scheduled and unscheduled outages</t>
  </si>
  <si>
    <t xml:space="preserve">   g. recoverable waste heat</t>
  </si>
  <si>
    <t xml:space="preserve">   c.summer and winter peak demands</t>
  </si>
  <si>
    <t>selective catalytic reduction</t>
  </si>
  <si>
    <t>New Cost Factors: Unused So Far</t>
  </si>
  <si>
    <t xml:space="preserve">   a. equipment cost</t>
  </si>
  <si>
    <t xml:space="preserve">   b. operating cost</t>
  </si>
  <si>
    <t xml:space="preserve">      (1) catalyst lifetime</t>
  </si>
  <si>
    <t xml:space="preserve">      (2) catalyst cost</t>
  </si>
  <si>
    <t xml:space="preserve">      (3) catalyst replacement alone</t>
  </si>
  <si>
    <t xml:space="preserve">      (4) O&amp;M costs</t>
  </si>
  <si>
    <t>State abbreviation</t>
  </si>
  <si>
    <t>State 2000 annual heat input (MMBtu)</t>
  </si>
  <si>
    <t>State 2000 annual net generation (MWh)</t>
  </si>
  <si>
    <t>State 2000 annual NOx emissions (tons)</t>
  </si>
  <si>
    <t>State 2000 annual SO2 emissions (tons)</t>
  </si>
  <si>
    <t>State 2000 annual CO2 emissions (tons)</t>
  </si>
  <si>
    <t>PSTATABB</t>
  </si>
  <si>
    <t>STHTIAN</t>
  </si>
  <si>
    <t>STNGENAN</t>
  </si>
  <si>
    <t>STNOXAN</t>
  </si>
  <si>
    <t>STSO2AN</t>
  </si>
  <si>
    <t>STCO2AN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</si>
  <si>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</si>
  <si>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</si>
  <si>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</si>
  <si>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</si>
  <si>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</si>
  <si>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</si>
  <si>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</si>
  <si>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</si>
  <si>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</si>
  <si>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</si>
  <si>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</si>
  <si>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</si>
  <si>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</si>
  <si>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</si>
  <si>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</si>
  <si>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</si>
  <si>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</si>
  <si>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</si>
  <si>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</si>
  <si>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</si>
  <si>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</si>
  <si>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</si>
  <si>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</si>
  <si>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</si>
  <si>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</si>
  <si>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</si>
  <si>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</si>
  <si>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</si>
  <si>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</si>
  <si>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</si>
  <si>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</si>
  <si>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</si>
  <si>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</si>
  <si>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</si>
  <si>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</si>
  <si>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</si>
  <si>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</si>
  <si>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</si>
  <si>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</si>
  <si>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</si>
  <si>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</si>
  <si>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</si>
  <si>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</si>
  <si>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</si>
  <si>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</si>
  <si>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</si>
  <si>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</si>
  <si>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</si>
  <si>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</si>
  <si>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</si>
  <si>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</si>
  <si>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Arkansas</t>
  </si>
  <si>
    <t>Alabama</t>
  </si>
  <si>
    <t>Alaska</t>
  </si>
  <si>
    <t>Arizona</t>
  </si>
  <si>
    <t>California</t>
  </si>
  <si>
    <t>Colorado</t>
  </si>
  <si>
    <t>Connecticut</t>
  </si>
  <si>
    <t>Washington DC</t>
  </si>
  <si>
    <t>Delaware</t>
  </si>
  <si>
    <t>Florida</t>
  </si>
  <si>
    <t>Georgia</t>
  </si>
  <si>
    <t>Hawaii</t>
  </si>
  <si>
    <t>Iowa</t>
  </si>
  <si>
    <t>Idaho</t>
  </si>
  <si>
    <t>Ilinois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</si>
  <si>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</si>
  <si>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</si>
  <si>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</si>
  <si>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</si>
  <si>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</si>
  <si>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</si>
  <si>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</si>
  <si>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</si>
  <si>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</si>
  <si>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</si>
  <si>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</si>
  <si>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</si>
  <si>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</si>
  <si>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</si>
  <si>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</si>
  <si>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</si>
  <si>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</si>
  <si>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</si>
  <si>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</si>
  <si>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</si>
  <si>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</si>
  <si>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</si>
  <si>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</si>
  <si>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</si>
  <si>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</si>
  <si>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</si>
  <si>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</si>
  <si>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</si>
  <si>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</si>
  <si>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</si>
  <si>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</si>
  <si>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</si>
  <si>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 xml:space="preserve">Washington  </t>
  </si>
  <si>
    <t>Wisconsin</t>
  </si>
  <si>
    <t>West Virginia</t>
  </si>
  <si>
    <t>Wyoming</t>
  </si>
  <si>
    <t>lb / kWh</t>
  </si>
  <si>
    <t>CO2</t>
  </si>
  <si>
    <t>NOx</t>
  </si>
  <si>
    <t>SOx</t>
  </si>
  <si>
    <t>Energy Input</t>
  </si>
  <si>
    <t>EGRID-2000 Data</t>
  </si>
  <si>
    <t>State:</t>
  </si>
  <si>
    <t>Carbon Dioxide</t>
  </si>
  <si>
    <t>Energy Input:</t>
  </si>
  <si>
    <t>Power Generated:</t>
  </si>
  <si>
    <t>Natural Gas Consumption:</t>
  </si>
  <si>
    <t>Avoided Boiler Fuel</t>
  </si>
  <si>
    <t>Avoided A/C Electricity</t>
  </si>
  <si>
    <t>Avoided Dehumidifier Electricity</t>
  </si>
  <si>
    <t>Gas Turbine - Uncontrolled</t>
  </si>
  <si>
    <t>Commercial Boiler - Uncontrolled</t>
  </si>
  <si>
    <t>Emission Rates (lb / MMBtu)</t>
  </si>
  <si>
    <r>
      <t>CO</t>
    </r>
    <r>
      <rPr>
        <vertAlign val="subscript"/>
        <sz val="10"/>
        <rFont val="Arial"/>
        <family val="2"/>
      </rPr>
      <t>2</t>
    </r>
  </si>
  <si>
    <t>Annual Emissions (tons)</t>
  </si>
  <si>
    <t>MMBtu  / year</t>
  </si>
  <si>
    <t>kWh / year</t>
  </si>
  <si>
    <t>Baseline System</t>
  </si>
  <si>
    <t>CHP System</t>
  </si>
  <si>
    <t>a. power generation</t>
  </si>
  <si>
    <t>b. credit for heating / hot water</t>
  </si>
  <si>
    <t>c. credit for chilled water</t>
  </si>
  <si>
    <t>d. credit for dehumidification</t>
  </si>
  <si>
    <t>d. net emissions</t>
  </si>
  <si>
    <t>CHP Emission Reductions</t>
  </si>
  <si>
    <t>U.S. Average</t>
  </si>
  <si>
    <t>Energy</t>
  </si>
  <si>
    <t>j. space heat &amp; hot water</t>
  </si>
  <si>
    <t>fossil</t>
  </si>
  <si>
    <t>j. space heating &amp; hot water</t>
  </si>
  <si>
    <t>Fossil</t>
  </si>
  <si>
    <t>Changes were made to the positioning of labels for 100%, 50%, and 0% so these values should no longer be needed.</t>
  </si>
  <si>
    <t>Absorption Chiller Data</t>
  </si>
  <si>
    <t>a. specified chiller capacity</t>
  </si>
  <si>
    <t>b. chiller unit cost</t>
  </si>
  <si>
    <t>c. fraction of recovered heat use</t>
  </si>
  <si>
    <t>d. gCOP</t>
  </si>
  <si>
    <t>e. electric chiller efficiency for comparison</t>
  </si>
  <si>
    <t>f. chiller data complete</t>
  </si>
  <si>
    <t>Alternative Messages for the Top Screen</t>
  </si>
  <si>
    <t>no longer used; replaced by scroll bar inputs for 50% to 150%</t>
  </si>
  <si>
    <t>Coordinates for labeling contour lines</t>
  </si>
  <si>
    <t>Type of Heating System:</t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</si>
  <si>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</si>
  <si>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</si>
  <si>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f</t>
    </r>
    <r>
      <rPr>
        <vertAlign val="subscript"/>
        <sz val="10"/>
        <rFont val="Arial"/>
        <family val="2"/>
      </rPr>
      <t>3</t>
    </r>
  </si>
  <si>
    <r>
      <t>f</t>
    </r>
    <r>
      <rPr>
        <vertAlign val="subscript"/>
        <sz val="10"/>
        <rFont val="Arial"/>
        <family val="2"/>
      </rPr>
      <t>4</t>
    </r>
  </si>
  <si>
    <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CHP</t>
    </r>
    <r>
      <rPr>
        <sz val="10"/>
        <rFont val="Arial"/>
        <family val="0"/>
      </rPr>
      <t xml:space="preserve"> = A</t>
    </r>
    <r>
      <rPr>
        <sz val="10"/>
        <rFont val="WP MathA"/>
        <family val="0"/>
      </rPr>
      <t>A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+ B</t>
    </r>
    <r>
      <rPr>
        <sz val="10"/>
        <rFont val="WP MathA"/>
        <family val="0"/>
      </rPr>
      <t>A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 xml:space="preserve">fuel </t>
    </r>
    <r>
      <rPr>
        <sz val="10"/>
        <rFont val="Arial"/>
        <family val="0"/>
      </rPr>
      <t>- K</t>
    </r>
    <r>
      <rPr>
        <vertAlign val="subscript"/>
        <sz val="10"/>
        <rFont val="Arial"/>
        <family val="2"/>
      </rPr>
      <t>2</t>
    </r>
  </si>
  <si>
    <r>
      <t>N = P</t>
    </r>
    <r>
      <rPr>
        <vertAlign val="subscript"/>
        <sz val="10"/>
        <rFont val="Arial"/>
        <family val="2"/>
      </rPr>
      <t>net cost</t>
    </r>
    <r>
      <rPr>
        <sz val="10"/>
        <rFont val="Arial"/>
        <family val="0"/>
      </rPr>
      <t xml:space="preserve"> / (H</t>
    </r>
    <r>
      <rPr>
        <sz val="10"/>
        <rFont val="WP MathA"/>
        <family val="0"/>
      </rPr>
      <t>A</t>
    </r>
    <r>
      <rPr>
        <sz val="12"/>
        <rFont val="Symbol"/>
        <family val="1"/>
      </rP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CHP</t>
    </r>
    <r>
      <rPr>
        <sz val="10"/>
        <rFont val="Arial"/>
        <family val="0"/>
      </rPr>
      <t>) = K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/ </t>
    </r>
    <r>
      <rPr>
        <sz val="12"/>
        <rFont val="Symbol"/>
        <family val="1"/>
      </rP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CHP</t>
    </r>
  </si>
  <si>
    <t>Vertical level of contour labels (fuel price)</t>
  </si>
  <si>
    <t>WARNING: allocation of recovered heat exceeds 100% of available energy; change the allocation of recovered heat on the 'Cost &amp; Heat Use' page of the user interface.</t>
  </si>
  <si>
    <t>no longer used</t>
  </si>
  <si>
    <t>Nominal Capacity</t>
  </si>
  <si>
    <t>Combustion Turbine</t>
  </si>
  <si>
    <t>Heat Recovery Steam Generator</t>
  </si>
  <si>
    <t>Water Treatment System</t>
  </si>
  <si>
    <t>Electrical Equipment</t>
  </si>
  <si>
    <t>Other Equipment</t>
  </si>
  <si>
    <t>Total Equipment</t>
  </si>
  <si>
    <t>Materials</t>
  </si>
  <si>
    <t>Labor</t>
  </si>
  <si>
    <t>Total Process Capital</t>
  </si>
  <si>
    <t>General Facilities Capital</t>
  </si>
  <si>
    <t>Engineering and Fees</t>
  </si>
  <si>
    <t>Process Contingency</t>
  </si>
  <si>
    <t>Project Contingency</t>
  </si>
  <si>
    <t>Actual Turbine Capacity</t>
  </si>
  <si>
    <t>Total Plant Cost</t>
  </si>
  <si>
    <t>Total Plant Cost per kW</t>
  </si>
  <si>
    <t>Combustion Gas Turbines</t>
  </si>
  <si>
    <t>Package Cost</t>
  </si>
  <si>
    <t>$ / kW</t>
  </si>
  <si>
    <t>Heat Recovery</t>
  </si>
  <si>
    <t>Interconnect / Switchgear</t>
  </si>
  <si>
    <t>Miscellaneous Equipment</t>
  </si>
  <si>
    <t>Installation / Civil Work</t>
  </si>
  <si>
    <t>Engineering and Management</t>
  </si>
  <si>
    <t>General Contractor Markup</t>
  </si>
  <si>
    <t>Contingencies and Guarantees</t>
  </si>
  <si>
    <t>Carrying Charges During Construction</t>
  </si>
  <si>
    <t>Total</t>
  </si>
  <si>
    <t>IC Engine Generators</t>
  </si>
  <si>
    <t>O&amp;M Costs</t>
  </si>
  <si>
    <t>Heat Rate (HHV)</t>
  </si>
  <si>
    <t>exhaust</t>
  </si>
  <si>
    <t>jacket water</t>
  </si>
  <si>
    <t>$ / kW / y</t>
  </si>
  <si>
    <t>$ / y</t>
  </si>
  <si>
    <t>$ / kWh</t>
  </si>
  <si>
    <t>h / y</t>
  </si>
  <si>
    <t>$</t>
  </si>
  <si>
    <t>The Market and Technical Potential for Combined Heat and Power in the Commercial / Institutional Sector: Revision 1</t>
  </si>
  <si>
    <t>Onsite Sycom Energy, January 2000, pp. 29 and 31</t>
  </si>
  <si>
    <t>Fuel Cell Stack Replacement</t>
  </si>
  <si>
    <t>minimum</t>
  </si>
  <si>
    <t>maximum</t>
  </si>
  <si>
    <t>of initial cost</t>
  </si>
  <si>
    <r>
      <t xml:space="preserve">The Market and Technical Potential for Combined Heat and Power in the Commercial / Institutional Sector: Revision 1, </t>
    </r>
    <r>
      <rPr>
        <sz val="10"/>
        <rFont val="Arial"/>
        <family val="2"/>
      </rPr>
      <t>Onsite Sycom Energy, January 2000, pp. 22-23, 24-25, and 26-27</t>
    </r>
  </si>
  <si>
    <t>Cost Component</t>
  </si>
  <si>
    <t>Value of Recovered Heat:</t>
  </si>
  <si>
    <t>space heating</t>
  </si>
  <si>
    <t>fossil fuel</t>
  </si>
  <si>
    <t>electric heat</t>
  </si>
  <si>
    <t>chilled water</t>
  </si>
  <si>
    <t>single-effect</t>
  </si>
  <si>
    <t>double-effect</t>
  </si>
  <si>
    <t>desiccant regeneration</t>
  </si>
  <si>
    <t>Old Notes:</t>
  </si>
  <si>
    <t>Desiccant Data</t>
  </si>
  <si>
    <t>Rules of Thumb:</t>
  </si>
  <si>
    <t>Natural Gas:</t>
  </si>
  <si>
    <t>HHV</t>
  </si>
  <si>
    <t>LHV</t>
  </si>
  <si>
    <t>c. chilled water capacity</t>
  </si>
  <si>
    <t>Parameter</t>
  </si>
  <si>
    <t>Flow Rate</t>
  </si>
  <si>
    <t>Thermal Input</t>
  </si>
  <si>
    <t>Latent Heat Removal</t>
  </si>
  <si>
    <t>Parasitic Electric Use</t>
  </si>
  <si>
    <t>Units</t>
  </si>
  <si>
    <t>scfm</t>
  </si>
  <si>
    <t>$ / scfm</t>
  </si>
  <si>
    <t>$ / y / scfm</t>
  </si>
  <si>
    <t>Btu / h / scfm</t>
  </si>
  <si>
    <t>Wh / scfm</t>
  </si>
  <si>
    <t>Solid</t>
  </si>
  <si>
    <t>Liquid</t>
  </si>
  <si>
    <t>Commercial Desiccant Dehumidifiers</t>
  </si>
  <si>
    <t>Industrial Desiccant Dehumidifiers</t>
  </si>
  <si>
    <r>
      <t xml:space="preserve">Source: </t>
    </r>
    <r>
      <rPr>
        <i/>
        <sz val="10"/>
        <rFont val="Arial"/>
        <family val="2"/>
      </rPr>
      <t xml:space="preserve">Advanced Microturbine System Market Assessment - Task Report: Integration of Desiccant Dehumidification with the </t>
    </r>
  </si>
  <si>
    <r>
      <t>Advanced Microturbine System</t>
    </r>
    <r>
      <rPr>
        <sz val="10"/>
        <rFont val="Arial"/>
        <family val="0"/>
      </rPr>
      <t>, Energy and Environmental Analysis, May 31, 2003, p. 12.</t>
    </r>
  </si>
  <si>
    <t>/ cfm / year</t>
  </si>
  <si>
    <t>Btu / h / cfm</t>
  </si>
  <si>
    <t>Desiccant System Specifications:</t>
  </si>
  <si>
    <t>Air Flow</t>
  </si>
  <si>
    <t>a. process</t>
  </si>
  <si>
    <t>c. total</t>
  </si>
  <si>
    <t>a. temperature</t>
  </si>
  <si>
    <t>b. reactivation</t>
  </si>
  <si>
    <r>
      <t xml:space="preserve">c. </t>
    </r>
    <r>
      <rPr>
        <sz val="10"/>
        <rFont val="Symbol"/>
        <family val="1"/>
      </rPr>
      <t>D</t>
    </r>
    <r>
      <rPr>
        <sz val="10"/>
        <rFont val="Arial"/>
        <family val="0"/>
      </rPr>
      <t>T</t>
    </r>
  </si>
  <si>
    <t>Properties of Air</t>
  </si>
  <si>
    <r>
      <t xml:space="preserve">d.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boiler</t>
    </r>
  </si>
  <si>
    <t>Regeneration</t>
  </si>
  <si>
    <r>
      <t xml:space="preserve">e. </t>
    </r>
    <r>
      <rPr>
        <sz val="10"/>
        <rFont val="Symbol"/>
        <family val="1"/>
      </rPr>
      <t>h</t>
    </r>
    <r>
      <rPr>
        <vertAlign val="subscript"/>
        <sz val="10"/>
        <rFont val="Arial"/>
        <family val="2"/>
      </rPr>
      <t>heat recovery wheel</t>
    </r>
  </si>
  <si>
    <t>a. Cp</t>
  </si>
  <si>
    <r>
      <t xml:space="preserve">b. </t>
    </r>
    <r>
      <rPr>
        <sz val="10"/>
        <rFont val="Symbol"/>
        <family val="1"/>
      </rPr>
      <t>r</t>
    </r>
  </si>
  <si>
    <t>c. operating hours</t>
  </si>
  <si>
    <t>Interpolated Parameters</t>
  </si>
  <si>
    <t>b. unit O&amp;M costs</t>
  </si>
  <si>
    <t>c. parasitic power</t>
  </si>
  <si>
    <t>Calculated Parameters</t>
  </si>
  <si>
    <t>a. cost</t>
  </si>
  <si>
    <t>c. reactivation heat</t>
  </si>
  <si>
    <t>d. power</t>
  </si>
  <si>
    <t>e. power consumption</t>
  </si>
  <si>
    <t>kWh / y</t>
  </si>
  <si>
    <t>d. unit power</t>
  </si>
  <si>
    <t>b. regeneration</t>
  </si>
  <si>
    <t>Desert Aire</t>
  </si>
  <si>
    <t>air flow</t>
  </si>
  <si>
    <t>pints / day</t>
  </si>
  <si>
    <t>lb / h</t>
  </si>
  <si>
    <t>Source: Desert Aire Product Literature</t>
  </si>
  <si>
    <t>Commercial Electric Dehumdifiers</t>
  </si>
  <si>
    <t>Interpolated</t>
  </si>
  <si>
    <t>Specified / Calculated</t>
  </si>
  <si>
    <t>Derived Parameters</t>
  </si>
  <si>
    <t>1. Power Per Unit Air Flow</t>
  </si>
  <si>
    <t>2. Power Per Unit Water Removed</t>
  </si>
  <si>
    <t xml:space="preserve">   a. boiler</t>
  </si>
  <si>
    <t xml:space="preserve">   b. waste heat</t>
  </si>
  <si>
    <t>3. Desiccant Reactivation Energy</t>
  </si>
  <si>
    <t>Wh / lb H2O</t>
  </si>
  <si>
    <t>Reference Electric Dehumidifier</t>
  </si>
  <si>
    <t>a. Power</t>
  </si>
  <si>
    <t>b. Air Flow</t>
  </si>
  <si>
    <t>c. specified capacity</t>
  </si>
  <si>
    <t>cfm process air</t>
  </si>
  <si>
    <t>c. Water Removal</t>
  </si>
  <si>
    <t>Reference Desiccant Dehumidifier</t>
  </si>
  <si>
    <t>process</t>
  </si>
  <si>
    <t>reactivation</t>
  </si>
  <si>
    <t>c.Water Removal</t>
  </si>
  <si>
    <t xml:space="preserve">cfm  </t>
  </si>
  <si>
    <t>derived</t>
  </si>
  <si>
    <t>Reactivation Energy</t>
  </si>
  <si>
    <t>a. Temperatures</t>
  </si>
  <si>
    <t>Btu / kWhgenerated</t>
  </si>
  <si>
    <t>Boiler Efficiency</t>
  </si>
  <si>
    <t>Desiccant System Metrics</t>
  </si>
  <si>
    <t>a. heat input</t>
  </si>
  <si>
    <t>boiler input</t>
  </si>
  <si>
    <t>waste heat input</t>
  </si>
  <si>
    <t>b. power</t>
  </si>
  <si>
    <t>W / cfm total air flow</t>
  </si>
  <si>
    <t>Constants</t>
  </si>
  <si>
    <t>density water</t>
  </si>
  <si>
    <t>density air</t>
  </si>
  <si>
    <t>conversion factors</t>
  </si>
  <si>
    <t>grains / lb</t>
  </si>
  <si>
    <t>min / h</t>
  </si>
  <si>
    <r>
      <t>1. P</t>
    </r>
    <r>
      <rPr>
        <vertAlign val="superscript"/>
        <sz val="10"/>
        <rFont val="Arial"/>
        <family val="2"/>
      </rPr>
      <t>*</t>
    </r>
    <r>
      <rPr>
        <vertAlign val="subscript"/>
        <sz val="10"/>
        <rFont val="Arial"/>
        <family val="2"/>
      </rPr>
      <t>ref, elec</t>
    </r>
  </si>
  <si>
    <r>
      <t>Wh / lb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</si>
  <si>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2. P</t>
    </r>
    <r>
      <rPr>
        <vertAlign val="subscript"/>
        <sz val="10"/>
        <rFont val="Arial"/>
        <family val="2"/>
      </rPr>
      <t>ref, desi</t>
    </r>
  </si>
  <si>
    <r>
      <t>3. m</t>
    </r>
    <r>
      <rPr>
        <vertAlign val="subscript"/>
        <sz val="10"/>
        <rFont val="Arial"/>
        <family val="2"/>
      </rPr>
      <t>ref, desi, water</t>
    </r>
  </si>
  <si>
    <r>
      <t>lb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 / h</t>
    </r>
  </si>
  <si>
    <r>
      <t>4. P</t>
    </r>
    <r>
      <rPr>
        <vertAlign val="superscript"/>
        <sz val="10"/>
        <rFont val="Arial"/>
        <family val="2"/>
      </rPr>
      <t>*</t>
    </r>
    <r>
      <rPr>
        <vertAlign val="subscript"/>
        <sz val="10"/>
        <rFont val="Arial"/>
        <family val="2"/>
      </rPr>
      <t>ref, desi</t>
    </r>
  </si>
  <si>
    <r>
      <t>5. m</t>
    </r>
    <r>
      <rPr>
        <vertAlign val="subscript"/>
        <sz val="10"/>
        <rFont val="Arial"/>
        <family val="2"/>
      </rPr>
      <t>max cfm, desi, total</t>
    </r>
  </si>
  <si>
    <r>
      <t>cfm / kWh</t>
    </r>
    <r>
      <rPr>
        <vertAlign val="subscript"/>
        <sz val="10"/>
        <rFont val="Arial"/>
        <family val="2"/>
      </rPr>
      <t>generated</t>
    </r>
  </si>
  <si>
    <r>
      <t>w</t>
    </r>
    <r>
      <rPr>
        <vertAlign val="subscript"/>
        <sz val="10"/>
        <rFont val="Arial"/>
        <family val="2"/>
      </rPr>
      <t>in</t>
    </r>
  </si>
  <si>
    <r>
      <t>grains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</si>
  <si>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6. m</t>
    </r>
    <r>
      <rPr>
        <vertAlign val="subscript"/>
        <sz val="10"/>
        <rFont val="Arial"/>
        <family val="2"/>
      </rPr>
      <t>max, desi, process</t>
    </r>
  </si>
  <si>
    <r>
      <t>w</t>
    </r>
    <r>
      <rPr>
        <vertAlign val="subscript"/>
        <sz val="10"/>
        <rFont val="Arial"/>
        <family val="2"/>
      </rPr>
      <t>out</t>
    </r>
  </si>
  <si>
    <r>
      <t>7. m</t>
    </r>
    <r>
      <rPr>
        <vertAlign val="subscript"/>
        <sz val="10"/>
        <rFont val="Arial"/>
        <family val="2"/>
      </rPr>
      <t>specified, desi, process</t>
    </r>
  </si>
  <si>
    <r>
      <t>8. m</t>
    </r>
    <r>
      <rPr>
        <vertAlign val="subscript"/>
        <sz val="10"/>
        <rFont val="Arial"/>
        <family val="2"/>
      </rPr>
      <t>specified, desi, water</t>
    </r>
  </si>
  <si>
    <r>
      <t xml:space="preserve">9. </t>
    </r>
    <r>
      <rPr>
        <sz val="12"/>
        <rFont val="Symbol"/>
        <family val="1"/>
      </rP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electric-desiccant</t>
    </r>
  </si>
  <si>
    <r>
      <t>kWh / kWh</t>
    </r>
    <r>
      <rPr>
        <vertAlign val="subscript"/>
        <sz val="10"/>
        <rFont val="Arial"/>
        <family val="2"/>
      </rPr>
      <t>generated</t>
    </r>
  </si>
  <si>
    <r>
      <t>T</t>
    </r>
    <r>
      <rPr>
        <vertAlign val="subscript"/>
        <sz val="10"/>
        <rFont val="Arial"/>
        <family val="2"/>
      </rPr>
      <t>regenerator</t>
    </r>
  </si>
  <si>
    <r>
      <t xml:space="preserve">10. </t>
    </r>
    <r>
      <rPr>
        <sz val="12"/>
        <rFont val="Symbol"/>
        <family val="1"/>
      </rPr>
      <t>D</t>
    </r>
    <r>
      <rPr>
        <sz val="10"/>
        <rFont val="Arial"/>
        <family val="0"/>
      </rPr>
      <t>C</t>
    </r>
    <r>
      <rPr>
        <vertAlign val="subscript"/>
        <sz val="10"/>
        <rFont val="Arial"/>
        <family val="2"/>
      </rPr>
      <t>desiccant</t>
    </r>
  </si>
  <si>
    <r>
      <t>/ kWh</t>
    </r>
    <r>
      <rPr>
        <vertAlign val="subscript"/>
        <sz val="10"/>
        <rFont val="Arial"/>
        <family val="2"/>
      </rPr>
      <t>generated</t>
    </r>
  </si>
  <si>
    <r>
      <t>T</t>
    </r>
    <r>
      <rPr>
        <vertAlign val="subscript"/>
        <sz val="10"/>
        <rFont val="Arial"/>
        <family val="2"/>
      </rPr>
      <t>inlet</t>
    </r>
  </si>
  <si>
    <r>
      <t xml:space="preserve">b. </t>
    </r>
    <r>
      <rPr>
        <sz val="12"/>
        <rFont val="Symbol"/>
        <family val="1"/>
      </rPr>
      <t>h</t>
    </r>
    <r>
      <rPr>
        <vertAlign val="subscript"/>
        <sz val="10"/>
        <rFont val="Arial"/>
        <family val="2"/>
      </rPr>
      <t>heat recovery wheel</t>
    </r>
  </si>
  <si>
    <r>
      <t>Cp</t>
    </r>
    <r>
      <rPr>
        <vertAlign val="subscript"/>
        <sz val="10"/>
        <rFont val="Arial"/>
        <family val="2"/>
      </rPr>
      <t>air</t>
    </r>
  </si>
  <si>
    <r>
      <t>lb /ft</t>
    </r>
    <r>
      <rPr>
        <vertAlign val="superscript"/>
        <sz val="10"/>
        <rFont val="Arial"/>
        <family val="2"/>
      </rPr>
      <t>3</t>
    </r>
  </si>
  <si>
    <r>
      <t>gal. / ft</t>
    </r>
    <r>
      <rPr>
        <vertAlign val="superscript"/>
        <sz val="10"/>
        <rFont val="Arial"/>
        <family val="2"/>
      </rPr>
      <t>3</t>
    </r>
  </si>
  <si>
    <r>
      <t>lb air / ft</t>
    </r>
    <r>
      <rPr>
        <vertAlign val="superscript"/>
        <sz val="10"/>
        <rFont val="Arial"/>
        <family val="2"/>
      </rPr>
      <t>3</t>
    </r>
  </si>
  <si>
    <t>b. Air Flow Rate</t>
  </si>
  <si>
    <t>c. Water Removal Rate</t>
  </si>
  <si>
    <t>inlet humidity</t>
  </si>
  <si>
    <t>exit humidity</t>
  </si>
  <si>
    <r>
      <t>grains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 / lb dry air</t>
    </r>
  </si>
  <si>
    <t>d. Reactivation Energy</t>
  </si>
  <si>
    <t>regeneration temperature</t>
  </si>
  <si>
    <t>inlet temperature</t>
  </si>
  <si>
    <t>heat recovery wheel effectiveness</t>
  </si>
  <si>
    <t>Specified Desiccant Dehumidifier</t>
  </si>
  <si>
    <t>a. Air Flow Rate</t>
  </si>
  <si>
    <t>b. Power</t>
  </si>
  <si>
    <t>c. Installed Cost</t>
  </si>
  <si>
    <t>d. O&amp;M Costs</t>
  </si>
  <si>
    <t>$ / cfm</t>
  </si>
  <si>
    <t>$ / year / cfm</t>
  </si>
  <si>
    <t>e. conversion factor</t>
  </si>
  <si>
    <t>Maximum air flow regenerated using recovered heat</t>
  </si>
  <si>
    <t>Savings (loss) from desiccant operation</t>
  </si>
  <si>
    <r>
      <t>F</t>
    </r>
    <r>
      <rPr>
        <vertAlign val="subscript"/>
        <sz val="10"/>
        <rFont val="Arial"/>
        <family val="2"/>
      </rPr>
      <t>3</t>
    </r>
  </si>
  <si>
    <r>
      <t>11. P</t>
    </r>
    <r>
      <rPr>
        <vertAlign val="subscript"/>
        <sz val="10"/>
        <rFont val="Arial"/>
        <family val="2"/>
      </rPr>
      <t>specified, desi</t>
    </r>
  </si>
  <si>
    <t>4. Water Removal</t>
  </si>
  <si>
    <t>Electric</t>
  </si>
  <si>
    <t>Desiccant</t>
  </si>
  <si>
    <r>
      <t>12. m</t>
    </r>
    <r>
      <rPr>
        <vertAlign val="subscript"/>
        <sz val="10"/>
        <rFont val="Arial"/>
        <family val="2"/>
      </rPr>
      <t>ref, desi, water</t>
    </r>
  </si>
  <si>
    <t>W</t>
  </si>
  <si>
    <t>h / d</t>
  </si>
  <si>
    <t>pints / gallon</t>
  </si>
  <si>
    <r>
      <t xml:space="preserve">13. </t>
    </r>
    <r>
      <rPr>
        <sz val="12"/>
        <rFont val="Symbol"/>
        <family val="1"/>
      </rPr>
      <t>D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dehumidifiers</t>
    </r>
  </si>
  <si>
    <r>
      <t>kWh</t>
    </r>
    <r>
      <rPr>
        <vertAlign val="subscript"/>
        <sz val="10"/>
        <rFont val="Arial"/>
        <family val="2"/>
      </rPr>
      <t>saved</t>
    </r>
    <r>
      <rPr>
        <sz val="10"/>
        <rFont val="Arial"/>
        <family val="0"/>
      </rPr>
      <t xml:space="preserve"> / kWh</t>
    </r>
    <r>
      <rPr>
        <vertAlign val="subscript"/>
        <sz val="10"/>
        <rFont val="Arial"/>
        <family val="2"/>
      </rPr>
      <t>generated</t>
    </r>
  </si>
  <si>
    <r>
      <t xml:space="preserve">14. </t>
    </r>
    <r>
      <rPr>
        <sz val="12"/>
        <rFont val="Symbol"/>
        <family val="1"/>
      </rPr>
      <t>D</t>
    </r>
    <r>
      <rPr>
        <sz val="12"/>
        <rFont val="Arial"/>
        <family val="2"/>
      </rPr>
      <t>C</t>
    </r>
    <r>
      <rPr>
        <vertAlign val="subscript"/>
        <sz val="10"/>
        <rFont val="Arial"/>
        <family val="2"/>
      </rPr>
      <t>dehumidifiers</t>
    </r>
  </si>
  <si>
    <r>
      <t>/ MMBtu</t>
    </r>
    <r>
      <rPr>
        <vertAlign val="subscript"/>
        <sz val="10"/>
        <rFont val="Arial"/>
        <family val="2"/>
      </rPr>
      <t>recovered</t>
    </r>
  </si>
  <si>
    <t>5. Savings Factors</t>
  </si>
  <si>
    <t>a. power reduction</t>
  </si>
  <si>
    <t>b. dollar savings</t>
  </si>
  <si>
    <r>
      <t>15. m</t>
    </r>
    <r>
      <rPr>
        <vertAlign val="subscript"/>
        <sz val="10"/>
        <rFont val="Arial"/>
        <family val="2"/>
      </rPr>
      <t>specified, water</t>
    </r>
  </si>
  <si>
    <t>16. moisture removal COP</t>
  </si>
  <si>
    <t>latent heat of vaporization</t>
  </si>
  <si>
    <r>
      <t>Btu / lb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</si>
  <si>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6. Moisture Removal COP</t>
  </si>
  <si>
    <t>($ / kW)</t>
  </si>
  <si>
    <t>($/ton)</t>
  </si>
  <si>
    <t>Cost of Absorption Chillers per unit electrical capacity</t>
  </si>
  <si>
    <t>References:</t>
  </si>
  <si>
    <t>Ref: Solar Turbines proprietary software</t>
  </si>
  <si>
    <t>arbitrary assumptions</t>
  </si>
  <si>
    <t>Atlanta Metropolitan Area</t>
  </si>
  <si>
    <t>generator and HRB</t>
  </si>
  <si>
    <t>d. thermal production</t>
  </si>
  <si>
    <t>e. chilled water production</t>
  </si>
  <si>
    <t>ton-hrs / year</t>
  </si>
  <si>
    <t>MMBtu / year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</si>
</sst>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"/>
    <numFmt numFmtId="166" formatCode="&quot;$&quot;#,##0.00"/>
    <numFmt numFmtId="167" formatCode="#,##0.0"/>
    <numFmt numFmtId="168" formatCode="0.0"/>
    <numFmt numFmtId="169" formatCode="&quot;$&quot;#,##0.0000"/>
    <numFmt numFmtId="170" formatCode="0.0%"/>
    <numFmt numFmtId="171" formatCode="&quot;$&quot;#,##0.0"/>
    <numFmt numFmtId="172" formatCode="&quot;$&quot;#,##0.00000"/>
    <numFmt numFmtId="173" formatCode="&quot;$&quot;#,##0.00000000"/>
    <numFmt numFmtId="174" formatCode="&quot;$&quot;#,##0.0000000"/>
    <numFmt numFmtId="175" formatCode="#,##0.000"/>
    <numFmt numFmtId="176" formatCode="_(&quot;$&quot;* #,##0.000_);_(&quot;$&quot;* \(#,##0.000\);_(&quot;$&quot;* &quot;-&quot;???_);_(@_)"/>
    <numFmt numFmtId="177" formatCode="&quot;$&quot;#,##0.000;[Red]&quot;$&quot;#,##0.000"/>
    <numFmt numFmtId="178" formatCode="#,##0.00000"/>
    <numFmt numFmtId="179" formatCode="0.000"/>
    <numFmt numFmtId="180" formatCode="0.000000"/>
    <numFmt numFmtId="181" formatCode="0.00000"/>
    <numFmt numFmtId="182" formatCode="0.000E+00"/>
    <numFmt numFmtId="183" formatCode="#,##0.0000"/>
    <numFmt numFmtId="184" formatCode="0.0000"/>
    <numFmt numFmtId="185" formatCode="0.0000E+00"/>
    <numFmt numFmtId="186" formatCode="0.E+00"/>
    <numFmt numFmtId="187" formatCode="#\ ?/4"/>
    <numFmt numFmtId="188" formatCode="#0.0"/>
    <numFmt numFmtId="189" formatCode="##0.0"/>
    <numFmt numFmtId="190" formatCode="##,##0"/>
    <numFmt numFmtId="191" formatCode="##0.00"/>
    <numFmt numFmtId="192" formatCode="0.0000000"/>
    <numFmt numFmtId="193" formatCode="##,###,##0"/>
    <numFmt numFmtId="194" formatCode="##0"/>
    <numFmt numFmtId="195" formatCode="0.00000E+00"/>
    <numFmt numFmtId="196" formatCode="0.###"/>
    <numFmt numFmtId="197" formatCode="#,###,##0\)"/>
    <numFmt numFmtId="198" formatCode="#,###,##0"/>
    <numFmt numFmtId="199" formatCode="###,##0"/>
    <numFmt numFmtId="200" formatCode="mmmm\ d\,\ yyyy"/>
    <numFmt numFmtId="201" formatCode="##0.0%"/>
    <numFmt numFmtId="202" formatCode="#,##0.0_);[Red]\(#,##0.0\)"/>
    <numFmt numFmtId="203" formatCode="##."/>
    <numFmt numFmtId="204" formatCode="&quot;$&quot;#,##0.000000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12"/>
      <name val="Symbol"/>
      <family val="1"/>
    </font>
    <font>
      <b/>
      <sz val="12"/>
      <name val="Arial"/>
      <family val="2"/>
    </font>
    <font>
      <b/>
      <sz val="10.25"/>
      <name val="Arial"/>
      <family val="0"/>
    </font>
    <font>
      <sz val="10.25"/>
      <name val="Arial"/>
      <family val="0"/>
    </font>
    <font>
      <b/>
      <sz val="8"/>
      <name val="Arial"/>
      <family val="2"/>
    </font>
    <font>
      <b/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9"/>
      <name val="Arial"/>
      <family val="2"/>
    </font>
    <font>
      <b/>
      <sz val="9.5"/>
      <name val="Arial"/>
      <family val="2"/>
    </font>
    <font>
      <b/>
      <sz val="11.25"/>
      <name val="Arial"/>
      <family val="2"/>
    </font>
    <font>
      <sz val="11"/>
      <name val="Arial"/>
      <family val="2"/>
    </font>
    <font>
      <sz val="9.25"/>
      <name val="Arial"/>
      <family val="2"/>
    </font>
    <font>
      <u val="single"/>
      <sz val="9"/>
      <name val="Arial"/>
      <family val="2"/>
    </font>
    <font>
      <vertAlign val="subscript"/>
      <sz val="12"/>
      <name val="Arial"/>
      <family val="2"/>
    </font>
    <font>
      <sz val="10"/>
      <name val="Symbol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.5"/>
      <name val="Arial"/>
      <family val="2"/>
    </font>
    <font>
      <b/>
      <sz val="7.5"/>
      <name val="Arial"/>
      <family val="2"/>
    </font>
    <font>
      <sz val="10"/>
      <color indexed="10"/>
      <name val="Arial"/>
      <family val="2"/>
    </font>
    <font>
      <sz val="10"/>
      <name val="WP MathA"/>
      <family val="0"/>
    </font>
    <font>
      <sz val="5.75"/>
      <name val="Arial"/>
      <family val="2"/>
    </font>
    <font>
      <b/>
      <sz val="10.5"/>
      <name val="Arial"/>
      <family val="0"/>
    </font>
    <font>
      <sz val="8.75"/>
      <name val="Arial"/>
      <family val="0"/>
    </font>
    <font>
      <b/>
      <sz val="11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u val="single"/>
      <sz val="10"/>
      <name val="Arial"/>
      <family val="2"/>
    </font>
    <font>
      <b/>
      <sz val="8.75"/>
      <name val="Arial"/>
      <family val="2"/>
    </font>
    <font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0" fontId="0" fillId="0" borderId="0" xfId="0" applyNumberFormat="1" applyAlignment="1">
      <alignment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Alignment="1" applyProtection="1" quotePrefix="1">
      <alignment/>
      <protection/>
    </xf>
    <xf numFmtId="3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9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3" fontId="2" fillId="0" borderId="0" xfId="0" applyNumberFormat="1" applyFont="1" applyFill="1" applyBorder="1" applyAlignment="1" applyProtection="1">
      <alignment horizontal="center"/>
      <protection/>
    </xf>
    <xf numFmtId="169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3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5" fontId="0" fillId="0" borderId="0" xfId="0" applyNumberFormat="1" applyFont="1" applyFill="1" applyBorder="1" applyAlignment="1" applyProtection="1">
      <alignment horizontal="center"/>
      <protection/>
    </xf>
    <xf numFmtId="169" fontId="0" fillId="0" borderId="0" xfId="0" applyNumberFormat="1" applyFont="1" applyFill="1" applyBorder="1" applyAlignment="1" applyProtection="1" quotePrefix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9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165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  <xf numFmtId="169" fontId="0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18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" xfId="0" applyBorder="1" applyAlignment="1" quotePrefix="1">
      <alignment/>
    </xf>
    <xf numFmtId="0" fontId="0" fillId="0" borderId="3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3" xfId="0" applyFill="1" applyBorder="1" applyAlignment="1">
      <alignment horizontal="center"/>
    </xf>
    <xf numFmtId="9" fontId="0" fillId="2" borderId="5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5" fontId="0" fillId="0" borderId="0" xfId="0" applyNumberFormat="1" applyAlignment="1">
      <alignment/>
    </xf>
    <xf numFmtId="179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shrinkToFit="1"/>
    </xf>
    <xf numFmtId="3" fontId="2" fillId="0" borderId="0" xfId="0" applyNumberFormat="1" applyFon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165" fontId="0" fillId="0" borderId="0" xfId="0" applyNumberFormat="1" applyAlignment="1" quotePrefix="1">
      <alignment/>
    </xf>
    <xf numFmtId="166" fontId="0" fillId="0" borderId="0" xfId="0" applyNumberFormat="1" applyAlignment="1" quotePrefix="1">
      <alignment/>
    </xf>
    <xf numFmtId="164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2" borderId="11" xfId="0" applyFill="1" applyBorder="1" applyAlignment="1">
      <alignment horizontal="center"/>
    </xf>
    <xf numFmtId="169" fontId="0" fillId="0" borderId="0" xfId="0" applyNumberFormat="1" applyFont="1" applyAlignment="1">
      <alignment/>
    </xf>
    <xf numFmtId="166" fontId="0" fillId="0" borderId="4" xfId="0" applyNumberFormat="1" applyBorder="1" applyAlignment="1">
      <alignment/>
    </xf>
    <xf numFmtId="166" fontId="0" fillId="0" borderId="5" xfId="0" applyNumberFormat="1" applyBorder="1" applyAlignment="1">
      <alignment/>
    </xf>
    <xf numFmtId="0" fontId="0" fillId="2" borderId="4" xfId="0" applyFont="1" applyFill="1" applyBorder="1" applyAlignment="1">
      <alignment horizontal="center"/>
    </xf>
    <xf numFmtId="165" fontId="0" fillId="0" borderId="7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6" fontId="0" fillId="0" borderId="7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166" fontId="0" fillId="0" borderId="8" xfId="0" applyNumberFormat="1" applyFont="1" applyBorder="1" applyAlignment="1">
      <alignment/>
    </xf>
    <xf numFmtId="165" fontId="0" fillId="0" borderId="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4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0" fillId="0" borderId="1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166" fontId="0" fillId="0" borderId="3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2" borderId="9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5" fontId="0" fillId="0" borderId="8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165" fontId="0" fillId="0" borderId="3" xfId="0" applyNumberFormat="1" applyFont="1" applyBorder="1" applyAlignment="1">
      <alignment/>
    </xf>
    <xf numFmtId="169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166" fontId="0" fillId="2" borderId="6" xfId="0" applyNumberFormat="1" applyFill="1" applyBorder="1" applyAlignment="1">
      <alignment/>
    </xf>
    <xf numFmtId="9" fontId="0" fillId="2" borderId="3" xfId="0" applyNumberFormat="1" applyFill="1" applyBorder="1" applyAlignment="1">
      <alignment horizontal="center"/>
    </xf>
    <xf numFmtId="169" fontId="0" fillId="0" borderId="4" xfId="0" applyNumberFormat="1" applyBorder="1" applyAlignment="1">
      <alignment/>
    </xf>
    <xf numFmtId="169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0" xfId="0" applyFill="1" applyBorder="1" applyAlignment="1">
      <alignment/>
    </xf>
    <xf numFmtId="169" fontId="0" fillId="0" borderId="10" xfId="0" applyNumberFormat="1" applyBorder="1" applyAlignment="1">
      <alignment/>
    </xf>
    <xf numFmtId="169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166" fontId="0" fillId="2" borderId="13" xfId="0" applyNumberFormat="1" applyFill="1" applyBorder="1" applyAlignment="1">
      <alignment/>
    </xf>
    <xf numFmtId="0" fontId="0" fillId="0" borderId="0" xfId="0" applyFont="1" applyAlignment="1" quotePrefix="1">
      <alignment/>
    </xf>
    <xf numFmtId="165" fontId="0" fillId="0" borderId="0" xfId="0" applyNumberFormat="1" applyFont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166" fontId="0" fillId="2" borderId="0" xfId="0" applyNumberFormat="1" applyFill="1" applyAlignment="1">
      <alignment/>
    </xf>
    <xf numFmtId="166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3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9" fontId="0" fillId="3" borderId="0" xfId="0" applyNumberFormat="1" applyFill="1" applyAlignment="1">
      <alignment/>
    </xf>
    <xf numFmtId="4" fontId="0" fillId="3" borderId="0" xfId="0" applyNumberFormat="1" applyFill="1" applyAlignment="1">
      <alignment/>
    </xf>
    <xf numFmtId="164" fontId="0" fillId="0" borderId="2" xfId="0" applyNumberFormat="1" applyBorder="1" applyAlignment="1">
      <alignment/>
    </xf>
    <xf numFmtId="0" fontId="0" fillId="0" borderId="2" xfId="0" applyBorder="1" applyAlignment="1" quotePrefix="1">
      <alignment/>
    </xf>
    <xf numFmtId="169" fontId="0" fillId="0" borderId="2" xfId="0" applyNumberFormat="1" applyBorder="1" applyAlignment="1">
      <alignment/>
    </xf>
    <xf numFmtId="0" fontId="0" fillId="0" borderId="3" xfId="0" applyBorder="1" applyAlignment="1" quotePrefix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14" xfId="0" applyFill="1" applyBorder="1" applyAlignment="1">
      <alignment/>
    </xf>
    <xf numFmtId="0" fontId="5" fillId="2" borderId="15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2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79" fontId="25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2" fontId="26" fillId="0" borderId="0" xfId="0" applyNumberFormat="1" applyFont="1" applyAlignment="1">
      <alignment wrapText="1"/>
    </xf>
    <xf numFmtId="168" fontId="26" fillId="0" borderId="0" xfId="0" applyNumberFormat="1" applyFont="1" applyAlignment="1">
      <alignment wrapText="1"/>
    </xf>
    <xf numFmtId="0" fontId="26" fillId="0" borderId="0" xfId="0" applyFont="1" applyAlignment="1">
      <alignment horizontal="center" wrapText="1"/>
    </xf>
    <xf numFmtId="3" fontId="25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4" borderId="0" xfId="0" applyFill="1" applyAlignment="1">
      <alignment horizontal="center"/>
    </xf>
    <xf numFmtId="168" fontId="0" fillId="4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9" fontId="0" fillId="0" borderId="0" xfId="0" applyNumberFormat="1" applyAlignment="1">
      <alignment horizontal="left"/>
    </xf>
    <xf numFmtId="169" fontId="0" fillId="0" borderId="0" xfId="0" applyNumberFormat="1" applyAlignment="1">
      <alignment horizontal="left"/>
    </xf>
    <xf numFmtId="164" fontId="0" fillId="0" borderId="0" xfId="0" applyNumberFormat="1" applyAlignment="1" quotePrefix="1">
      <alignment/>
    </xf>
    <xf numFmtId="166" fontId="27" fillId="0" borderId="0" xfId="0" applyNumberFormat="1" applyFont="1" applyBorder="1" applyAlignment="1">
      <alignment/>
    </xf>
    <xf numFmtId="166" fontId="27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7" fontId="0" fillId="0" borderId="0" xfId="0" applyNumberFormat="1" applyAlignment="1" quotePrefix="1">
      <alignment/>
    </xf>
    <xf numFmtId="3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170" fontId="0" fillId="2" borderId="4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7" xfId="0" applyNumberFormat="1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170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164" fontId="0" fillId="0" borderId="1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166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 horizontal="left" indent="1"/>
    </xf>
    <xf numFmtId="203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168" fontId="0" fillId="0" borderId="5" xfId="0" applyNumberFormat="1" applyBorder="1" applyAlignment="1">
      <alignment/>
    </xf>
    <xf numFmtId="0" fontId="0" fillId="0" borderId="0" xfId="0" applyFont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0" fillId="0" borderId="3" xfId="0" applyNumberFormat="1" applyBorder="1" applyAlignment="1">
      <alignment/>
    </xf>
    <xf numFmtId="168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 quotePrefix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ill="1" applyAlignment="1" quotePrefix="1">
      <alignment/>
    </xf>
    <xf numFmtId="0" fontId="4" fillId="0" borderId="0" xfId="0" applyFont="1" applyAlignment="1">
      <alignment horizontal="left" indent="1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18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4" fontId="0" fillId="0" borderId="5" xfId="0" applyNumberFormat="1" applyFont="1" applyBorder="1" applyAlignment="1">
      <alignment/>
    </xf>
    <xf numFmtId="3" fontId="37" fillId="0" borderId="0" xfId="0" applyNumberFormat="1" applyFont="1" applyFill="1" applyBorder="1" applyAlignment="1" applyProtection="1">
      <alignment/>
      <protection/>
    </xf>
    <xf numFmtId="0" fontId="1" fillId="2" borderId="1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>
      <alignment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3" fillId="5" borderId="7" xfId="0" applyFont="1" applyFill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21" fillId="0" borderId="4" xfId="0" applyFont="1" applyFill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1" fillId="0" borderId="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21" fillId="0" borderId="5" xfId="0" applyFont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3" fontId="0" fillId="0" borderId="0" xfId="0" applyNumberFormat="1" applyAlignment="1">
      <alignment horizontal="center"/>
    </xf>
    <xf numFmtId="0" fontId="21" fillId="0" borderId="0" xfId="0" applyFont="1" applyAlignment="1">
      <alignment wrapText="1"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Alignment="1">
      <alignment horizontal="center" wrapText="1"/>
    </xf>
    <xf numFmtId="166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wrapText="1"/>
    </xf>
    <xf numFmtId="0" fontId="0" fillId="2" borderId="15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'User Interface'!$C$4</c:f>
        </c:strRef>
      </c:tx>
      <c:layout>
        <c:manualLayout>
          <c:xMode val="factor"/>
          <c:yMode val="factor"/>
          <c:x val="0.042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5"/>
          <c:y val="0.05"/>
          <c:w val="0.91275"/>
          <c:h val="0.848"/>
        </c:manualLayout>
      </c:layout>
      <c:scatterChart>
        <c:scatterStyle val="line"/>
        <c:varyColors val="0"/>
        <c:ser>
          <c:idx val="20"/>
          <c:order val="0"/>
          <c:tx>
            <c:v>Limiting Values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Data'!$C$34:$G$34</c:f>
              <c:numCache>
                <c:ptCount val="5"/>
                <c:pt idx="0">
                  <c:v>0.007507068460743739</c:v>
                </c:pt>
                <c:pt idx="1">
                  <c:v>0.04764018637553677</c:v>
                </c:pt>
                <c:pt idx="2">
                  <c:v>0.0877733042903298</c:v>
                </c:pt>
                <c:pt idx="3">
                  <c:v>0.12790642220512285</c:v>
                </c:pt>
                <c:pt idx="4">
                  <c:v>0.16803954011991587</c:v>
                </c:pt>
              </c:numCache>
            </c:numRef>
          </c:xVal>
          <c:yVal>
            <c:numRef>
              <c:f>'Plot Data'!$H$34:$L$34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0"/>
          <c:order val="1"/>
          <c:tx>
            <c:v>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Data'!$C$14:$G$14</c:f>
              <c:numCache>
                <c:ptCount val="5"/>
                <c:pt idx="0">
                  <c:v>0.14317828026195492</c:v>
                </c:pt>
                <c:pt idx="1">
                  <c:v>0.18331139817674796</c:v>
                </c:pt>
                <c:pt idx="2">
                  <c:v>0.223444516091541</c:v>
                </c:pt>
                <c:pt idx="3">
                  <c:v>0.25</c:v>
                </c:pt>
                <c:pt idx="4">
                  <c:v>0.25</c:v>
                </c:pt>
              </c:numCache>
            </c:numRef>
          </c:xVal>
          <c:yVal>
            <c:numRef>
              <c:f>'Plot Data'!$H$14:$L$14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13.308425221887719</c:v>
                </c:pt>
                <c:pt idx="4">
                  <c:v>13.308425221887719</c:v>
                </c:pt>
              </c:numCache>
            </c:numRef>
          </c:yVal>
          <c:smooth val="0"/>
        </c:ser>
        <c:ser>
          <c:idx val="1"/>
          <c:order val="2"/>
          <c:tx>
            <c:v>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Data'!$C$15:$G$15</c:f>
              <c:numCache>
                <c:ptCount val="5"/>
                <c:pt idx="0">
                  <c:v>0.07527477085193932</c:v>
                </c:pt>
                <c:pt idx="1">
                  <c:v>0.11540788876673236</c:v>
                </c:pt>
                <c:pt idx="2">
                  <c:v>0.1555410066815254</c:v>
                </c:pt>
                <c:pt idx="3">
                  <c:v>0.19567412459631842</c:v>
                </c:pt>
                <c:pt idx="4">
                  <c:v>0.23580724251111146</c:v>
                </c:pt>
              </c:numCache>
            </c:numRef>
          </c:xVal>
          <c:yVal>
            <c:numRef>
              <c:f>'Plot Data'!$H$15:$L$15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Data'!$C$16:$G$16</c:f>
              <c:numCache>
                <c:ptCount val="5"/>
                <c:pt idx="0">
                  <c:v>0.05264026771526745</c:v>
                </c:pt>
                <c:pt idx="1">
                  <c:v>0.09277338563006048</c:v>
                </c:pt>
                <c:pt idx="2">
                  <c:v>0.1329065035448535</c:v>
                </c:pt>
                <c:pt idx="3">
                  <c:v>0.17303962145964655</c:v>
                </c:pt>
                <c:pt idx="4">
                  <c:v>0.21317273937443956</c:v>
                </c:pt>
              </c:numCache>
            </c:numRef>
          </c:xVal>
          <c:yVal>
            <c:numRef>
              <c:f>'Plot Data'!$H$16:$L$16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3"/>
          <c:order val="4"/>
          <c:tx>
            <c:v>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Data'!$C$17:$G$17</c:f>
              <c:numCache>
                <c:ptCount val="5"/>
                <c:pt idx="0">
                  <c:v>0.041323016146931506</c:v>
                </c:pt>
                <c:pt idx="1">
                  <c:v>0.08145613406172454</c:v>
                </c:pt>
                <c:pt idx="2">
                  <c:v>0.12158925197651758</c:v>
                </c:pt>
                <c:pt idx="3">
                  <c:v>0.1617223698913106</c:v>
                </c:pt>
                <c:pt idx="4">
                  <c:v>0.20185548780610366</c:v>
                </c:pt>
              </c:numCache>
            </c:numRef>
          </c:xVal>
          <c:yVal>
            <c:numRef>
              <c:f>'Plot Data'!$H$17:$L$17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4"/>
          <c:order val="5"/>
          <c:tx>
            <c:v>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Data'!$C$18:$G$18</c:f>
              <c:numCache>
                <c:ptCount val="5"/>
                <c:pt idx="0">
                  <c:v>0.034532665205929944</c:v>
                </c:pt>
                <c:pt idx="1">
                  <c:v>0.07466578312072299</c:v>
                </c:pt>
                <c:pt idx="2">
                  <c:v>0.11479890103551602</c:v>
                </c:pt>
                <c:pt idx="3">
                  <c:v>0.15493201895030906</c:v>
                </c:pt>
                <c:pt idx="4">
                  <c:v>0.19506513686510207</c:v>
                </c:pt>
              </c:numCache>
            </c:numRef>
          </c:xVal>
          <c:yVal>
            <c:numRef>
              <c:f>'Plot Data'!$H$18:$L$18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5"/>
          <c:order val="6"/>
          <c:tx>
            <c:v>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Data'!$C$19:$G$19</c:f>
              <c:numCache>
                <c:ptCount val="5"/>
                <c:pt idx="0">
                  <c:v>0.030005764578595575</c:v>
                </c:pt>
                <c:pt idx="1">
                  <c:v>0.07013888249338861</c:v>
                </c:pt>
                <c:pt idx="2">
                  <c:v>0.11027200040818164</c:v>
                </c:pt>
                <c:pt idx="3">
                  <c:v>0.15040511832297468</c:v>
                </c:pt>
                <c:pt idx="4">
                  <c:v>0.1905382362377677</c:v>
                </c:pt>
              </c:numCache>
            </c:numRef>
          </c:xVal>
          <c:yVal>
            <c:numRef>
              <c:f>'Plot Data'!$H$19:$L$19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6"/>
          <c:order val="7"/>
          <c:tx>
            <c:v>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Data'!$C$20:$G$20</c:f>
              <c:numCache>
                <c:ptCount val="5"/>
                <c:pt idx="0">
                  <c:v>0.026772264130499594</c:v>
                </c:pt>
                <c:pt idx="1">
                  <c:v>0.06690538204529262</c:v>
                </c:pt>
                <c:pt idx="2">
                  <c:v>0.10703849996008566</c:v>
                </c:pt>
                <c:pt idx="3">
                  <c:v>0.1471716178748787</c:v>
                </c:pt>
                <c:pt idx="4">
                  <c:v>0.18730473578967172</c:v>
                </c:pt>
              </c:numCache>
            </c:numRef>
          </c:xVal>
          <c:yVal>
            <c:numRef>
              <c:f>'Plot Data'!$H$20:$L$20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7"/>
          <c:order val="8"/>
          <c:tx>
            <c:v>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Data'!$C$21:$G$21</c:f>
              <c:numCache>
                <c:ptCount val="5"/>
                <c:pt idx="0">
                  <c:v>0.024347138794427608</c:v>
                </c:pt>
                <c:pt idx="1">
                  <c:v>0.06448025670922064</c:v>
                </c:pt>
                <c:pt idx="2">
                  <c:v>0.10461337462401368</c:v>
                </c:pt>
                <c:pt idx="3">
                  <c:v>0.14474649253880673</c:v>
                </c:pt>
                <c:pt idx="4">
                  <c:v>0.18487961045359974</c:v>
                </c:pt>
              </c:numCache>
            </c:numRef>
          </c:xVal>
          <c:yVal>
            <c:numRef>
              <c:f>'Plot Data'!$H$21:$L$21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8"/>
          <c:order val="9"/>
          <c:tx>
            <c:v>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Data'!$C$22:$G$22</c:f>
              <c:numCache>
                <c:ptCount val="5"/>
                <c:pt idx="0">
                  <c:v>0.022460930199704958</c:v>
                </c:pt>
                <c:pt idx="1">
                  <c:v>0.062594048114498</c:v>
                </c:pt>
                <c:pt idx="2">
                  <c:v>0.10272716602929104</c:v>
                </c:pt>
                <c:pt idx="3">
                  <c:v>0.14286028394408407</c:v>
                </c:pt>
                <c:pt idx="4">
                  <c:v>0.1829934018588771</c:v>
                </c:pt>
              </c:numCache>
            </c:numRef>
          </c:xVal>
          <c:yVal>
            <c:numRef>
              <c:f>'Plot Data'!$H$22:$L$22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9"/>
          <c:order val="10"/>
          <c:tx>
            <c:v>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Data'!$C$23:$G$23</c:f>
              <c:numCache>
                <c:ptCount val="5"/>
                <c:pt idx="0">
                  <c:v>0.02095196332392683</c:v>
                </c:pt>
                <c:pt idx="1">
                  <c:v>0.06108508123871986</c:v>
                </c:pt>
                <c:pt idx="2">
                  <c:v>0.10121819915351289</c:v>
                </c:pt>
                <c:pt idx="3">
                  <c:v>0.14135131706830592</c:v>
                </c:pt>
                <c:pt idx="4">
                  <c:v>0.181484434983099</c:v>
                </c:pt>
              </c:numCache>
            </c:numRef>
          </c:xVal>
          <c:yVal>
            <c:numRef>
              <c:f>'Plot Data'!$H$23:$L$23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0"/>
          <c:order val="11"/>
          <c:tx>
            <c:v>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Data'!$C$24:$G$24</c:f>
              <c:numCache>
                <c:ptCount val="5"/>
                <c:pt idx="0">
                  <c:v>0.019717354061926543</c:v>
                </c:pt>
                <c:pt idx="1">
                  <c:v>0.059850471976719576</c:v>
                </c:pt>
                <c:pt idx="2">
                  <c:v>0.09998358989151261</c:v>
                </c:pt>
                <c:pt idx="3">
                  <c:v>0.14011670780630564</c:v>
                </c:pt>
                <c:pt idx="4">
                  <c:v>0.18024982572109868</c:v>
                </c:pt>
              </c:numCache>
            </c:numRef>
          </c:xVal>
          <c:yVal>
            <c:numRef>
              <c:f>'Plot Data'!$H$24:$L$24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1"/>
          <c:order val="12"/>
          <c:tx>
            <c:v>12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Data'!$C$25:$G$25</c:f>
              <c:numCache>
                <c:ptCount val="5"/>
                <c:pt idx="0">
                  <c:v>0.01868851301025964</c:v>
                </c:pt>
                <c:pt idx="1">
                  <c:v>0.05882163092505267</c:v>
                </c:pt>
                <c:pt idx="2">
                  <c:v>0.0989547488398457</c:v>
                </c:pt>
                <c:pt idx="3">
                  <c:v>0.13908786675463874</c:v>
                </c:pt>
                <c:pt idx="4">
                  <c:v>0.17922098466943176</c:v>
                </c:pt>
              </c:numCache>
            </c:numRef>
          </c:xVal>
          <c:yVal>
            <c:numRef>
              <c:f>'Plot Data'!$H$25:$L$25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2"/>
          <c:order val="13"/>
          <c:tx>
            <c:v>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Data'!$C$26:$G$26</c:f>
              <c:numCache>
                <c:ptCount val="5"/>
                <c:pt idx="0">
                  <c:v>0.017817955197310723</c:v>
                </c:pt>
                <c:pt idx="1">
                  <c:v>0.05795107311210376</c:v>
                </c:pt>
                <c:pt idx="2">
                  <c:v>0.09808419102689679</c:v>
                </c:pt>
                <c:pt idx="3">
                  <c:v>0.13821730894168982</c:v>
                </c:pt>
                <c:pt idx="4">
                  <c:v>0.17835042685648284</c:v>
                </c:pt>
              </c:numCache>
            </c:numRef>
          </c:xVal>
          <c:yVal>
            <c:numRef>
              <c:f>'Plot Data'!$H$26:$L$26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3"/>
          <c:order val="14"/>
          <c:tx>
            <c:v>14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Data'!$C$27:$G$27</c:f>
              <c:numCache>
                <c:ptCount val="5"/>
                <c:pt idx="0">
                  <c:v>0.01707176278621165</c:v>
                </c:pt>
                <c:pt idx="1">
                  <c:v>0.057204880701004684</c:v>
                </c:pt>
                <c:pt idx="2">
                  <c:v>0.09733799861579771</c:v>
                </c:pt>
                <c:pt idx="3">
                  <c:v>0.13747111653059074</c:v>
                </c:pt>
                <c:pt idx="4">
                  <c:v>0.17760423444538379</c:v>
                </c:pt>
              </c:numCache>
            </c:numRef>
          </c:xVal>
          <c:yVal>
            <c:numRef>
              <c:f>'Plot Data'!$H$27:$L$27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4"/>
          <c:order val="15"/>
          <c:tx>
            <c:v>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Data'!$C$28:$G$28</c:f>
              <c:numCache>
                <c:ptCount val="5"/>
                <c:pt idx="0">
                  <c:v>0.016425062696592455</c:v>
                </c:pt>
                <c:pt idx="1">
                  <c:v>0.05655818061138549</c:v>
                </c:pt>
                <c:pt idx="2">
                  <c:v>0.09669129852617853</c:v>
                </c:pt>
                <c:pt idx="3">
                  <c:v>0.13682441644097157</c:v>
                </c:pt>
                <c:pt idx="4">
                  <c:v>0.17695753435576458</c:v>
                </c:pt>
              </c:numCache>
            </c:numRef>
          </c:xVal>
          <c:yVal>
            <c:numRef>
              <c:f>'Plot Data'!$H$28:$L$28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5"/>
          <c:order val="16"/>
          <c:tx>
            <c:v>16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Data'!$C$29:$G$29</c:f>
              <c:numCache>
                <c:ptCount val="5"/>
                <c:pt idx="0">
                  <c:v>0.015859200118175657</c:v>
                </c:pt>
                <c:pt idx="1">
                  <c:v>0.055992318032968696</c:v>
                </c:pt>
                <c:pt idx="2">
                  <c:v>0.09612543594776173</c:v>
                </c:pt>
                <c:pt idx="3">
                  <c:v>0.13625855386255475</c:v>
                </c:pt>
                <c:pt idx="4">
                  <c:v>0.17639167177734777</c:v>
                </c:pt>
              </c:numCache>
            </c:numRef>
          </c:xVal>
          <c:yVal>
            <c:numRef>
              <c:f>'Plot Data'!$H$29:$L$29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6"/>
          <c:order val="17"/>
          <c:tx>
            <c:v>17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Data'!$C$30:$G$30</c:f>
              <c:numCache>
                <c:ptCount val="5"/>
                <c:pt idx="0">
                  <c:v>0.015359909607807896</c:v>
                </c:pt>
                <c:pt idx="1">
                  <c:v>0.05549302752260092</c:v>
                </c:pt>
                <c:pt idx="2">
                  <c:v>0.09562614543739396</c:v>
                </c:pt>
                <c:pt idx="3">
                  <c:v>0.135759263352187</c:v>
                </c:pt>
                <c:pt idx="4">
                  <c:v>0.17589238126698004</c:v>
                </c:pt>
              </c:numCache>
            </c:numRef>
          </c:xVal>
          <c:yVal>
            <c:numRef>
              <c:f>'Plot Data'!$H$30:$L$30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7"/>
          <c:order val="18"/>
          <c:tx>
            <c:v>18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Data'!$C$31:$G$31</c:f>
              <c:numCache>
                <c:ptCount val="5"/>
                <c:pt idx="0">
                  <c:v>0.01491609582081433</c:v>
                </c:pt>
                <c:pt idx="1">
                  <c:v>0.05504921373560736</c:v>
                </c:pt>
                <c:pt idx="2">
                  <c:v>0.09518233165040041</c:v>
                </c:pt>
                <c:pt idx="3">
                  <c:v>0.13531544956519345</c:v>
                </c:pt>
                <c:pt idx="4">
                  <c:v>0.17544856747998647</c:v>
                </c:pt>
              </c:numCache>
            </c:numRef>
          </c:xVal>
          <c:yVal>
            <c:numRef>
              <c:f>'Plot Data'!$H$31:$L$31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8"/>
          <c:order val="19"/>
          <c:tx>
            <c:v>19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Data'!$C$32:$G$32</c:f>
              <c:numCache>
                <c:ptCount val="5"/>
                <c:pt idx="0">
                  <c:v>0.014518999274556927</c:v>
                </c:pt>
                <c:pt idx="1">
                  <c:v>0.05465211718934996</c:v>
                </c:pt>
                <c:pt idx="2">
                  <c:v>0.094785235104143</c:v>
                </c:pt>
                <c:pt idx="3">
                  <c:v>0.13491835301893604</c:v>
                </c:pt>
                <c:pt idx="4">
                  <c:v>0.17505147093372905</c:v>
                </c:pt>
              </c:numCache>
            </c:numRef>
          </c:xVal>
          <c:yVal>
            <c:numRef>
              <c:f>'Plot Data'!$H$32:$L$32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9"/>
          <c:order val="20"/>
          <c:tx>
            <c:v>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Data'!$C$33:$G$33</c:f>
              <c:numCache>
                <c:ptCount val="5"/>
                <c:pt idx="0">
                  <c:v>0.01416161238292527</c:v>
                </c:pt>
                <c:pt idx="1">
                  <c:v>0.0542947302977183</c:v>
                </c:pt>
                <c:pt idx="2">
                  <c:v>0.09442784821251135</c:v>
                </c:pt>
                <c:pt idx="3">
                  <c:v>0.1345609661273044</c:v>
                </c:pt>
                <c:pt idx="4">
                  <c:v>0.1746940840420974</c:v>
                </c:pt>
              </c:numCache>
            </c:numRef>
          </c:xVal>
          <c:yVal>
            <c:numRef>
              <c:f>'Plot Data'!$H$33:$L$33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25"/>
          <c:order val="22"/>
          <c:tx>
            <c:v>AltEnergy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delete val="1"/>
            </c:dLbl>
            <c:delete val="1"/>
          </c:dLbls>
          <c:xVal>
            <c:numRef>
              <c:f>'Alternative Energy'!$F$16:$F$20</c:f>
              <c:numCache>
                <c:ptCount val="5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</c:numCache>
            </c:numRef>
          </c:xVal>
          <c:yVal>
            <c:numRef>
              <c:f>'Alternative Energy'!$G$16:$G$20</c:f>
              <c:numCache>
                <c:ptCount val="5"/>
                <c:pt idx="0">
                  <c:v>9.80178867455186</c:v>
                </c:pt>
                <c:pt idx="1">
                  <c:v>9.251341505913894</c:v>
                </c:pt>
                <c:pt idx="2">
                  <c:v>8.70089433727593</c:v>
                </c:pt>
                <c:pt idx="3">
                  <c:v>8.150447168637964</c:v>
                </c:pt>
                <c:pt idx="4">
                  <c:v>7.6</c:v>
                </c:pt>
              </c:numCache>
            </c:numRef>
          </c:yVal>
          <c:smooth val="0"/>
        </c:ser>
        <c:axId val="43093967"/>
        <c:axId val="52301384"/>
      </c:scatterChart>
      <c:scatterChart>
        <c:scatterStyle val="lineMarker"/>
        <c:varyColors val="0"/>
        <c:ser>
          <c:idx val="21"/>
          <c:order val="21"/>
          <c:tx>
            <c:v>Current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Data!$C$30</c:f>
              <c:numCache>
                <c:ptCount val="1"/>
                <c:pt idx="0">
                  <c:v>0.060485195806379864</c:v>
                </c:pt>
              </c:numCache>
            </c:numRef>
          </c:xVal>
          <c:yVal>
            <c:numRef>
              <c:f>Data!$C$31</c:f>
              <c:numCache>
                <c:ptCount val="1"/>
                <c:pt idx="0">
                  <c:v>7.602039838980245</c:v>
                </c:pt>
              </c:numCache>
            </c:numRef>
          </c:yVal>
          <c:smooth val="0"/>
        </c:ser>
        <c:axId val="950409"/>
        <c:axId val="8553682"/>
      </c:scatterChart>
      <c:valAx>
        <c:axId val="43093967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Average Cost of Power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2301384"/>
        <c:crosses val="autoZero"/>
        <c:crossBetween val="midCat"/>
        <c:dispUnits/>
        <c:majorUnit val="0.05"/>
        <c:minorUnit val="0.01"/>
      </c:valAx>
      <c:valAx>
        <c:axId val="52301384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Cost of Fuel ($ / Million Btu)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093967"/>
        <c:crosses val="autoZero"/>
        <c:crossBetween val="midCat"/>
        <c:dispUnits/>
        <c:majorUnit val="2.5"/>
        <c:minorUnit val="0.5"/>
      </c:valAx>
      <c:valAx>
        <c:axId val="950409"/>
        <c:scaling>
          <c:orientation val="minMax"/>
        </c:scaling>
        <c:axPos val="b"/>
        <c:delete val="1"/>
        <c:majorTickMark val="in"/>
        <c:minorTickMark val="none"/>
        <c:tickLblPos val="nextTo"/>
        <c:crossAx val="8553682"/>
        <c:crosses val="max"/>
        <c:crossBetween val="midCat"/>
        <c:dispUnits/>
      </c:valAx>
      <c:valAx>
        <c:axId val="8553682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in"/>
        <c:tickLblPos val="none"/>
        <c:crossAx val="950409"/>
        <c:crosses val="max"/>
        <c:crossBetween val="midCat"/>
        <c:dispUnits/>
        <c:majorUnit val="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Electric Dehumidifiers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6775"/>
          <c:w val="0.94325"/>
          <c:h val="0.894"/>
        </c:manualLayout>
      </c:layout>
      <c:scatterChart>
        <c:scatterStyle val="lineMarker"/>
        <c:varyColors val="0"/>
        <c:ser>
          <c:idx val="1"/>
          <c:order val="1"/>
          <c:tx>
            <c:v>W / lb 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Equipment!$B$140:$B$150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Equipment!$G$140:$G$150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9874275"/>
        <c:axId val="21759612"/>
      </c:scatterChart>
      <c:scatterChart>
        <c:scatterStyle val="lineMarker"/>
        <c:varyColors val="0"/>
        <c:ser>
          <c:idx val="0"/>
          <c:order val="0"/>
          <c:tx>
            <c:v>W / cfm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Equipment!$B$140:$B$150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Equipment!$F$140:$F$150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1618781"/>
        <c:axId val="17698118"/>
      </c:scatterChart>
      <c:valAx>
        <c:axId val="9874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Capacity (scfm)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in"/>
        <c:tickLblPos val="nextTo"/>
        <c:crossAx val="21759612"/>
        <c:crosses val="autoZero"/>
        <c:crossBetween val="midCat"/>
        <c:dispUnits/>
      </c:valAx>
      <c:valAx>
        <c:axId val="21759612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Power (W / lb water)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crossAx val="9874275"/>
        <c:crosses val="autoZero"/>
        <c:crossBetween val="midCat"/>
        <c:dispUnits/>
      </c:valAx>
      <c:valAx>
        <c:axId val="61618781"/>
        <c:scaling>
          <c:orientation val="minMax"/>
        </c:scaling>
        <c:axPos val="b"/>
        <c:delete val="1"/>
        <c:majorTickMark val="in"/>
        <c:minorTickMark val="none"/>
        <c:tickLblPos val="nextTo"/>
        <c:crossAx val="17698118"/>
        <c:crosses val="max"/>
        <c:crossBetween val="midCat"/>
        <c:dispUnits/>
      </c:valAx>
      <c:valAx>
        <c:axId val="17698118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Power (W / cfm)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616187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69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Electric Dehumdifiers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Equipment!$B$140:$B$150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Equipment!$E$140:$E$150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25065335"/>
        <c:axId val="24261424"/>
      </c:scatterChart>
      <c:valAx>
        <c:axId val="25065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Capacity (scfm)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24261424"/>
        <c:crosses val="autoZero"/>
        <c:crossBetween val="midCat"/>
        <c:dispUnits/>
      </c:valAx>
      <c:valAx>
        <c:axId val="24261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 Removal (lb / 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250653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24"/>
          <c:w val="0.88425"/>
          <c:h val="0.90925"/>
        </c:manualLayout>
      </c:layout>
      <c:scatterChart>
        <c:scatterStyle val="line"/>
        <c:varyColors val="0"/>
        <c:ser>
          <c:idx val="0"/>
          <c:order val="0"/>
          <c:tx>
            <c:v>gas turbines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Equipment!$B$12:$B$15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Equipment!$F$12:$F$15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recip engines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Equipment!$B$17:$B$19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Equipment!$F$17:$F$19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microturbines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Equipment!$B$21:$B$23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Equipment!$F$21:$F$23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fuel cells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Equipment!$B$25:$B$27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Equipment!$F$25:$F$27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double-effect chiller</c:v>
          </c:tx>
          <c:spPr>
            <a:ln w="381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Equipment!$B$194:$B$197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Equipment!$J$194:$J$197</c:f>
              <c:numCache>
                <c:ptCount val="4"/>
                <c:pt idx="0">
                  <c:v>298.0878902669752</c:v>
                </c:pt>
                <c:pt idx="1">
                  <c:v>212.41421564722614</c:v>
                </c:pt>
                <c:pt idx="2">
                  <c:v>196.5433483636363</c:v>
                </c:pt>
                <c:pt idx="3">
                  <c:v>192.93790832553788</c:v>
                </c:pt>
              </c:numCache>
            </c:numRef>
          </c:yVal>
          <c:smooth val="0"/>
        </c:ser>
        <c:ser>
          <c:idx val="5"/>
          <c:order val="5"/>
          <c:tx>
            <c:v>single-effect chiller</c:v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Equipment!$B$199:$B$201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Equipment!$J$199:$J$201</c:f>
              <c:numCache>
                <c:ptCount val="3"/>
                <c:pt idx="0">
                  <c:v>164.096625</c:v>
                </c:pt>
                <c:pt idx="1">
                  <c:v>124.826625</c:v>
                </c:pt>
                <c:pt idx="2">
                  <c:v>60.07114696041666</c:v>
                </c:pt>
              </c:numCache>
            </c:numRef>
          </c:yVal>
          <c:smooth val="0"/>
        </c:ser>
        <c:axId val="17026225"/>
        <c:axId val="19018298"/>
      </c:scatterChart>
      <c:valAx>
        <c:axId val="17026225"/>
        <c:scaling>
          <c:logBase val="10"/>
          <c:orientation val="minMax"/>
          <c:max val="1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Generator Capacity (kW)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18298"/>
        <c:crosses val="autoZero"/>
        <c:crossBetween val="midCat"/>
        <c:dispUnits/>
      </c:valAx>
      <c:valAx>
        <c:axId val="19018298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Installed Cost ($/kW)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26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Electric Dehumidifiers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65"/>
          <c:w val="0.89725"/>
          <c:h val="0.871"/>
        </c:manualLayout>
      </c:layout>
      <c:scatterChart>
        <c:scatterStyle val="lineMarker"/>
        <c:varyColors val="0"/>
        <c:ser>
          <c:idx val="1"/>
          <c:order val="1"/>
          <c:tx>
            <c:v>W / lb 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Dehumidifiers!$O$4:$O$14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Dehumidifiers!$T$4:$T$14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6946955"/>
        <c:axId val="64087140"/>
      </c:scatterChart>
      <c:scatterChart>
        <c:scatterStyle val="lineMarker"/>
        <c:varyColors val="0"/>
        <c:ser>
          <c:idx val="0"/>
          <c:order val="0"/>
          <c:tx>
            <c:v>W / cfm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xVal>
            <c:numRef>
              <c:f>Dehumidifiers!$O$4:$O$14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Dehumidifiers!$S$4:$S$14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39913349"/>
        <c:axId val="23675822"/>
      </c:scatterChart>
      <c:valAx>
        <c:axId val="36946955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in"/>
        <c:tickLblPos val="nextTo"/>
        <c:crossAx val="64087140"/>
        <c:crosses val="autoZero"/>
        <c:crossBetween val="midCat"/>
        <c:dispUnits/>
      </c:valAx>
      <c:valAx>
        <c:axId val="64087140"/>
        <c:scaling>
          <c:orientation val="minMax"/>
          <c:max val="4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crossAx val="36946955"/>
        <c:crosses val="autoZero"/>
        <c:crossBetween val="midCat"/>
        <c:dispUnits/>
      </c:valAx>
      <c:valAx>
        <c:axId val="39913349"/>
        <c:scaling>
          <c:orientation val="minMax"/>
        </c:scaling>
        <c:axPos val="b"/>
        <c:delete val="1"/>
        <c:majorTickMark val="in"/>
        <c:minorTickMark val="none"/>
        <c:tickLblPos val="nextTo"/>
        <c:crossAx val="23675822"/>
        <c:crosses val="autoZero"/>
        <c:crossBetween val="midCat"/>
        <c:dispUnits/>
      </c:valAx>
      <c:valAx>
        <c:axId val="23675822"/>
        <c:scaling>
          <c:orientation val="minMax"/>
          <c:max val="4"/>
        </c:scaling>
        <c:axPos val="l"/>
        <c:delete val="0"/>
        <c:numFmt formatCode="General" sourceLinked="1"/>
        <c:majorTickMark val="in"/>
        <c:minorTickMark val="in"/>
        <c:tickLblPos val="nextTo"/>
        <c:crossAx val="399133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"/>
          <c:y val="0.68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Electric Dehumdifiers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Dehumidifiers!$O$4:$O$14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Dehumidifiers!$R$4:$R$14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11755807"/>
        <c:axId val="38693400"/>
      </c:scatterChart>
      <c:valAx>
        <c:axId val="1175580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38693400"/>
        <c:crosses val="autoZero"/>
        <c:crossBetween val="midCat"/>
        <c:dispUnits/>
      </c:valAx>
      <c:valAx>
        <c:axId val="3869340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1755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Desiccant Systems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97"/>
          <c:w val="0.8825"/>
          <c:h val="0.82225"/>
        </c:manualLayout>
      </c:layout>
      <c:scatterChart>
        <c:scatterStyle val="smoothMarker"/>
        <c:varyColors val="0"/>
        <c:ser>
          <c:idx val="0"/>
          <c:order val="0"/>
          <c:tx>
            <c:v>Reference Installed Cost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Dehumidifiers!$S$20:$U$20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Dehumidifiers!$S$21:$U$21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Interpolated Installed Cost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Dehumidifiers!$E$6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Dehumidifiers!$F$4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12696281"/>
        <c:axId val="47157666"/>
      </c:scatterChart>
      <c:scatterChart>
        <c:scatterStyle val="lineMarker"/>
        <c:varyColors val="0"/>
        <c:ser>
          <c:idx val="2"/>
          <c:order val="2"/>
          <c:tx>
            <c:v>Reference O&amp;M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Dehumidifiers!$S$20:$U$20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Dehumidifiers!$S$22:$U$22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Interpolated O&amp;M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Dehumidifiers!$E$6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Dehumidifiers!$F$5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21765811"/>
        <c:axId val="61674572"/>
      </c:scatterChart>
      <c:val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Process Air 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47157666"/>
        <c:crosses val="autoZero"/>
        <c:crossBetween val="midCat"/>
        <c:dispUnits/>
      </c:valAx>
      <c:valAx>
        <c:axId val="47157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Installed Cost ($/cfm)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crossAx val="12696281"/>
        <c:crosses val="autoZero"/>
        <c:crossBetween val="midCat"/>
        <c:dispUnits/>
      </c:valAx>
      <c:valAx>
        <c:axId val="21765811"/>
        <c:scaling>
          <c:orientation val="minMax"/>
        </c:scaling>
        <c:axPos val="b"/>
        <c:delete val="1"/>
        <c:majorTickMark val="in"/>
        <c:minorTickMark val="none"/>
        <c:tickLblPos val="nextTo"/>
        <c:crossAx val="61674572"/>
        <c:crosses val="max"/>
        <c:crossBetween val="midCat"/>
        <c:dispUnits/>
      </c:valAx>
      <c:valAx>
        <c:axId val="61674572"/>
        <c:scaling>
          <c:orientation val="minMax"/>
        </c:scaling>
        <c:axPos val="l"/>
        <c:delete val="0"/>
        <c:numFmt formatCode="&quot;$&quot;#,##0.00" sourceLinked="0"/>
        <c:majorTickMark val="in"/>
        <c:minorTickMark val="in"/>
        <c:tickLblPos val="nextTo"/>
        <c:crossAx val="217658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5"/>
          <c:y val="0.381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'User Interface'!$C$4</c:f>
        </c:strRef>
      </c:tx>
      <c:layout>
        <c:manualLayout>
          <c:xMode val="factor"/>
          <c:yMode val="factor"/>
          <c:x val="0.042"/>
          <c:y val="-0.02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125"/>
          <c:y val="0.05075"/>
          <c:w val="0.9165"/>
          <c:h val="0.86975"/>
        </c:manualLayout>
      </c:layout>
      <c:scatterChart>
        <c:scatterStyle val="line"/>
        <c:varyColors val="0"/>
        <c:ser>
          <c:idx val="20"/>
          <c:order val="0"/>
          <c:tx>
            <c:v>Limiting Values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Data'!$C$34:$G$34</c:f>
              <c:numCache>
                <c:ptCount val="5"/>
                <c:pt idx="0">
                  <c:v>0.007507068460743739</c:v>
                </c:pt>
                <c:pt idx="1">
                  <c:v>0.04764018637553677</c:v>
                </c:pt>
                <c:pt idx="2">
                  <c:v>0.0877733042903298</c:v>
                </c:pt>
                <c:pt idx="3">
                  <c:v>0.12790642220512285</c:v>
                </c:pt>
                <c:pt idx="4">
                  <c:v>0.16803954011991587</c:v>
                </c:pt>
              </c:numCache>
            </c:numRef>
          </c:xVal>
          <c:yVal>
            <c:numRef>
              <c:f>'Plot Data'!$H$34:$L$34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0"/>
          <c:order val="1"/>
          <c:tx>
            <c:v>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Data'!$C$14:$G$14</c:f>
              <c:numCache>
                <c:ptCount val="5"/>
                <c:pt idx="0">
                  <c:v>0.14317828026195492</c:v>
                </c:pt>
                <c:pt idx="1">
                  <c:v>0.18331139817674796</c:v>
                </c:pt>
                <c:pt idx="2">
                  <c:v>0.223444516091541</c:v>
                </c:pt>
                <c:pt idx="3">
                  <c:v>0.25</c:v>
                </c:pt>
                <c:pt idx="4">
                  <c:v>0.25</c:v>
                </c:pt>
              </c:numCache>
            </c:numRef>
          </c:xVal>
          <c:yVal>
            <c:numRef>
              <c:f>'Plot Data'!$H$14:$L$14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13.308425221887719</c:v>
                </c:pt>
                <c:pt idx="4">
                  <c:v>13.308425221887719</c:v>
                </c:pt>
              </c:numCache>
            </c:numRef>
          </c:yVal>
          <c:smooth val="0"/>
        </c:ser>
        <c:ser>
          <c:idx val="1"/>
          <c:order val="2"/>
          <c:tx>
            <c:v>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Data'!$C$15:$G$15</c:f>
              <c:numCache>
                <c:ptCount val="5"/>
                <c:pt idx="0">
                  <c:v>0.07527477085193932</c:v>
                </c:pt>
                <c:pt idx="1">
                  <c:v>0.11540788876673236</c:v>
                </c:pt>
                <c:pt idx="2">
                  <c:v>0.1555410066815254</c:v>
                </c:pt>
                <c:pt idx="3">
                  <c:v>0.19567412459631842</c:v>
                </c:pt>
                <c:pt idx="4">
                  <c:v>0.23580724251111146</c:v>
                </c:pt>
              </c:numCache>
            </c:numRef>
          </c:xVal>
          <c:yVal>
            <c:numRef>
              <c:f>'Plot Data'!$H$15:$L$15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2"/>
          <c:order val="3"/>
          <c:tx>
            <c:v>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Data'!$C$16:$G$16</c:f>
              <c:numCache>
                <c:ptCount val="5"/>
                <c:pt idx="0">
                  <c:v>0.05264026771526745</c:v>
                </c:pt>
                <c:pt idx="1">
                  <c:v>0.09277338563006048</c:v>
                </c:pt>
                <c:pt idx="2">
                  <c:v>0.1329065035448535</c:v>
                </c:pt>
                <c:pt idx="3">
                  <c:v>0.17303962145964655</c:v>
                </c:pt>
                <c:pt idx="4">
                  <c:v>0.21317273937443956</c:v>
                </c:pt>
              </c:numCache>
            </c:numRef>
          </c:xVal>
          <c:yVal>
            <c:numRef>
              <c:f>'Plot Data'!$H$16:$L$16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4"/>
          <c:order val="5"/>
          <c:tx>
            <c:v>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Data'!$C$18:$G$18</c:f>
              <c:numCache>
                <c:ptCount val="5"/>
                <c:pt idx="0">
                  <c:v>0.034532665205929944</c:v>
                </c:pt>
                <c:pt idx="1">
                  <c:v>0.07466578312072299</c:v>
                </c:pt>
                <c:pt idx="2">
                  <c:v>0.11479890103551602</c:v>
                </c:pt>
                <c:pt idx="3">
                  <c:v>0.15493201895030906</c:v>
                </c:pt>
                <c:pt idx="4">
                  <c:v>0.19506513686510207</c:v>
                </c:pt>
              </c:numCache>
            </c:numRef>
          </c:xVal>
          <c:yVal>
            <c:numRef>
              <c:f>'Plot Data'!$H$18:$L$18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5"/>
          <c:order val="6"/>
          <c:tx>
            <c:v>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Data'!$C$19:$G$19</c:f>
              <c:numCache>
                <c:ptCount val="5"/>
                <c:pt idx="0">
                  <c:v>0.030005764578595575</c:v>
                </c:pt>
                <c:pt idx="1">
                  <c:v>0.07013888249338861</c:v>
                </c:pt>
                <c:pt idx="2">
                  <c:v>0.11027200040818164</c:v>
                </c:pt>
                <c:pt idx="3">
                  <c:v>0.15040511832297468</c:v>
                </c:pt>
                <c:pt idx="4">
                  <c:v>0.1905382362377677</c:v>
                </c:pt>
              </c:numCache>
            </c:numRef>
          </c:xVal>
          <c:yVal>
            <c:numRef>
              <c:f>'Plot Data'!$H$19:$L$19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6"/>
          <c:order val="7"/>
          <c:tx>
            <c:v>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Data'!$C$20:$G$20</c:f>
              <c:numCache>
                <c:ptCount val="5"/>
                <c:pt idx="0">
                  <c:v>0.026772264130499594</c:v>
                </c:pt>
                <c:pt idx="1">
                  <c:v>0.06690538204529262</c:v>
                </c:pt>
                <c:pt idx="2">
                  <c:v>0.10703849996008566</c:v>
                </c:pt>
                <c:pt idx="3">
                  <c:v>0.1471716178748787</c:v>
                </c:pt>
                <c:pt idx="4">
                  <c:v>0.18730473578967172</c:v>
                </c:pt>
              </c:numCache>
            </c:numRef>
          </c:xVal>
          <c:yVal>
            <c:numRef>
              <c:f>'Plot Data'!$H$20:$L$20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7"/>
          <c:order val="8"/>
          <c:tx>
            <c:v>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Data'!$C$21:$G$21</c:f>
              <c:numCache>
                <c:ptCount val="5"/>
                <c:pt idx="0">
                  <c:v>0.024347138794427608</c:v>
                </c:pt>
                <c:pt idx="1">
                  <c:v>0.06448025670922064</c:v>
                </c:pt>
                <c:pt idx="2">
                  <c:v>0.10461337462401368</c:v>
                </c:pt>
                <c:pt idx="3">
                  <c:v>0.14474649253880673</c:v>
                </c:pt>
                <c:pt idx="4">
                  <c:v>0.18487961045359974</c:v>
                </c:pt>
              </c:numCache>
            </c:numRef>
          </c:xVal>
          <c:yVal>
            <c:numRef>
              <c:f>'Plot Data'!$H$21:$L$21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8"/>
          <c:order val="9"/>
          <c:tx>
            <c:v>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Data'!$C$22:$G$22</c:f>
              <c:numCache>
                <c:ptCount val="5"/>
                <c:pt idx="0">
                  <c:v>0.022460930199704958</c:v>
                </c:pt>
                <c:pt idx="1">
                  <c:v>0.062594048114498</c:v>
                </c:pt>
                <c:pt idx="2">
                  <c:v>0.10272716602929104</c:v>
                </c:pt>
                <c:pt idx="3">
                  <c:v>0.14286028394408407</c:v>
                </c:pt>
                <c:pt idx="4">
                  <c:v>0.1829934018588771</c:v>
                </c:pt>
              </c:numCache>
            </c:numRef>
          </c:xVal>
          <c:yVal>
            <c:numRef>
              <c:f>'Plot Data'!$H$22:$L$22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9"/>
          <c:order val="10"/>
          <c:tx>
            <c:v>10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Data'!$C$23:$G$23</c:f>
              <c:numCache>
                <c:ptCount val="5"/>
                <c:pt idx="0">
                  <c:v>0.02095196332392683</c:v>
                </c:pt>
                <c:pt idx="1">
                  <c:v>0.06108508123871986</c:v>
                </c:pt>
                <c:pt idx="2">
                  <c:v>0.10121819915351289</c:v>
                </c:pt>
                <c:pt idx="3">
                  <c:v>0.14135131706830592</c:v>
                </c:pt>
                <c:pt idx="4">
                  <c:v>0.181484434983099</c:v>
                </c:pt>
              </c:numCache>
            </c:numRef>
          </c:xVal>
          <c:yVal>
            <c:numRef>
              <c:f>'Plot Data'!$H$23:$L$23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0"/>
          <c:order val="11"/>
          <c:tx>
            <c:v>11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Data'!$C$24:$G$24</c:f>
              <c:numCache>
                <c:ptCount val="5"/>
                <c:pt idx="0">
                  <c:v>0.019717354061926543</c:v>
                </c:pt>
                <c:pt idx="1">
                  <c:v>0.059850471976719576</c:v>
                </c:pt>
                <c:pt idx="2">
                  <c:v>0.09998358989151261</c:v>
                </c:pt>
                <c:pt idx="3">
                  <c:v>0.14011670780630564</c:v>
                </c:pt>
                <c:pt idx="4">
                  <c:v>0.18024982572109868</c:v>
                </c:pt>
              </c:numCache>
            </c:numRef>
          </c:xVal>
          <c:yVal>
            <c:numRef>
              <c:f>'Plot Data'!$H$24:$L$24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1"/>
          <c:order val="12"/>
          <c:tx>
            <c:v>12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Data'!$C$25:$G$25</c:f>
              <c:numCache>
                <c:ptCount val="5"/>
                <c:pt idx="0">
                  <c:v>0.01868851301025964</c:v>
                </c:pt>
                <c:pt idx="1">
                  <c:v>0.05882163092505267</c:v>
                </c:pt>
                <c:pt idx="2">
                  <c:v>0.0989547488398457</c:v>
                </c:pt>
                <c:pt idx="3">
                  <c:v>0.13908786675463874</c:v>
                </c:pt>
                <c:pt idx="4">
                  <c:v>0.17922098466943176</c:v>
                </c:pt>
              </c:numCache>
            </c:numRef>
          </c:xVal>
          <c:yVal>
            <c:numRef>
              <c:f>'Plot Data'!$H$25:$L$25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2"/>
          <c:order val="13"/>
          <c:tx>
            <c:v>13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Data'!$C$26:$G$26</c:f>
              <c:numCache>
                <c:ptCount val="5"/>
                <c:pt idx="0">
                  <c:v>0.017817955197310723</c:v>
                </c:pt>
                <c:pt idx="1">
                  <c:v>0.05795107311210376</c:v>
                </c:pt>
                <c:pt idx="2">
                  <c:v>0.09808419102689679</c:v>
                </c:pt>
                <c:pt idx="3">
                  <c:v>0.13821730894168982</c:v>
                </c:pt>
                <c:pt idx="4">
                  <c:v>0.17835042685648284</c:v>
                </c:pt>
              </c:numCache>
            </c:numRef>
          </c:xVal>
          <c:yVal>
            <c:numRef>
              <c:f>'Plot Data'!$H$26:$L$26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3"/>
          <c:order val="14"/>
          <c:tx>
            <c:v>14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Data'!$C$27:$G$27</c:f>
              <c:numCache>
                <c:ptCount val="5"/>
                <c:pt idx="0">
                  <c:v>0.01707176278621165</c:v>
                </c:pt>
                <c:pt idx="1">
                  <c:v>0.057204880701004684</c:v>
                </c:pt>
                <c:pt idx="2">
                  <c:v>0.09733799861579771</c:v>
                </c:pt>
                <c:pt idx="3">
                  <c:v>0.13747111653059074</c:v>
                </c:pt>
                <c:pt idx="4">
                  <c:v>0.17760423444538379</c:v>
                </c:pt>
              </c:numCache>
            </c:numRef>
          </c:xVal>
          <c:yVal>
            <c:numRef>
              <c:f>'Plot Data'!$H$27:$L$27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4"/>
          <c:order val="15"/>
          <c:tx>
            <c:v>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Data'!$C$28:$G$28</c:f>
              <c:numCache>
                <c:ptCount val="5"/>
                <c:pt idx="0">
                  <c:v>0.016425062696592455</c:v>
                </c:pt>
                <c:pt idx="1">
                  <c:v>0.05655818061138549</c:v>
                </c:pt>
                <c:pt idx="2">
                  <c:v>0.09669129852617853</c:v>
                </c:pt>
                <c:pt idx="3">
                  <c:v>0.13682441644097157</c:v>
                </c:pt>
                <c:pt idx="4">
                  <c:v>0.17695753435576458</c:v>
                </c:pt>
              </c:numCache>
            </c:numRef>
          </c:xVal>
          <c:yVal>
            <c:numRef>
              <c:f>'Plot Data'!$H$28:$L$28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5"/>
          <c:order val="16"/>
          <c:tx>
            <c:v>16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Data'!$C$29:$G$29</c:f>
              <c:numCache>
                <c:ptCount val="5"/>
                <c:pt idx="0">
                  <c:v>0.015859200118175657</c:v>
                </c:pt>
                <c:pt idx="1">
                  <c:v>0.055992318032968696</c:v>
                </c:pt>
                <c:pt idx="2">
                  <c:v>0.09612543594776173</c:v>
                </c:pt>
                <c:pt idx="3">
                  <c:v>0.13625855386255475</c:v>
                </c:pt>
                <c:pt idx="4">
                  <c:v>0.17639167177734777</c:v>
                </c:pt>
              </c:numCache>
            </c:numRef>
          </c:xVal>
          <c:yVal>
            <c:numRef>
              <c:f>'Plot Data'!$H$29:$L$29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6"/>
          <c:order val="17"/>
          <c:tx>
            <c:v>17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Data'!$C$30:$G$30</c:f>
              <c:numCache>
                <c:ptCount val="5"/>
                <c:pt idx="0">
                  <c:v>0.015359909607807896</c:v>
                </c:pt>
                <c:pt idx="1">
                  <c:v>0.05549302752260092</c:v>
                </c:pt>
                <c:pt idx="2">
                  <c:v>0.09562614543739396</c:v>
                </c:pt>
                <c:pt idx="3">
                  <c:v>0.135759263352187</c:v>
                </c:pt>
                <c:pt idx="4">
                  <c:v>0.17589238126698004</c:v>
                </c:pt>
              </c:numCache>
            </c:numRef>
          </c:xVal>
          <c:yVal>
            <c:numRef>
              <c:f>'Plot Data'!$H$30:$L$30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7"/>
          <c:order val="18"/>
          <c:tx>
            <c:v>18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Data'!$C$31:$G$31</c:f>
              <c:numCache>
                <c:ptCount val="5"/>
                <c:pt idx="0">
                  <c:v>0.01491609582081433</c:v>
                </c:pt>
                <c:pt idx="1">
                  <c:v>0.05504921373560736</c:v>
                </c:pt>
                <c:pt idx="2">
                  <c:v>0.09518233165040041</c:v>
                </c:pt>
                <c:pt idx="3">
                  <c:v>0.13531544956519345</c:v>
                </c:pt>
                <c:pt idx="4">
                  <c:v>0.17544856747998647</c:v>
                </c:pt>
              </c:numCache>
            </c:numRef>
          </c:xVal>
          <c:yVal>
            <c:numRef>
              <c:f>'Plot Data'!$H$31:$L$31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8"/>
          <c:order val="19"/>
          <c:tx>
            <c:v>19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Data'!$C$32:$G$32</c:f>
              <c:numCache>
                <c:ptCount val="5"/>
                <c:pt idx="0">
                  <c:v>0.014518999274556927</c:v>
                </c:pt>
                <c:pt idx="1">
                  <c:v>0.05465211718934996</c:v>
                </c:pt>
                <c:pt idx="2">
                  <c:v>0.094785235104143</c:v>
                </c:pt>
                <c:pt idx="3">
                  <c:v>0.13491835301893604</c:v>
                </c:pt>
                <c:pt idx="4">
                  <c:v>0.17505147093372905</c:v>
                </c:pt>
              </c:numCache>
            </c:numRef>
          </c:xVal>
          <c:yVal>
            <c:numRef>
              <c:f>'Plot Data'!$H$32:$L$32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19"/>
          <c:order val="20"/>
          <c:tx>
            <c:v>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Data'!$C$33:$G$33</c:f>
              <c:numCache>
                <c:ptCount val="5"/>
                <c:pt idx="0">
                  <c:v>0.01416161238292527</c:v>
                </c:pt>
                <c:pt idx="1">
                  <c:v>0.0542947302977183</c:v>
                </c:pt>
                <c:pt idx="2">
                  <c:v>0.09442784821251135</c:v>
                </c:pt>
                <c:pt idx="3">
                  <c:v>0.1345609661273044</c:v>
                </c:pt>
                <c:pt idx="4">
                  <c:v>0.1746940840420974</c:v>
                </c:pt>
              </c:numCache>
            </c:numRef>
          </c:xVal>
          <c:yVal>
            <c:numRef>
              <c:f>'Plot Data'!$H$33:$L$33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ser>
          <c:idx val="22"/>
          <c:order val="21"/>
          <c:tx>
            <c:v>Current Rates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Data!$C$30</c:f>
              <c:numCache>
                <c:ptCount val="1"/>
                <c:pt idx="0">
                  <c:v>0.060485195806379864</c:v>
                </c:pt>
              </c:numCache>
            </c:numRef>
          </c:xVal>
          <c:yVal>
            <c:numRef>
              <c:f>Data!$C$31</c:f>
              <c:numCache>
                <c:ptCount val="1"/>
                <c:pt idx="0">
                  <c:v>7.602039838980245</c:v>
                </c:pt>
              </c:numCache>
            </c:numRef>
          </c:yVal>
          <c:smooth val="0"/>
        </c:ser>
        <c:ser>
          <c:idx val="21"/>
          <c:order val="22"/>
          <c:tx>
            <c:v>WasteHeat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'Alternative Energy'!$F$16:$F$20</c:f>
              <c:numCache>
                <c:ptCount val="5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</c:numCache>
            </c:numRef>
          </c:xVal>
          <c:yVal>
            <c:numRef>
              <c:f>'Alternative Energy'!$G$16:$G$20</c:f>
              <c:numCache>
                <c:ptCount val="5"/>
                <c:pt idx="0">
                  <c:v>9.80178867455186</c:v>
                </c:pt>
                <c:pt idx="1">
                  <c:v>9.251341505913894</c:v>
                </c:pt>
                <c:pt idx="2">
                  <c:v>8.70089433727593</c:v>
                </c:pt>
                <c:pt idx="3">
                  <c:v>8.150447168637964</c:v>
                </c:pt>
                <c:pt idx="4">
                  <c:v>7.6</c:v>
                </c:pt>
              </c:numCache>
            </c:numRef>
          </c:yVal>
          <c:smooth val="0"/>
        </c:ser>
        <c:axId val="18200237"/>
        <c:axId val="29584406"/>
      </c:scatterChart>
      <c:scatterChart>
        <c:scatterStyle val="lineMarker"/>
        <c:varyColors val="0"/>
        <c:ser>
          <c:idx val="3"/>
          <c:order val="4"/>
          <c:tx>
            <c:v>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Data'!$C$17:$G$17</c:f>
              <c:numCache>
                <c:ptCount val="5"/>
                <c:pt idx="0">
                  <c:v>0.041323016146931506</c:v>
                </c:pt>
                <c:pt idx="1">
                  <c:v>0.08145613406172454</c:v>
                </c:pt>
                <c:pt idx="2">
                  <c:v>0.12158925197651758</c:v>
                </c:pt>
                <c:pt idx="3">
                  <c:v>0.1617223698913106</c:v>
                </c:pt>
                <c:pt idx="4">
                  <c:v>0.20185548780610366</c:v>
                </c:pt>
              </c:numCache>
            </c:numRef>
          </c:xVal>
          <c:yVal>
            <c:numRef>
              <c:f>'Plot Data'!$H$17:$L$17</c:f>
              <c:numCache>
                <c:ptCount val="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</c:numCache>
            </c:numRef>
          </c:yVal>
          <c:smooth val="0"/>
        </c:ser>
        <c:axId val="64933063"/>
        <c:axId val="47526656"/>
      </c:scatterChart>
      <c:valAx>
        <c:axId val="18200237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Average Cost of Power ($/kWh)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.00" sourceLinked="0"/>
        <c:majorTickMark val="in"/>
        <c:minorTickMark val="in"/>
        <c:tickLblPos val="nextTo"/>
        <c:crossAx val="29584406"/>
        <c:crosses val="autoZero"/>
        <c:crossBetween val="midCat"/>
        <c:dispUnits/>
        <c:majorUnit val="0.05"/>
        <c:minorUnit val="0.01"/>
      </c:valAx>
      <c:valAx>
        <c:axId val="29584406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Cost of Fuel ($ / Million Btu)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&quot;$&quot;#,##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200237"/>
        <c:crosses val="autoZero"/>
        <c:crossBetween val="midCat"/>
        <c:dispUnits/>
        <c:majorUnit val="2.5"/>
        <c:minorUnit val="0.5"/>
      </c:valAx>
      <c:valAx>
        <c:axId val="64933063"/>
        <c:scaling>
          <c:orientation val="minMax"/>
        </c:scaling>
        <c:axPos val="b"/>
        <c:delete val="1"/>
        <c:majorTickMark val="in"/>
        <c:minorTickMark val="none"/>
        <c:tickLblPos val="nextTo"/>
        <c:crossAx val="47526656"/>
        <c:crosses val="max"/>
        <c:crossBetween val="midCat"/>
        <c:dispUnits/>
      </c:valAx>
      <c:valAx>
        <c:axId val="47526656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in"/>
        <c:minorTickMark val="in"/>
        <c:tickLblPos val="none"/>
        <c:crossAx val="64933063"/>
        <c:crosses val="max"/>
        <c:crossBetween val="midCat"/>
        <c:dispUnits/>
        <c:majorUnit val="5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7.emf" /><Relationship Id="rId3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14.emf" /><Relationship Id="rId3" Type="http://schemas.openxmlformats.org/officeDocument/2006/relationships/image" Target="../media/image17.emf" /><Relationship Id="rId4" Type="http://schemas.openxmlformats.org/officeDocument/2006/relationships/image" Target="../media/image18.emf" /><Relationship Id="rId5" Type="http://schemas.openxmlformats.org/officeDocument/2006/relationships/image" Target="../media/image20.emf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26.emf" /><Relationship Id="rId9" Type="http://schemas.openxmlformats.org/officeDocument/2006/relationships/image" Target="../media/image27.emf" /><Relationship Id="rId10" Type="http://schemas.openxmlformats.org/officeDocument/2006/relationships/image" Target="../media/image19.emf" /><Relationship Id="rId11" Type="http://schemas.openxmlformats.org/officeDocument/2006/relationships/image" Target="../media/image24.emf" /><Relationship Id="rId12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3.emf" /><Relationship Id="rId9" Type="http://schemas.openxmlformats.org/officeDocument/2006/relationships/image" Target="../media/image11.emf" /><Relationship Id="rId10" Type="http://schemas.openxmlformats.org/officeDocument/2006/relationships/image" Target="../media/image2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</cdr:x>
      <cdr:y>0.152</cdr:y>
    </cdr:from>
    <cdr:to>
      <cdr:x>0.46325</cdr:x>
      <cdr:y>0.39775</cdr:y>
    </cdr:to>
    <cdr:grpSp>
      <cdr:nvGrpSpPr>
        <cdr:cNvPr id="1" name="Group 17"/>
        <cdr:cNvGrpSpPr>
          <a:grpSpLocks/>
        </cdr:cNvGrpSpPr>
      </cdr:nvGrpSpPr>
      <cdr:grpSpPr>
        <a:xfrm>
          <a:off x="1019175" y="600075"/>
          <a:ext cx="1209675" cy="981075"/>
          <a:chOff x="997130" y="433330"/>
          <a:chExt cx="1257620" cy="817512"/>
        </a:xfrm>
        <a:solidFill>
          <a:srgbClr val="FFFFFF"/>
        </a:solidFill>
      </cdr:grpSpPr>
      <cdr:sp>
        <cdr:nvSpPr>
          <cdr:cNvPr id="2" name="TextBox 1" hidden="1"/>
          <cdr:cNvSpPr txBox="1">
            <a:spLocks noChangeArrowheads="1"/>
          </cdr:cNvSpPr>
        </cdr:nvSpPr>
        <cdr:spPr>
          <a:xfrm>
            <a:off x="997130" y="433330"/>
            <a:ext cx="1257620" cy="817512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  5 yr payback……….
10 yr payback……….
15 yr payback……….
20 yr payback……..… Infinite payback……… 
Current Project……….</a:t>
            </a:r>
          </a:p>
        </cdr:txBody>
      </cdr:sp>
      <cdr:sp>
        <cdr:nvSpPr>
          <cdr:cNvPr id="3" name="Oval 2" hidden="1"/>
          <cdr:cNvSpPr>
            <a:spLocks noChangeAspect="1"/>
          </cdr:cNvSpPr>
        </cdr:nvSpPr>
        <cdr:spPr>
          <a:xfrm>
            <a:off x="2000396" y="857619"/>
            <a:ext cx="70427" cy="75415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Rectangle 3" hidden="1"/>
          <cdr:cNvSpPr>
            <a:spLocks noChangeAspect="1"/>
          </cdr:cNvSpPr>
        </cdr:nvSpPr>
        <cdr:spPr>
          <a:xfrm>
            <a:off x="2000396" y="461943"/>
            <a:ext cx="52191" cy="65605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4" hidden="1"/>
          <cdr:cNvSpPr>
            <a:spLocks noChangeAspect="1"/>
          </cdr:cNvSpPr>
        </cdr:nvSpPr>
        <cdr:spPr>
          <a:xfrm>
            <a:off x="2000396" y="581504"/>
            <a:ext cx="66654" cy="82773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5" hidden="1"/>
          <cdr:cNvSpPr>
            <a:spLocks noChangeAspect="1"/>
          </cdr:cNvSpPr>
        </cdr:nvSpPr>
        <cdr:spPr>
          <a:xfrm>
            <a:off x="2000396" y="718437"/>
            <a:ext cx="70427" cy="85226"/>
          </a:xfrm>
          <a:prstGeom prst="diamond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 hidden="1"/>
          <cdr:cNvSpPr>
            <a:spLocks noChangeAspect="1"/>
          </cdr:cNvSpPr>
        </cdr:nvSpPr>
        <cdr:spPr>
          <a:xfrm>
            <a:off x="2000396" y="984537"/>
            <a:ext cx="70427" cy="65605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 hidden="1"/>
          <cdr:cNvSpPr>
            <a:spLocks noChangeAspect="1"/>
          </cdr:cNvSpPr>
        </cdr:nvSpPr>
        <cdr:spPr>
          <a:xfrm>
            <a:off x="2000396" y="1104303"/>
            <a:ext cx="81116" cy="66423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0.60425</cdr:x>
      <cdr:y>0.32325</cdr:y>
    </cdr:from>
    <cdr:to>
      <cdr:x>0.67275</cdr:x>
      <cdr:y>0.3615</cdr:y>
    </cdr:to>
    <cdr:sp>
      <cdr:nvSpPr>
        <cdr:cNvPr id="9" name="TextBox 10" hidden="1"/>
        <cdr:cNvSpPr txBox="1">
          <a:spLocks noChangeArrowheads="1"/>
        </cdr:cNvSpPr>
      </cdr:nvSpPr>
      <cdr:spPr>
        <a:xfrm>
          <a:off x="2905125" y="1285875"/>
          <a:ext cx="333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0.38</cdr:x>
      <cdr:y>0.512</cdr:y>
    </cdr:from>
    <cdr:to>
      <cdr:x>0.44225</cdr:x>
      <cdr:y>0.55175</cdr:y>
    </cdr:to>
    <cdr:sp>
      <cdr:nvSpPr>
        <cdr:cNvPr id="10" name="TextBox 24"/>
        <cdr:cNvSpPr txBox="1">
          <a:spLocks noChangeArrowheads="1"/>
        </cdr:cNvSpPr>
      </cdr:nvSpPr>
      <cdr:spPr>
        <a:xfrm>
          <a:off x="1819275" y="2038350"/>
          <a:ext cx="2952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0.38</cdr:x>
      <cdr:y>0.4325</cdr:y>
    </cdr:from>
    <cdr:to>
      <cdr:x>0.44225</cdr:x>
      <cdr:y>0.47</cdr:y>
    </cdr:to>
    <cdr:sp>
      <cdr:nvSpPr>
        <cdr:cNvPr id="11" name="TextBox 25"/>
        <cdr:cNvSpPr txBox="1">
          <a:spLocks noChangeArrowheads="1"/>
        </cdr:cNvSpPr>
      </cdr:nvSpPr>
      <cdr:spPr>
        <a:xfrm>
          <a:off x="1819275" y="1724025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0.38</cdr:x>
      <cdr:y>0.473</cdr:y>
    </cdr:from>
    <cdr:to>
      <cdr:x>0.451</cdr:x>
      <cdr:y>0.512</cdr:y>
    </cdr:to>
    <cdr:sp>
      <cdr:nvSpPr>
        <cdr:cNvPr id="12" name="TextBox 26"/>
        <cdr:cNvSpPr txBox="1">
          <a:spLocks noChangeArrowheads="1"/>
        </cdr:cNvSpPr>
      </cdr:nvSpPr>
      <cdr:spPr>
        <a:xfrm>
          <a:off x="1819275" y="1885950"/>
          <a:ext cx="342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0.64775</cdr:x>
      <cdr:y>0.551</cdr:y>
    </cdr:from>
    <cdr:to>
      <cdr:x>0.94975</cdr:x>
      <cdr:y>0.78175</cdr:y>
    </cdr:to>
    <cdr:sp textlink="'Alternative Energy'!$I$11">
      <cdr:nvSpPr>
        <cdr:cNvPr id="13" name="TextBox 27"/>
        <cdr:cNvSpPr txBox="1">
          <a:spLocks noChangeArrowheads="1"/>
        </cdr:cNvSpPr>
      </cdr:nvSpPr>
      <cdr:spPr>
        <a:xfrm>
          <a:off x="3114675" y="2190750"/>
          <a:ext cx="1457325" cy="923925"/>
        </a:xfrm>
        <a:prstGeom prst="rec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fld id="{606f442a-3d8c-4d71-b857-98539008d9d8}" type="TxLink">
            <a:rPr lang="en-US" cap="none" sz="800" b="0" i="0" u="none" baseline="0">
              <a:latin typeface="Arial"/>
              <a:ea typeface="Arial"/>
              <a:cs typeface="Arial"/>
            </a:rPr>
            <a:t>Simple payback at current energy rates is -16.2 years. Payback at $0.060 / kWh and $7.60 / MMBtu is -16.2 years.</a:t>
          </a:fld>
        </a:p>
      </cdr:txBody>
    </cdr:sp>
  </cdr:relSizeAnchor>
  <cdr:relSizeAnchor xmlns:cdr="http://schemas.openxmlformats.org/drawingml/2006/chartDrawing">
    <cdr:from>
      <cdr:x>0.29375</cdr:x>
      <cdr:y>0.77075</cdr:y>
    </cdr:from>
    <cdr:to>
      <cdr:x>0.314</cdr:x>
      <cdr:y>0.79975</cdr:y>
    </cdr:to>
    <cdr:sp>
      <cdr:nvSpPr>
        <cdr:cNvPr id="14" name="TextBox 28"/>
        <cdr:cNvSpPr txBox="1">
          <a:spLocks noChangeArrowheads="1"/>
        </cdr:cNvSpPr>
      </cdr:nvSpPr>
      <cdr:spPr>
        <a:xfrm>
          <a:off x="1409700" y="3067050"/>
          <a:ext cx="95250" cy="11430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0.25325</cdr:x>
      <cdr:y>0.77075</cdr:y>
    </cdr:from>
    <cdr:to>
      <cdr:x>0.27275</cdr:x>
      <cdr:y>0.79975</cdr:y>
    </cdr:to>
    <cdr:sp>
      <cdr:nvSpPr>
        <cdr:cNvPr id="15" name="TextBox 29"/>
        <cdr:cNvSpPr txBox="1">
          <a:spLocks noChangeArrowheads="1"/>
        </cdr:cNvSpPr>
      </cdr:nvSpPr>
      <cdr:spPr>
        <a:xfrm>
          <a:off x="1209675" y="3067050"/>
          <a:ext cx="95250" cy="11430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0.229</cdr:x>
      <cdr:y>0.76275</cdr:y>
    </cdr:from>
    <cdr:to>
      <cdr:x>0.2665</cdr:x>
      <cdr:y>0.8135</cdr:y>
    </cdr:to>
    <cdr:sp>
      <cdr:nvSpPr>
        <cdr:cNvPr id="16" name="TextBox 30" hidden="1"/>
        <cdr:cNvSpPr txBox="1">
          <a:spLocks noChangeArrowheads="1"/>
        </cdr:cNvSpPr>
      </cdr:nvSpPr>
      <cdr:spPr>
        <a:xfrm>
          <a:off x="1095375" y="3038475"/>
          <a:ext cx="180975" cy="20002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cdr:txBody>
    </cdr:sp>
  </cdr:relSizeAnchor>
  <cdr:relSizeAnchor xmlns:cdr="http://schemas.openxmlformats.org/drawingml/2006/chartDrawing">
    <cdr:from>
      <cdr:x>0.19025</cdr:x>
      <cdr:y>0.77075</cdr:y>
    </cdr:from>
    <cdr:to>
      <cdr:x>0.24625</cdr:x>
      <cdr:y>0.79975</cdr:y>
    </cdr:to>
    <cdr:sp>
      <cdr:nvSpPr>
        <cdr:cNvPr id="17" name="TextBox 32"/>
        <cdr:cNvSpPr txBox="1">
          <a:spLocks noChangeArrowheads="1"/>
        </cdr:cNvSpPr>
      </cdr:nvSpPr>
      <cdr:spPr>
        <a:xfrm>
          <a:off x="914400" y="3067050"/>
          <a:ext cx="266700" cy="11430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infinite</a:t>
          </a:r>
        </a:p>
      </cdr:txBody>
    </cdr:sp>
  </cdr:relSizeAnchor>
  <cdr:relSizeAnchor xmlns:cdr="http://schemas.openxmlformats.org/drawingml/2006/chartDrawing">
    <cdr:from>
      <cdr:x>0.2315</cdr:x>
      <cdr:y>0.77075</cdr:y>
    </cdr:from>
    <cdr:to>
      <cdr:x>0.25075</cdr:x>
      <cdr:y>0.79975</cdr:y>
    </cdr:to>
    <cdr:sp>
      <cdr:nvSpPr>
        <cdr:cNvPr id="18" name="TextBox 31"/>
        <cdr:cNvSpPr txBox="1">
          <a:spLocks noChangeArrowheads="1"/>
        </cdr:cNvSpPr>
      </cdr:nvSpPr>
      <cdr:spPr>
        <a:xfrm>
          <a:off x="1104900" y="3067050"/>
          <a:ext cx="95250" cy="11430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 lIns="0" tIns="0" rIns="0" bIns="0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8</xdr:col>
      <xdr:colOff>561975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133350" y="9525"/>
        <a:ext cx="48101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66675</xdr:rowOff>
    </xdr:from>
    <xdr:to>
      <xdr:col>11</xdr:col>
      <xdr:colOff>352425</xdr:colOff>
      <xdr:row>23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4448175"/>
          <a:ext cx="9525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25</xdr:row>
      <xdr:rowOff>0</xdr:rowOff>
    </xdr:from>
    <xdr:to>
      <xdr:col>11</xdr:col>
      <xdr:colOff>342900</xdr:colOff>
      <xdr:row>26</xdr:row>
      <xdr:rowOff>85725</xdr:rowOff>
    </xdr:to>
    <xdr:pic>
      <xdr:nvPicPr>
        <xdr:cNvPr id="3" name="Resto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0" y="4867275"/>
          <a:ext cx="933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21</xdr:row>
      <xdr:rowOff>104775</xdr:rowOff>
    </xdr:from>
    <xdr:to>
      <xdr:col>8</xdr:col>
      <xdr:colOff>66675</xdr:colOff>
      <xdr:row>31</xdr:row>
      <xdr:rowOff>104775</xdr:rowOff>
    </xdr:to>
    <xdr:sp>
      <xdr:nvSpPr>
        <xdr:cNvPr id="4" name="TextBox 8" hidden="1"/>
        <xdr:cNvSpPr txBox="1">
          <a:spLocks noChangeArrowheads="1"/>
        </xdr:cNvSpPr>
      </xdr:nvSpPr>
      <xdr:spPr>
        <a:xfrm>
          <a:off x="1238250" y="4324350"/>
          <a:ext cx="320992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Conversion Factors for Solid Fuels:
                                              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Btu / lb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       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ton coal / ton alt.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Wood
   a. bone dry                      7,600 - 9,600             0.58 - 0.73
   b. air dry, 20% moisture              6,400                      0.49
2. Agricultural Residues     4,300 - 7,300            0.33 - 0.56
3. Charcoal                                   12,800                      0.97
4. Coal
   a. default data                            13,130                      1.00
   b. lignite                        11,500 -13,000            0.88 - 0.99
   c. sub-bituminous          6,500 -  8,200            0.50 - 0.62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0.09025</cdr:y>
    </cdr:from>
    <cdr:to>
      <cdr:x>0.57025</cdr:x>
      <cdr:y>0.17475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342900"/>
          <a:ext cx="1009650" cy="32385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fuel cell and HRHX</a:t>
          </a:r>
        </a:p>
      </cdr:txBody>
    </cdr:sp>
  </cdr:relSizeAnchor>
  <cdr:relSizeAnchor xmlns:cdr="http://schemas.openxmlformats.org/drawingml/2006/chartDrawing">
    <cdr:from>
      <cdr:x>0.73075</cdr:x>
      <cdr:y>0.16</cdr:y>
    </cdr:from>
    <cdr:to>
      <cdr:x>0.9185</cdr:x>
      <cdr:y>0.23475</cdr:y>
    </cdr:to>
    <cdr:sp>
      <cdr:nvSpPr>
        <cdr:cNvPr id="2" name="TextBox 2"/>
        <cdr:cNvSpPr txBox="1">
          <a:spLocks noChangeArrowheads="1"/>
        </cdr:cNvSpPr>
      </cdr:nvSpPr>
      <cdr:spPr>
        <a:xfrm>
          <a:off x="3971925" y="609600"/>
          <a:ext cx="10191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gas turbine
and HRSG</a:t>
          </a:r>
        </a:p>
      </cdr:txBody>
    </cdr:sp>
  </cdr:relSizeAnchor>
  <cdr:relSizeAnchor xmlns:cdr="http://schemas.openxmlformats.org/drawingml/2006/chartDrawing">
    <cdr:from>
      <cdr:x>0.51525</cdr:x>
      <cdr:y>0.23475</cdr:y>
    </cdr:from>
    <cdr:to>
      <cdr:x>0.70025</cdr:x>
      <cdr:y>0.302</cdr:y>
    </cdr:to>
    <cdr:sp>
      <cdr:nvSpPr>
        <cdr:cNvPr id="3" name="TextBox 3"/>
        <cdr:cNvSpPr txBox="1">
          <a:spLocks noChangeArrowheads="1"/>
        </cdr:cNvSpPr>
      </cdr:nvSpPr>
      <cdr:spPr>
        <a:xfrm>
          <a:off x="2800350" y="895350"/>
          <a:ext cx="1009650" cy="2571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recip engine
and HRHX</a:t>
          </a:r>
        </a:p>
      </cdr:txBody>
    </cdr:sp>
  </cdr:relSizeAnchor>
  <cdr:relSizeAnchor xmlns:cdr="http://schemas.openxmlformats.org/drawingml/2006/chartDrawing">
    <cdr:from>
      <cdr:x>0.195</cdr:x>
      <cdr:y>0.16</cdr:y>
    </cdr:from>
    <cdr:to>
      <cdr:x>0.39625</cdr:x>
      <cdr:y>0.23475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09600"/>
          <a:ext cx="1095375" cy="285750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microturbine
and HRHX</a:t>
          </a:r>
        </a:p>
      </cdr:txBody>
    </cdr:sp>
  </cdr:relSizeAnchor>
  <cdr:relSizeAnchor xmlns:cdr="http://schemas.openxmlformats.org/drawingml/2006/chartDrawing">
    <cdr:from>
      <cdr:x>0.69325</cdr:x>
      <cdr:y>0.40425</cdr:y>
    </cdr:from>
    <cdr:to>
      <cdr:x>0.8795</cdr:x>
      <cdr:y>0.49275</cdr:y>
    </cdr:to>
    <cdr:sp>
      <cdr:nvSpPr>
        <cdr:cNvPr id="5" name="TextBox 5"/>
        <cdr:cNvSpPr txBox="1">
          <a:spLocks noChangeArrowheads="1"/>
        </cdr:cNvSpPr>
      </cdr:nvSpPr>
      <cdr:spPr>
        <a:xfrm>
          <a:off x="3762375" y="1552575"/>
          <a:ext cx="1009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double-effect
chiller</a:t>
          </a:r>
        </a:p>
      </cdr:txBody>
    </cdr:sp>
  </cdr:relSizeAnchor>
  <cdr:relSizeAnchor xmlns:cdr="http://schemas.openxmlformats.org/drawingml/2006/chartDrawing">
    <cdr:from>
      <cdr:x>0.4385</cdr:x>
      <cdr:y>0.4635</cdr:y>
    </cdr:from>
    <cdr:to>
      <cdr:x>0.625</cdr:x>
      <cdr:y>0.55275</cdr:y>
    </cdr:to>
    <cdr:sp>
      <cdr:nvSpPr>
        <cdr:cNvPr id="6" name="TextBox 6"/>
        <cdr:cNvSpPr txBox="1">
          <a:spLocks noChangeArrowheads="1"/>
        </cdr:cNvSpPr>
      </cdr:nvSpPr>
      <cdr:spPr>
        <a:xfrm>
          <a:off x="2381250" y="1781175"/>
          <a:ext cx="10096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single-effect
chiller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134</xdr:row>
      <xdr:rowOff>152400</xdr:rowOff>
    </xdr:from>
    <xdr:to>
      <xdr:col>17</xdr:col>
      <xdr:colOff>19050</xdr:colOff>
      <xdr:row>161</xdr:row>
      <xdr:rowOff>38100</xdr:rowOff>
    </xdr:to>
    <xdr:graphicFrame>
      <xdr:nvGraphicFramePr>
        <xdr:cNvPr id="1" name="Chart 6"/>
        <xdr:cNvGraphicFramePr/>
      </xdr:nvGraphicFramePr>
      <xdr:xfrm>
        <a:off x="5295900" y="22088475"/>
        <a:ext cx="55054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158</xdr:row>
      <xdr:rowOff>114300</xdr:rowOff>
    </xdr:from>
    <xdr:to>
      <xdr:col>10</xdr:col>
      <xdr:colOff>219075</xdr:colOff>
      <xdr:row>180</xdr:row>
      <xdr:rowOff>114300</xdr:rowOff>
    </xdr:to>
    <xdr:graphicFrame>
      <xdr:nvGraphicFramePr>
        <xdr:cNvPr id="2" name="Chart 7"/>
        <xdr:cNvGraphicFramePr/>
      </xdr:nvGraphicFramePr>
      <xdr:xfrm>
        <a:off x="400050" y="25974675"/>
        <a:ext cx="62674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552450</xdr:colOff>
      <xdr:row>210</xdr:row>
      <xdr:rowOff>123825</xdr:rowOff>
    </xdr:from>
    <xdr:to>
      <xdr:col>9</xdr:col>
      <xdr:colOff>152400</xdr:colOff>
      <xdr:row>234</xdr:row>
      <xdr:rowOff>85725</xdr:rowOff>
    </xdr:to>
    <xdr:graphicFrame>
      <xdr:nvGraphicFramePr>
        <xdr:cNvPr id="3" name="Chart 8"/>
        <xdr:cNvGraphicFramePr/>
      </xdr:nvGraphicFramePr>
      <xdr:xfrm>
        <a:off x="552450" y="34404300"/>
        <a:ext cx="543877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409575</xdr:colOff>
      <xdr:row>23</xdr:row>
      <xdr:rowOff>123825</xdr:rowOff>
    </xdr:from>
    <xdr:to>
      <xdr:col>33</xdr:col>
      <xdr:colOff>438150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6154400" y="4457700"/>
        <a:ext cx="5534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409575</xdr:colOff>
      <xdr:row>1</xdr:row>
      <xdr:rowOff>85725</xdr:rowOff>
    </xdr:from>
    <xdr:to>
      <xdr:col>34</xdr:col>
      <xdr:colOff>552450</xdr:colOff>
      <xdr:row>22</xdr:row>
      <xdr:rowOff>104775</xdr:rowOff>
    </xdr:to>
    <xdr:graphicFrame>
      <xdr:nvGraphicFramePr>
        <xdr:cNvPr id="2" name="Chart 2"/>
        <xdr:cNvGraphicFramePr/>
      </xdr:nvGraphicFramePr>
      <xdr:xfrm>
        <a:off x="16154400" y="257175"/>
        <a:ext cx="6257925" cy="3971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40</xdr:row>
      <xdr:rowOff>85725</xdr:rowOff>
    </xdr:from>
    <xdr:to>
      <xdr:col>22</xdr:col>
      <xdr:colOff>504825</xdr:colOff>
      <xdr:row>70</xdr:row>
      <xdr:rowOff>9525</xdr:rowOff>
    </xdr:to>
    <xdr:graphicFrame>
      <xdr:nvGraphicFramePr>
        <xdr:cNvPr id="3" name="Chart 3"/>
        <xdr:cNvGraphicFramePr/>
      </xdr:nvGraphicFramePr>
      <xdr:xfrm>
        <a:off x="9382125" y="7658100"/>
        <a:ext cx="56483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114300</xdr:rowOff>
    </xdr:from>
    <xdr:to>
      <xdr:col>3</xdr:col>
      <xdr:colOff>504825</xdr:colOff>
      <xdr:row>4</xdr:row>
      <xdr:rowOff>19050</xdr:rowOff>
    </xdr:to>
    <xdr:pic>
      <xdr:nvPicPr>
        <xdr:cNvPr id="1" name="StateNam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438150"/>
          <a:ext cx="1181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29</xdr:row>
      <xdr:rowOff>28575</xdr:rowOff>
    </xdr:from>
    <xdr:to>
      <xdr:col>2</xdr:col>
      <xdr:colOff>47625</xdr:colOff>
      <xdr:row>31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4800600"/>
          <a:ext cx="1876425" cy="419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23</xdr:row>
      <xdr:rowOff>47625</xdr:rowOff>
    </xdr:from>
    <xdr:to>
      <xdr:col>1</xdr:col>
      <xdr:colOff>933450</xdr:colOff>
      <xdr:row>24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3848100"/>
          <a:ext cx="904875" cy="2667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</xdr:colOff>
      <xdr:row>25</xdr:row>
      <xdr:rowOff>133350</xdr:rowOff>
    </xdr:from>
    <xdr:to>
      <xdr:col>1</xdr:col>
      <xdr:colOff>1095375</xdr:colOff>
      <xdr:row>28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8175" y="4257675"/>
          <a:ext cx="1066800" cy="4191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600075</xdr:colOff>
      <xdr:row>36</xdr:row>
      <xdr:rowOff>114300</xdr:rowOff>
    </xdr:from>
    <xdr:to>
      <xdr:col>4</xdr:col>
      <xdr:colOff>457200</xdr:colOff>
      <xdr:row>39</xdr:row>
      <xdr:rowOff>76200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0075" y="6019800"/>
          <a:ext cx="3629025" cy="4476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600075</xdr:colOff>
      <xdr:row>26</xdr:row>
      <xdr:rowOff>19050</xdr:rowOff>
    </xdr:from>
    <xdr:to>
      <xdr:col>6</xdr:col>
      <xdr:colOff>285750</xdr:colOff>
      <xdr:row>27</xdr:row>
      <xdr:rowOff>57150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62375" y="4305300"/>
          <a:ext cx="1514475" cy="2000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19050</xdr:colOff>
      <xdr:row>32</xdr:row>
      <xdr:rowOff>85725</xdr:rowOff>
    </xdr:from>
    <xdr:to>
      <xdr:col>2</xdr:col>
      <xdr:colOff>552450</xdr:colOff>
      <xdr:row>35</xdr:row>
      <xdr:rowOff>28575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8650" y="5343525"/>
          <a:ext cx="2409825" cy="4286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9525</xdr:colOff>
      <xdr:row>28</xdr:row>
      <xdr:rowOff>38100</xdr:rowOff>
    </xdr:from>
    <xdr:to>
      <xdr:col>8</xdr:col>
      <xdr:colOff>371475</xdr:colOff>
      <xdr:row>29</xdr:row>
      <xdr:rowOff>85725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81425" y="4648200"/>
          <a:ext cx="2800350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19050</xdr:colOff>
      <xdr:row>30</xdr:row>
      <xdr:rowOff>47625</xdr:rowOff>
    </xdr:from>
    <xdr:to>
      <xdr:col>11</xdr:col>
      <xdr:colOff>371475</xdr:colOff>
      <xdr:row>32</xdr:row>
      <xdr:rowOff>123825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90950" y="4981575"/>
          <a:ext cx="4686300" cy="4000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590550</xdr:colOff>
      <xdr:row>23</xdr:row>
      <xdr:rowOff>28575</xdr:rowOff>
    </xdr:from>
    <xdr:to>
      <xdr:col>10</xdr:col>
      <xdr:colOff>104775</xdr:colOff>
      <xdr:row>25</xdr:row>
      <xdr:rowOff>142875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52850" y="3829050"/>
          <a:ext cx="3781425" cy="4381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200025</xdr:colOff>
      <xdr:row>33</xdr:row>
      <xdr:rowOff>57150</xdr:rowOff>
    </xdr:from>
    <xdr:to>
      <xdr:col>11</xdr:col>
      <xdr:colOff>342900</xdr:colOff>
      <xdr:row>56</xdr:row>
      <xdr:rowOff>66675</xdr:rowOff>
    </xdr:to>
    <xdr:pic>
      <xdr:nvPicPr>
        <xdr:cNvPr id="11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581525" y="5476875"/>
          <a:ext cx="3867150" cy="37338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1657350</xdr:colOff>
      <xdr:row>22</xdr:row>
      <xdr:rowOff>47625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3476625"/>
          <a:ext cx="1657350" cy="209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0.3705</cdr:x>
      <cdr:y>0.53325</cdr:y>
    </cdr:from>
    <cdr:to>
      <cdr:x>0.453</cdr:x>
      <cdr:y>0.573</cdr:y>
    </cdr:to>
    <cdr:sp>
      <cdr:nvSpPr>
        <cdr:cNvPr id="1" name="TextBox 2"/>
        <cdr:cNvSpPr txBox="1">
          <a:spLocks noChangeArrowheads="1"/>
        </cdr:cNvSpPr>
      </cdr:nvSpPr>
      <cdr:spPr>
        <a:xfrm>
          <a:off x="2171700" y="2419350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  <cdr:relSizeAnchor xmlns:cdr="http://schemas.openxmlformats.org/drawingml/2006/chartDrawing">
    <cdr:from>
      <cdr:x>0.18675</cdr:x>
      <cdr:y>0.08625</cdr:y>
    </cdr:from>
    <cdr:to>
      <cdr:x>0.4215</cdr:x>
      <cdr:y>0.31625</cdr:y>
    </cdr:to>
    <cdr:grpSp>
      <cdr:nvGrpSpPr>
        <cdr:cNvPr id="2" name="Group 14"/>
        <cdr:cNvGrpSpPr>
          <a:grpSpLocks/>
        </cdr:cNvGrpSpPr>
      </cdr:nvGrpSpPr>
      <cdr:grpSpPr>
        <a:xfrm>
          <a:off x="1095375" y="390525"/>
          <a:ext cx="1381125" cy="1047750"/>
          <a:chOff x="1065581" y="479746"/>
          <a:chExt cx="1434770" cy="993829"/>
        </a:xfrm>
        <a:solidFill>
          <a:srgbClr val="FFFFFF"/>
        </a:solidFill>
      </cdr:grpSpPr>
      <cdr:sp>
        <cdr:nvSpPr>
          <cdr:cNvPr id="3" name="TextBox 1" hidden="1"/>
          <cdr:cNvSpPr txBox="1">
            <a:spLocks noChangeArrowheads="1"/>
          </cdr:cNvSpPr>
        </cdr:nvSpPr>
        <cdr:spPr>
          <a:xfrm>
            <a:off x="1065581" y="479746"/>
            <a:ext cx="1434770" cy="993829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  5 yr payback……….
10 yr payback……….
15 yr payback……….
20 yr payback……..… Infinite payback……… 
Current Project……….</a:t>
            </a:r>
          </a:p>
        </cdr:txBody>
      </cdr:sp>
      <cdr:sp>
        <cdr:nvSpPr>
          <cdr:cNvPr id="4" name="Oval 3" hidden="1"/>
          <cdr:cNvSpPr>
            <a:spLocks noChangeAspect="1"/>
          </cdr:cNvSpPr>
        </cdr:nvSpPr>
        <cdr:spPr>
          <a:xfrm>
            <a:off x="2304864" y="999767"/>
            <a:ext cx="86804" cy="9317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4" hidden="1"/>
          <cdr:cNvSpPr>
            <a:spLocks noChangeAspect="1"/>
          </cdr:cNvSpPr>
        </cdr:nvSpPr>
        <cdr:spPr>
          <a:xfrm>
            <a:off x="2304864" y="515027"/>
            <a:ext cx="63847" cy="8050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5" hidden="1"/>
          <cdr:cNvSpPr>
            <a:spLocks noChangeAspect="1"/>
          </cdr:cNvSpPr>
        </cdr:nvSpPr>
        <cdr:spPr>
          <a:xfrm>
            <a:off x="2304864" y="662114"/>
            <a:ext cx="82499" cy="1011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6" hidden="1"/>
          <cdr:cNvSpPr>
            <a:spLocks noChangeAspect="1"/>
          </cdr:cNvSpPr>
        </cdr:nvSpPr>
        <cdr:spPr>
          <a:xfrm>
            <a:off x="2304864" y="830071"/>
            <a:ext cx="86804" cy="104104"/>
          </a:xfrm>
          <a:prstGeom prst="diamond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7" hidden="1"/>
          <cdr:cNvSpPr>
            <a:spLocks noChangeAspect="1"/>
          </cdr:cNvSpPr>
        </cdr:nvSpPr>
        <cdr:spPr>
          <a:xfrm>
            <a:off x="2304864" y="1155798"/>
            <a:ext cx="86804" cy="8149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8" hidden="1"/>
          <cdr:cNvSpPr>
            <a:spLocks noChangeAspect="1"/>
          </cdr:cNvSpPr>
        </cdr:nvSpPr>
        <cdr:spPr>
          <a:xfrm>
            <a:off x="2304864" y="1303879"/>
            <a:ext cx="100075" cy="80500"/>
          </a:xfrm>
          <a:prstGeom prst="triangl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0.36325</cdr:x>
      <cdr:y>0.58925</cdr:y>
    </cdr:from>
    <cdr:to>
      <cdr:x>0.428</cdr:x>
      <cdr:y>0.62075</cdr:y>
    </cdr:to>
    <cdr:sp>
      <cdr:nvSpPr>
        <cdr:cNvPr id="10" name="TextBox 9"/>
        <cdr:cNvSpPr txBox="1">
          <a:spLocks noChangeArrowheads="1"/>
        </cdr:cNvSpPr>
      </cdr:nvSpPr>
      <cdr:spPr>
        <a:xfrm>
          <a:off x="2133600" y="2676525"/>
          <a:ext cx="3810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0.52975</cdr:x>
      <cdr:y>0.32925</cdr:y>
    </cdr:from>
    <cdr:to>
      <cdr:x>0.61225</cdr:x>
      <cdr:y>0.36925</cdr:y>
    </cdr:to>
    <cdr:sp>
      <cdr:nvSpPr>
        <cdr:cNvPr id="11" name="TextBox 10" hidden="1"/>
        <cdr:cNvSpPr txBox="1">
          <a:spLocks noChangeArrowheads="1"/>
        </cdr:cNvSpPr>
      </cdr:nvSpPr>
      <cdr:spPr>
        <a:xfrm>
          <a:off x="3114675" y="1495425"/>
          <a:ext cx="485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0.3705</cdr:x>
      <cdr:y>0.489</cdr:y>
    </cdr:from>
    <cdr:to>
      <cdr:x>0.45275</cdr:x>
      <cdr:y>0.5325</cdr:y>
    </cdr:to>
    <cdr:sp>
      <cdr:nvSpPr>
        <cdr:cNvPr id="12" name="TextBox 11"/>
        <cdr:cNvSpPr txBox="1">
          <a:spLocks noChangeArrowheads="1"/>
        </cdr:cNvSpPr>
      </cdr:nvSpPr>
      <cdr:spPr>
        <a:xfrm>
          <a:off x="2171700" y="2219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  <cdr:relSizeAnchor xmlns:cdr="http://schemas.openxmlformats.org/drawingml/2006/chartDrawing">
    <cdr:from>
      <cdr:x>0.36325</cdr:x>
      <cdr:y>0.46425</cdr:y>
    </cdr:from>
    <cdr:to>
      <cdr:x>0.44575</cdr:x>
      <cdr:y>0.50125</cdr:y>
    </cdr:to>
    <cdr:sp>
      <cdr:nvSpPr>
        <cdr:cNvPr id="13" name="TextBox 12"/>
        <cdr:cNvSpPr txBox="1">
          <a:spLocks noChangeArrowheads="1"/>
        </cdr:cNvSpPr>
      </cdr:nvSpPr>
      <cdr:spPr>
        <a:xfrm>
          <a:off x="2133600" y="2105025"/>
          <a:ext cx="485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0.4475</cdr:y>
    </cdr:from>
    <cdr:to>
      <cdr:x>0.45275</cdr:x>
      <cdr:y>0.48975</cdr:y>
    </cdr:to>
    <cdr:sp>
      <cdr:nvSpPr>
        <cdr:cNvPr id="14" name="TextBox 13"/>
        <cdr:cNvSpPr txBox="1">
          <a:spLocks noChangeArrowheads="1"/>
        </cdr:cNvSpPr>
      </cdr:nvSpPr>
      <cdr:spPr>
        <a:xfrm>
          <a:off x="2171700" y="20288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0.18675</cdr:x>
      <cdr:y>0.08625</cdr:y>
    </cdr:from>
    <cdr:to>
      <cdr:x>0.4765</cdr:x>
      <cdr:y>0.2225</cdr:y>
    </cdr:to>
    <cdr:sp textlink="'Alternative Energy'!$I$11">
      <cdr:nvSpPr>
        <cdr:cNvPr id="15" name="TextBox 16"/>
        <cdr:cNvSpPr txBox="1">
          <a:spLocks noChangeArrowheads="1"/>
        </cdr:cNvSpPr>
      </cdr:nvSpPr>
      <cdr:spPr>
        <a:xfrm>
          <a:off x="1095375" y="390525"/>
          <a:ext cx="1704975" cy="619125"/>
        </a:xfrm>
        <a:prstGeom prst="rect">
          <a:avLst/>
        </a:prstGeom>
        <a:solidFill>
          <a:srgbClr val="C0C0C0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fld id="{f057b9a4-df74-4f0f-ae64-aa619dc612cf}" type="TxLink">
            <a:rPr lang="en-US" cap="none" sz="800" b="0" i="0" u="none" baseline="0">
              <a:latin typeface="Arial"/>
              <a:ea typeface="Arial"/>
              <a:cs typeface="Arial"/>
            </a:rPr>
            <a:t>Simple payback at current energy rates is -16.2 years. Payback at $0.060 / kWh and $7.60 / MMBtu is -16.2 years.</a:t>
          </a:fld>
        </a:p>
      </cdr:txBody>
    </cdr:sp>
  </cdr:relSizeAnchor>
  <cdr:relSizeAnchor xmlns:cdr="http://schemas.openxmlformats.org/drawingml/2006/chartDrawing">
    <cdr:from>
      <cdr:x>0.27475</cdr:x>
      <cdr:y>0.808</cdr:y>
    </cdr:from>
    <cdr:to>
      <cdr:x>0.314</cdr:x>
      <cdr:y>0.8395</cdr:y>
    </cdr:to>
    <cdr:sp>
      <cdr:nvSpPr>
        <cdr:cNvPr id="16" name="TextBox 17"/>
        <cdr:cNvSpPr txBox="1">
          <a:spLocks noChangeArrowheads="1"/>
        </cdr:cNvSpPr>
      </cdr:nvSpPr>
      <cdr:spPr>
        <a:xfrm>
          <a:off x="1609725" y="3667125"/>
          <a:ext cx="228600" cy="1428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0.233</cdr:x>
      <cdr:y>0.808</cdr:y>
    </cdr:from>
    <cdr:to>
      <cdr:x>0.27475</cdr:x>
      <cdr:y>0.8395</cdr:y>
    </cdr:to>
    <cdr:sp>
      <cdr:nvSpPr>
        <cdr:cNvPr id="17" name="TextBox 18"/>
        <cdr:cNvSpPr txBox="1">
          <a:spLocks noChangeArrowheads="1"/>
        </cdr:cNvSpPr>
      </cdr:nvSpPr>
      <cdr:spPr>
        <a:xfrm>
          <a:off x="1362075" y="3667125"/>
          <a:ext cx="247650" cy="1428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0.211</cdr:x>
      <cdr:y>0.808</cdr:y>
    </cdr:from>
    <cdr:to>
      <cdr:x>0.251</cdr:x>
      <cdr:y>0.8395</cdr:y>
    </cdr:to>
    <cdr:sp>
      <cdr:nvSpPr>
        <cdr:cNvPr id="18" name="TextBox 19"/>
        <cdr:cNvSpPr txBox="1">
          <a:spLocks noChangeArrowheads="1"/>
        </cdr:cNvSpPr>
      </cdr:nvSpPr>
      <cdr:spPr>
        <a:xfrm>
          <a:off x="1238250" y="3667125"/>
          <a:ext cx="238125" cy="1428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</a:t>
          </a:r>
        </a:p>
      </cdr:txBody>
    </cdr:sp>
  </cdr:relSizeAnchor>
  <cdr:relSizeAnchor xmlns:cdr="http://schemas.openxmlformats.org/drawingml/2006/chartDrawing">
    <cdr:from>
      <cdr:x>0.17575</cdr:x>
      <cdr:y>0.808</cdr:y>
    </cdr:from>
    <cdr:to>
      <cdr:x>0.248</cdr:x>
      <cdr:y>0.8395</cdr:y>
    </cdr:to>
    <cdr:sp>
      <cdr:nvSpPr>
        <cdr:cNvPr id="19" name="TextBox 20"/>
        <cdr:cNvSpPr txBox="1">
          <a:spLocks noChangeArrowheads="1"/>
        </cdr:cNvSpPr>
      </cdr:nvSpPr>
      <cdr:spPr>
        <a:xfrm>
          <a:off x="1028700" y="3667125"/>
          <a:ext cx="428625" cy="142875"/>
        </a:xfrm>
        <a:prstGeom prst="rect">
          <a:avLst/>
        </a:prstGeom>
        <a:solidFill>
          <a:srgbClr val="C0C0C0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infinite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57150</xdr:rowOff>
    </xdr:from>
    <xdr:to>
      <xdr:col>15</xdr:col>
      <xdr:colOff>542925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5857875" y="57150"/>
        <a:ext cx="58864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142875</xdr:rowOff>
    </xdr:from>
    <xdr:to>
      <xdr:col>11</xdr:col>
      <xdr:colOff>428625</xdr:colOff>
      <xdr:row>18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04800"/>
          <a:ext cx="65817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8</xdr:col>
      <xdr:colOff>514350</xdr:colOff>
      <xdr:row>28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4476750"/>
          <a:ext cx="4171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30</xdr:row>
      <xdr:rowOff>152400</xdr:rowOff>
    </xdr:from>
    <xdr:to>
      <xdr:col>6</xdr:col>
      <xdr:colOff>409575</xdr:colOff>
      <xdr:row>35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2100" y="5762625"/>
          <a:ext cx="2505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57150</xdr:rowOff>
    </xdr:from>
    <xdr:to>
      <xdr:col>8</xdr:col>
      <xdr:colOff>200025</xdr:colOff>
      <xdr:row>43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5350" y="6962775"/>
          <a:ext cx="4181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47</xdr:row>
      <xdr:rowOff>19050</xdr:rowOff>
    </xdr:from>
    <xdr:to>
      <xdr:col>12</xdr:col>
      <xdr:colOff>257175</xdr:colOff>
      <xdr:row>51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5825" y="8382000"/>
          <a:ext cx="6686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52</xdr:row>
      <xdr:rowOff>19050</xdr:rowOff>
    </xdr:from>
    <xdr:to>
      <xdr:col>9</xdr:col>
      <xdr:colOff>504825</xdr:colOff>
      <xdr:row>56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33450" y="9191625"/>
          <a:ext cx="5057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58</xdr:row>
      <xdr:rowOff>38100</xdr:rowOff>
    </xdr:from>
    <xdr:to>
      <xdr:col>10</xdr:col>
      <xdr:colOff>542925</xdr:colOff>
      <xdr:row>65</xdr:row>
      <xdr:rowOff>9525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5350" y="10182225"/>
          <a:ext cx="57435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68</xdr:row>
      <xdr:rowOff>19050</xdr:rowOff>
    </xdr:from>
    <xdr:to>
      <xdr:col>10</xdr:col>
      <xdr:colOff>457200</xdr:colOff>
      <xdr:row>85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11782425"/>
          <a:ext cx="58864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79</xdr:row>
      <xdr:rowOff>152400</xdr:rowOff>
    </xdr:from>
    <xdr:to>
      <xdr:col>18</xdr:col>
      <xdr:colOff>590550</xdr:colOff>
      <xdr:row>83</xdr:row>
      <xdr:rowOff>114300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15200" y="13696950"/>
          <a:ext cx="4248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495300</xdr:colOff>
      <xdr:row>44</xdr:row>
      <xdr:rowOff>9525</xdr:rowOff>
    </xdr:from>
    <xdr:to>
      <xdr:col>20</xdr:col>
      <xdr:colOff>590550</xdr:colOff>
      <xdr:row>49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810500" y="7886700"/>
          <a:ext cx="49720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590550</xdr:colOff>
      <xdr:row>50</xdr:row>
      <xdr:rowOff>114300</xdr:rowOff>
    </xdr:from>
    <xdr:to>
      <xdr:col>17</xdr:col>
      <xdr:colOff>476250</xdr:colOff>
      <xdr:row>55</xdr:row>
      <xdr:rowOff>142875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05750" y="8963025"/>
          <a:ext cx="29337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590550</xdr:colOff>
      <xdr:row>57</xdr:row>
      <xdr:rowOff>19050</xdr:rowOff>
    </xdr:from>
    <xdr:to>
      <xdr:col>19</xdr:col>
      <xdr:colOff>161925</xdr:colOff>
      <xdr:row>60</xdr:row>
      <xdr:rowOff>133350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05750" y="10001250"/>
          <a:ext cx="38385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209550</xdr:colOff>
      <xdr:row>62</xdr:row>
      <xdr:rowOff>38100</xdr:rowOff>
    </xdr:from>
    <xdr:to>
      <xdr:col>22</xdr:col>
      <xdr:colOff>171450</xdr:colOff>
      <xdr:row>69</xdr:row>
      <xdr:rowOff>142875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10829925"/>
          <a:ext cx="60579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4:L33"/>
  <sheetViews>
    <sheetView tabSelected="1" workbookViewId="0" topLeftCell="A3">
      <selection activeCell="K12" sqref="K12"/>
    </sheetView>
  </sheetViews>
  <sheetFormatPr defaultColWidth="9.140625" defaultRowHeight="12.75"/>
  <cols>
    <col min="1" max="1" width="1.7109375" style="0" customWidth="1"/>
  </cols>
  <sheetData>
    <row r="4" spans="3:8" ht="76.5">
      <c r="C4" s="319" t="str">
        <f>CONCATENATE("Simple Payback:  ",Data!C5)</f>
        <v>Simple Payback:  Atlanta Metropolitan Area</v>
      </c>
      <c r="D4" s="319"/>
      <c r="E4" s="319"/>
      <c r="F4" s="319"/>
      <c r="G4" s="319"/>
      <c r="H4" s="319"/>
    </row>
    <row r="5" spans="3:8" ht="12.75">
      <c r="C5" s="319"/>
      <c r="D5" s="319"/>
      <c r="E5" s="319"/>
      <c r="F5" s="319"/>
      <c r="G5" s="319"/>
      <c r="H5" s="319"/>
    </row>
    <row r="11" ht="12.75">
      <c r="L11" s="212"/>
    </row>
    <row r="20" ht="13.5" thickBot="1"/>
    <row r="21" spans="2:9" ht="12.75">
      <c r="B21" s="320" t="str">
        <f>+Data!B50</f>
        <v>Synopsis: Paybacks are relative to fossil fuel-fired space heating and hot water. Energy costs are $0.060/kWh for electricity and $7.60/MMBtu for fuel for a spark spread of $10.12/MMBtu. Results are based on 1 gas turbine generator(s) totaling 5,200 kW at a cost of $1,427 / kW, total installed cost is $1,622 / kW including absorption chillers (if any) and cost adjustment factors. O&amp;M costs are $0.008 /kWh, standby charges of $24/kW and export rate of $0.025/kWh; 100% of generated power is used on site and the balance, if any, is exported. Net operating savings are -$0.011/kWh. Absorption chillers (2,500 tons) use 100% of recovered heat at a gCOP of 1.20 and cost of $405/ton in place of electric chilled water at 0.85 kW/ton. Other operating parameters include a generator heat rate of 11,378 Btu/kWh, heat recovery rate of 4,912 Btu/kWh and; boiler efficiency of 72%. There are 8,424 operating hours per year. Waste heat is used for space heating and hot water (0.0%), chilled water (100.0%), and desiccant regeneration (0.0%). Simple payback is -17.2 years with a financed payback at 6.00% of -12.2 years.</v>
      </c>
      <c r="C21" s="321"/>
      <c r="D21" s="321"/>
      <c r="E21" s="321"/>
      <c r="F21" s="321"/>
      <c r="G21" s="321"/>
      <c r="H21" s="321"/>
      <c r="I21" s="322"/>
    </row>
    <row r="22" spans="2:9" ht="12.75">
      <c r="B22" s="323"/>
      <c r="C22" s="324"/>
      <c r="D22" s="324"/>
      <c r="E22" s="324"/>
      <c r="F22" s="324"/>
      <c r="G22" s="324"/>
      <c r="H22" s="324"/>
      <c r="I22" s="325"/>
    </row>
    <row r="23" spans="2:9" ht="12.75">
      <c r="B23" s="323"/>
      <c r="C23" s="324"/>
      <c r="D23" s="324"/>
      <c r="E23" s="324"/>
      <c r="F23" s="324"/>
      <c r="G23" s="324"/>
      <c r="H23" s="324"/>
      <c r="I23" s="325"/>
    </row>
    <row r="24" spans="2:9" ht="12.75">
      <c r="B24" s="323"/>
      <c r="C24" s="324"/>
      <c r="D24" s="324"/>
      <c r="E24" s="324"/>
      <c r="F24" s="324"/>
      <c r="G24" s="324"/>
      <c r="H24" s="324"/>
      <c r="I24" s="325"/>
    </row>
    <row r="25" spans="2:9" ht="12.75" customHeight="1">
      <c r="B25" s="323"/>
      <c r="C25" s="324"/>
      <c r="D25" s="324"/>
      <c r="E25" s="324"/>
      <c r="F25" s="324"/>
      <c r="G25" s="324"/>
      <c r="H25" s="324"/>
      <c r="I25" s="325"/>
    </row>
    <row r="26" spans="2:9" ht="12.75">
      <c r="B26" s="323"/>
      <c r="C26" s="324"/>
      <c r="D26" s="324"/>
      <c r="E26" s="324"/>
      <c r="F26" s="324"/>
      <c r="G26" s="324"/>
      <c r="H26" s="324"/>
      <c r="I26" s="325"/>
    </row>
    <row r="27" spans="2:9" ht="12.75">
      <c r="B27" s="323"/>
      <c r="C27" s="324"/>
      <c r="D27" s="324"/>
      <c r="E27" s="324"/>
      <c r="F27" s="324"/>
      <c r="G27" s="324"/>
      <c r="H27" s="324"/>
      <c r="I27" s="325"/>
    </row>
    <row r="28" spans="2:9" ht="12.75">
      <c r="B28" s="323"/>
      <c r="C28" s="324"/>
      <c r="D28" s="324"/>
      <c r="E28" s="324"/>
      <c r="F28" s="324"/>
      <c r="G28" s="324"/>
      <c r="H28" s="324"/>
      <c r="I28" s="325"/>
    </row>
    <row r="29" spans="2:9" ht="12.75">
      <c r="B29" s="323"/>
      <c r="C29" s="324"/>
      <c r="D29" s="324"/>
      <c r="E29" s="324"/>
      <c r="F29" s="324"/>
      <c r="G29" s="324"/>
      <c r="H29" s="324"/>
      <c r="I29" s="325"/>
    </row>
    <row r="30" spans="2:9" ht="12.75">
      <c r="B30" s="323"/>
      <c r="C30" s="324"/>
      <c r="D30" s="324"/>
      <c r="E30" s="324"/>
      <c r="F30" s="324"/>
      <c r="G30" s="324"/>
      <c r="H30" s="324"/>
      <c r="I30" s="325"/>
    </row>
    <row r="31" spans="2:9" ht="12.75">
      <c r="B31" s="323"/>
      <c r="C31" s="324"/>
      <c r="D31" s="324"/>
      <c r="E31" s="324"/>
      <c r="F31" s="324"/>
      <c r="G31" s="324"/>
      <c r="H31" s="324"/>
      <c r="I31" s="325"/>
    </row>
    <row r="32" spans="2:9" ht="12.75">
      <c r="B32" s="323"/>
      <c r="C32" s="324"/>
      <c r="D32" s="324"/>
      <c r="E32" s="324"/>
      <c r="F32" s="324"/>
      <c r="G32" s="324"/>
      <c r="H32" s="324"/>
      <c r="I32" s="325"/>
    </row>
    <row r="33" spans="2:9" ht="13.5" thickBot="1">
      <c r="B33" s="326"/>
      <c r="C33" s="327"/>
      <c r="D33" s="327"/>
      <c r="E33" s="327"/>
      <c r="F33" s="327"/>
      <c r="G33" s="327"/>
      <c r="H33" s="327"/>
      <c r="I33" s="328"/>
    </row>
  </sheetData>
  <mergeCells count="2">
    <mergeCell ref="C4:H5"/>
    <mergeCell ref="B21:I33"/>
  </mergeCells>
  <printOptions/>
  <pageMargins left="0.29" right="0.2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/>
  <dimension ref="A1:F50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3.28125" style="0" bestFit="1" customWidth="1"/>
    <col min="3" max="3" width="10.140625" style="0" customWidth="1"/>
    <col min="4" max="4" width="14.7109375" style="0" bestFit="1" customWidth="1"/>
    <col min="5" max="5" width="10.140625" style="0" bestFit="1" customWidth="1"/>
    <col min="6" max="6" width="14.7109375" style="0" bestFit="1" customWidth="1"/>
  </cols>
  <sheetData>
    <row r="1" spans="1:6" ht="16.5" thickBot="1">
      <c r="A1" s="208"/>
      <c r="B1" s="209" t="str">
        <f>CONCATENATE(Data!C5,":  Output Summary")</f>
        <v>Atlanta Metropolitan Area:  Output Summary</v>
      </c>
      <c r="C1" s="210"/>
      <c r="D1" s="210"/>
      <c r="E1" s="210"/>
      <c r="F1" s="211"/>
    </row>
    <row r="2" spans="1:6" ht="12.75">
      <c r="A2" s="81"/>
      <c r="B2" s="207" t="s">
        <v>134</v>
      </c>
      <c r="C2" s="62"/>
      <c r="D2" s="62"/>
      <c r="E2" s="62"/>
      <c r="F2" s="70"/>
    </row>
    <row r="3" spans="1:6" ht="12.75">
      <c r="A3" s="58"/>
      <c r="B3" s="83" t="s">
        <v>119</v>
      </c>
      <c r="C3" s="71">
        <f>+Data!G13</f>
        <v>3542.8571917808217</v>
      </c>
      <c r="D3" s="62" t="s">
        <v>0</v>
      </c>
      <c r="E3" s="62"/>
      <c r="F3" s="70"/>
    </row>
    <row r="4" spans="1:6" ht="12.75">
      <c r="A4" s="58"/>
      <c r="B4" s="83" t="s">
        <v>120</v>
      </c>
      <c r="C4" s="71">
        <f>+Data!G14</f>
        <v>7300</v>
      </c>
      <c r="D4" s="62" t="s">
        <v>0</v>
      </c>
      <c r="E4" s="62"/>
      <c r="F4" s="70"/>
    </row>
    <row r="5" spans="1:6" ht="12.75">
      <c r="A5" s="58"/>
      <c r="B5" s="83" t="s">
        <v>121</v>
      </c>
      <c r="C5" s="72">
        <f>+Data!G18</f>
        <v>12.013841095890411</v>
      </c>
      <c r="D5" s="62" t="s">
        <v>40</v>
      </c>
      <c r="E5" s="62"/>
      <c r="F5" s="70"/>
    </row>
    <row r="6" spans="1:6" ht="12.75">
      <c r="A6" s="58"/>
      <c r="B6" s="84" t="s">
        <v>116</v>
      </c>
      <c r="C6" s="62"/>
      <c r="D6" s="62"/>
      <c r="E6" s="62"/>
      <c r="F6" s="70"/>
    </row>
    <row r="7" spans="1:6" ht="12.75">
      <c r="A7" s="58"/>
      <c r="B7" s="83" t="s">
        <v>117</v>
      </c>
      <c r="C7" s="71">
        <f>+Data!G22</f>
        <v>5200</v>
      </c>
      <c r="D7" s="62" t="s">
        <v>0</v>
      </c>
      <c r="E7" s="62"/>
      <c r="F7" s="70"/>
    </row>
    <row r="8" spans="1:6" ht="12.75">
      <c r="A8" s="58"/>
      <c r="B8" s="83" t="s">
        <v>118</v>
      </c>
      <c r="C8" s="72">
        <f>+Data!G23</f>
        <v>25.5431662751109</v>
      </c>
      <c r="D8" s="62" t="s">
        <v>40</v>
      </c>
      <c r="E8" s="62"/>
      <c r="F8" s="70"/>
    </row>
    <row r="9" spans="1:6" ht="12.75">
      <c r="A9" s="58"/>
      <c r="B9" s="83" t="s">
        <v>149</v>
      </c>
      <c r="C9" s="62"/>
      <c r="D9" s="62"/>
      <c r="E9" s="62"/>
      <c r="F9" s="70"/>
    </row>
    <row r="10" spans="1:6" ht="12.75">
      <c r="A10" s="58"/>
      <c r="B10" s="83" t="s">
        <v>147</v>
      </c>
      <c r="C10" s="73">
        <f>+D10*$C$7</f>
        <v>7420400</v>
      </c>
      <c r="D10" s="73">
        <f>+Data!W20</f>
        <v>1427</v>
      </c>
      <c r="E10" s="76" t="s">
        <v>29</v>
      </c>
      <c r="F10" s="70"/>
    </row>
    <row r="11" spans="1:6" ht="12.75">
      <c r="A11" s="58"/>
      <c r="B11" s="83" t="s">
        <v>148</v>
      </c>
      <c r="C11" s="73">
        <f>+D11*$C$7</f>
        <v>1012500</v>
      </c>
      <c r="D11" s="73">
        <f>+Data!W21</f>
        <v>194.71153846153845</v>
      </c>
      <c r="E11" s="76" t="s">
        <v>29</v>
      </c>
      <c r="F11" s="70"/>
    </row>
    <row r="12" spans="1:6" ht="12.75">
      <c r="A12" s="58"/>
      <c r="B12" s="83" t="s">
        <v>638</v>
      </c>
      <c r="C12" s="73">
        <f>+D12*$C$7</f>
        <v>0</v>
      </c>
      <c r="D12" s="73">
        <f>+Data!W22</f>
        <v>0</v>
      </c>
      <c r="E12" s="76" t="s">
        <v>29</v>
      </c>
      <c r="F12" s="70"/>
    </row>
    <row r="13" spans="1:6" ht="12.75">
      <c r="A13" s="58"/>
      <c r="B13" s="83" t="s">
        <v>641</v>
      </c>
      <c r="C13" s="73">
        <f>+D13*$C$7</f>
        <v>0</v>
      </c>
      <c r="D13" s="73">
        <f>+Data!W23</f>
        <v>0</v>
      </c>
      <c r="E13" s="76" t="s">
        <v>29</v>
      </c>
      <c r="F13" s="70"/>
    </row>
    <row r="14" spans="1:6" ht="12.75">
      <c r="A14" s="58"/>
      <c r="B14" s="83" t="s">
        <v>642</v>
      </c>
      <c r="C14" s="73">
        <f>SUM(C10:C13)</f>
        <v>8432900</v>
      </c>
      <c r="D14" s="73">
        <f>SUM(D10:D13)</f>
        <v>1621.7115384615386</v>
      </c>
      <c r="E14" s="76" t="s">
        <v>29</v>
      </c>
      <c r="F14" s="70"/>
    </row>
    <row r="15" spans="1:6" ht="12.75">
      <c r="A15" s="58"/>
      <c r="B15" s="83" t="s">
        <v>639</v>
      </c>
      <c r="C15" s="86">
        <f>+kappa</f>
        <v>1</v>
      </c>
      <c r="D15" s="86">
        <f>+kappa</f>
        <v>1</v>
      </c>
      <c r="E15" s="76"/>
      <c r="F15" s="70"/>
    </row>
    <row r="16" spans="1:6" ht="12.75">
      <c r="A16" s="58"/>
      <c r="B16" s="83" t="s">
        <v>640</v>
      </c>
      <c r="C16" s="73">
        <f>+C15*C14</f>
        <v>8432900</v>
      </c>
      <c r="D16" s="73">
        <f>+D15*D14</f>
        <v>1621.7115384615386</v>
      </c>
      <c r="E16" s="76" t="s">
        <v>29</v>
      </c>
      <c r="F16" s="70"/>
    </row>
    <row r="17" spans="1:6" ht="12.75">
      <c r="A17" s="58"/>
      <c r="B17" s="83" t="s">
        <v>643</v>
      </c>
      <c r="C17" s="73">
        <f>+Pbuydown</f>
        <v>0</v>
      </c>
      <c r="D17" s="73">
        <f>+C17/Qe</f>
        <v>0</v>
      </c>
      <c r="E17" s="76" t="s">
        <v>29</v>
      </c>
      <c r="F17" s="70"/>
    </row>
    <row r="18" spans="1:6" ht="12.75">
      <c r="A18" s="58"/>
      <c r="B18" s="83" t="s">
        <v>644</v>
      </c>
      <c r="C18" s="73">
        <f>+C16-C17</f>
        <v>8432900</v>
      </c>
      <c r="D18" s="73">
        <f>+D16-D17</f>
        <v>1621.7115384615386</v>
      </c>
      <c r="E18" s="76" t="s">
        <v>29</v>
      </c>
      <c r="F18" s="70"/>
    </row>
    <row r="19" spans="1:6" ht="12.75">
      <c r="A19" s="58"/>
      <c r="B19" s="83" t="s">
        <v>150</v>
      </c>
      <c r="C19" s="73">
        <f>+'Tabular Results'!D46</f>
        <v>-490845.0388753591</v>
      </c>
      <c r="D19" s="62"/>
      <c r="E19" s="62"/>
      <c r="F19" s="70"/>
    </row>
    <row r="20" spans="1:6" ht="12.75">
      <c r="A20" s="58"/>
      <c r="B20" s="84" t="s">
        <v>144</v>
      </c>
      <c r="C20" s="62"/>
      <c r="D20" s="62"/>
      <c r="E20" s="62"/>
      <c r="F20" s="70"/>
    </row>
    <row r="21" spans="1:6" ht="12.75">
      <c r="A21" s="58"/>
      <c r="B21" s="83" t="s">
        <v>135</v>
      </c>
      <c r="C21" s="71">
        <f>+E23*Data!W18/1000000</f>
        <v>498411.0144</v>
      </c>
      <c r="D21" s="62" t="s">
        <v>77</v>
      </c>
      <c r="E21" s="62"/>
      <c r="F21" s="70"/>
    </row>
    <row r="22" spans="1:6" ht="12.75">
      <c r="A22" s="58"/>
      <c r="B22" s="83" t="s">
        <v>136</v>
      </c>
      <c r="C22" s="62"/>
      <c r="D22" s="62"/>
      <c r="E22" s="62"/>
      <c r="F22" s="70"/>
    </row>
    <row r="23" spans="1:6" ht="12.75">
      <c r="A23" s="58"/>
      <c r="B23" s="83" t="s">
        <v>137</v>
      </c>
      <c r="C23" s="71">
        <f>+E23*3413/1000000</f>
        <v>149505.7824</v>
      </c>
      <c r="D23" s="62" t="s">
        <v>77</v>
      </c>
      <c r="E23" s="71">
        <f>+Data!W35</f>
        <v>43804800</v>
      </c>
      <c r="F23" s="70" t="s">
        <v>1</v>
      </c>
    </row>
    <row r="24" spans="1:6" ht="12.75">
      <c r="A24" s="58"/>
      <c r="B24" s="83" t="s">
        <v>145</v>
      </c>
      <c r="C24" s="71">
        <f>+'Tabular Results'!D57*AnnualPower/1000000</f>
        <v>215175.63270153425</v>
      </c>
      <c r="D24" s="62" t="s">
        <v>128</v>
      </c>
      <c r="E24" s="62"/>
      <c r="F24" s="70"/>
    </row>
    <row r="25" spans="1:6" ht="12.75">
      <c r="A25" s="58"/>
      <c r="B25" s="83" t="s">
        <v>138</v>
      </c>
      <c r="C25" s="71">
        <f>+C24+C23</f>
        <v>364681.4151015342</v>
      </c>
      <c r="D25" s="62" t="s">
        <v>128</v>
      </c>
      <c r="E25" s="62"/>
      <c r="F25" s="70"/>
    </row>
    <row r="26" spans="1:6" ht="12.75">
      <c r="A26" s="58"/>
      <c r="B26" s="83" t="s">
        <v>139</v>
      </c>
      <c r="C26" s="62"/>
      <c r="D26" s="62"/>
      <c r="E26" s="62"/>
      <c r="F26" s="70"/>
    </row>
    <row r="27" spans="1:6" ht="12.75">
      <c r="A27" s="58"/>
      <c r="B27" s="83" t="s">
        <v>140</v>
      </c>
      <c r="C27" s="74">
        <f>+C23/C21</f>
        <v>0.29996484443663207</v>
      </c>
      <c r="D27" s="62"/>
      <c r="E27" s="62"/>
      <c r="F27" s="70"/>
    </row>
    <row r="28" spans="1:6" ht="12.75">
      <c r="A28" s="58"/>
      <c r="B28" s="83" t="s">
        <v>141</v>
      </c>
      <c r="C28" s="74">
        <f>+C25/C21</f>
        <v>0.7316881139566048</v>
      </c>
      <c r="D28" s="62"/>
      <c r="E28" s="62"/>
      <c r="F28" s="70"/>
    </row>
    <row r="29" spans="1:6" ht="12.75">
      <c r="A29" s="58"/>
      <c r="B29" s="84" t="s">
        <v>142</v>
      </c>
      <c r="C29" s="62"/>
      <c r="D29" s="62"/>
      <c r="E29" s="62"/>
      <c r="F29" s="70"/>
    </row>
    <row r="30" spans="1:6" ht="12.75">
      <c r="A30" s="58"/>
      <c r="B30" s="83" t="s">
        <v>108</v>
      </c>
      <c r="C30" s="75">
        <f>+Data!C30</f>
        <v>0.060485195806379864</v>
      </c>
      <c r="D30" s="76" t="s">
        <v>30</v>
      </c>
      <c r="E30" s="62"/>
      <c r="F30" s="70"/>
    </row>
    <row r="31" spans="1:6" ht="12.75">
      <c r="A31" s="58"/>
      <c r="B31" s="83" t="s">
        <v>109</v>
      </c>
      <c r="C31" s="48">
        <f>+Data!C31</f>
        <v>7.602039838980245</v>
      </c>
      <c r="D31" s="76" t="s">
        <v>3</v>
      </c>
      <c r="E31" s="62"/>
      <c r="F31" s="70"/>
    </row>
    <row r="32" spans="1:6" ht="12.75">
      <c r="A32" s="58"/>
      <c r="B32" s="83" t="s">
        <v>110</v>
      </c>
      <c r="C32" s="48">
        <f>+Data!K9</f>
        <v>10.119963034263195</v>
      </c>
      <c r="D32" s="76" t="s">
        <v>3</v>
      </c>
      <c r="E32" s="62"/>
      <c r="F32" s="70"/>
    </row>
    <row r="33" spans="1:6" ht="12.75">
      <c r="A33" s="58"/>
      <c r="B33" s="83" t="s">
        <v>111</v>
      </c>
      <c r="C33" s="72">
        <f>+Data!G15</f>
        <v>0.4853229029836742</v>
      </c>
      <c r="D33" s="62"/>
      <c r="E33" s="62"/>
      <c r="F33" s="70"/>
    </row>
    <row r="34" spans="1:6" ht="12.75">
      <c r="A34" s="58"/>
      <c r="B34" s="83" t="s">
        <v>112</v>
      </c>
      <c r="C34" s="77" t="s">
        <v>113</v>
      </c>
      <c r="D34" s="62"/>
      <c r="E34" s="62"/>
      <c r="F34" s="70"/>
    </row>
    <row r="35" spans="1:6" ht="12.75">
      <c r="A35" s="58"/>
      <c r="B35" s="83" t="s">
        <v>114</v>
      </c>
      <c r="C35" s="72">
        <f>+Data!G19</f>
        <v>0.9935550800772465</v>
      </c>
      <c r="D35" s="62"/>
      <c r="E35" s="62"/>
      <c r="F35" s="70"/>
    </row>
    <row r="36" spans="1:6" ht="12.75">
      <c r="A36" s="58"/>
      <c r="B36" s="83" t="s">
        <v>115</v>
      </c>
      <c r="C36" s="78">
        <f>+Data!O11</f>
        <v>-17.18037126202141</v>
      </c>
      <c r="D36" s="62" t="s">
        <v>16</v>
      </c>
      <c r="E36" s="62"/>
      <c r="F36" s="70"/>
    </row>
    <row r="37" spans="1:6" ht="12.75">
      <c r="A37" s="58"/>
      <c r="B37" s="83" t="str">
        <f>CONCATENATE("   h. financed payback at ",TEXT(i,"##0.00%"))</f>
        <v>   h. financed payback at 6.00%</v>
      </c>
      <c r="C37" s="88">
        <f>+Data!O19</f>
        <v>-12.158126791437589</v>
      </c>
      <c r="D37" s="62" t="s">
        <v>16</v>
      </c>
      <c r="E37" s="62"/>
      <c r="F37" s="70"/>
    </row>
    <row r="38" spans="1:6" ht="12.75">
      <c r="A38" s="58"/>
      <c r="B38" s="84" t="s">
        <v>143</v>
      </c>
      <c r="C38" s="62"/>
      <c r="D38" s="62"/>
      <c r="E38" s="62"/>
      <c r="F38" s="70"/>
    </row>
    <row r="39" spans="1:6" ht="12.75">
      <c r="A39" s="58"/>
      <c r="B39" s="83" t="s">
        <v>122</v>
      </c>
      <c r="C39" s="62"/>
      <c r="D39" s="62"/>
      <c r="E39" s="62"/>
      <c r="F39" s="70"/>
    </row>
    <row r="40" spans="1:6" ht="12.75">
      <c r="A40" s="58"/>
      <c r="B40" s="83" t="s">
        <v>123</v>
      </c>
      <c r="C40" s="73">
        <f>+'Tabular Results'!D36+'Tabular Results'!D37</f>
        <v>4121856.867655356</v>
      </c>
      <c r="D40" s="76" t="s">
        <v>24</v>
      </c>
      <c r="E40" s="75">
        <f>+'Tabular Results'!C36+'Tabular Results'!C37</f>
        <v>0.09409600928791721</v>
      </c>
      <c r="F40" s="79" t="s">
        <v>67</v>
      </c>
    </row>
    <row r="41" spans="1:6" ht="12.75">
      <c r="A41" s="58"/>
      <c r="B41" s="83" t="s">
        <v>124</v>
      </c>
      <c r="C41" s="73">
        <f>+'Tabular Results'!D38</f>
        <v>124800</v>
      </c>
      <c r="D41" s="62"/>
      <c r="E41" s="75">
        <f>+'Tabular Results'!C38</f>
        <v>0.002849002849002849</v>
      </c>
      <c r="F41" s="70"/>
    </row>
    <row r="42" spans="1:6" ht="12.75">
      <c r="A42" s="58"/>
      <c r="B42" s="83" t="s">
        <v>125</v>
      </c>
      <c r="C42" s="73">
        <f>+C41+C40</f>
        <v>4246656.8676553555</v>
      </c>
      <c r="D42" s="62"/>
      <c r="E42" s="75">
        <f>+E41+E40</f>
        <v>0.09694501213692006</v>
      </c>
      <c r="F42" s="70"/>
    </row>
    <row r="43" spans="1:6" ht="12.75">
      <c r="A43" s="58"/>
      <c r="B43" s="83" t="s">
        <v>126</v>
      </c>
      <c r="C43" s="73"/>
      <c r="D43" s="62"/>
      <c r="E43" s="75"/>
      <c r="F43" s="70"/>
    </row>
    <row r="44" spans="1:6" ht="12.75">
      <c r="A44" s="58"/>
      <c r="B44" s="83" t="s">
        <v>127</v>
      </c>
      <c r="C44" s="73">
        <f>+'Tabular Results'!D39</f>
        <v>2649541.905259309</v>
      </c>
      <c r="D44" s="76" t="s">
        <v>24</v>
      </c>
      <c r="E44" s="75">
        <f>+'Tabular Results'!C39</f>
        <v>0.060485195806379864</v>
      </c>
      <c r="F44" s="79" t="s">
        <v>67</v>
      </c>
    </row>
    <row r="45" spans="1:6" ht="12.75">
      <c r="A45" s="58"/>
      <c r="B45" s="83" t="s">
        <v>129</v>
      </c>
      <c r="C45" s="73">
        <f>+'Tabular Results'!D41</f>
        <v>0</v>
      </c>
      <c r="D45" s="62"/>
      <c r="E45" s="75">
        <f>+'Tabular Results'!C41</f>
        <v>0</v>
      </c>
      <c r="F45" s="70"/>
    </row>
    <row r="46" spans="1:6" ht="12.75">
      <c r="A46" s="58"/>
      <c r="B46" s="83" t="s">
        <v>130</v>
      </c>
      <c r="C46" s="73">
        <f>+'Tabular Results'!D42</f>
        <v>1106269.9235206875</v>
      </c>
      <c r="D46" s="62"/>
      <c r="E46" s="75">
        <f>+'Tabular Results'!C42</f>
        <v>0.02525453656952406</v>
      </c>
      <c r="F46" s="70"/>
    </row>
    <row r="47" spans="1:6" ht="12.75">
      <c r="A47" s="58"/>
      <c r="B47" s="83" t="s">
        <v>522</v>
      </c>
      <c r="C47" s="73">
        <f>+'Tabular Results'!D43</f>
        <v>0</v>
      </c>
      <c r="D47" s="62"/>
      <c r="E47" s="75">
        <f>+'Tabular Results'!C43</f>
        <v>0</v>
      </c>
      <c r="F47" s="70"/>
    </row>
    <row r="48" spans="1:6" ht="12.75">
      <c r="A48" s="58"/>
      <c r="B48" s="83" t="s">
        <v>131</v>
      </c>
      <c r="C48" s="73">
        <f>+'Tabular Results'!D40</f>
        <v>0</v>
      </c>
      <c r="D48" s="62"/>
      <c r="E48" s="75">
        <f>+'Tabular Results'!C40</f>
        <v>0</v>
      </c>
      <c r="F48" s="70"/>
    </row>
    <row r="49" spans="1:6" ht="12.75">
      <c r="A49" s="58"/>
      <c r="B49" s="83" t="s">
        <v>132</v>
      </c>
      <c r="C49" s="73">
        <f>SUM(C44:C48)</f>
        <v>3755811.8287799964</v>
      </c>
      <c r="D49" s="62"/>
      <c r="E49" s="75">
        <f>SUM(E44:E48)</f>
        <v>0.08573973237590393</v>
      </c>
      <c r="F49" s="70"/>
    </row>
    <row r="50" spans="1:6" ht="13.5" thickBot="1">
      <c r="A50" s="59"/>
      <c r="B50" s="61" t="s">
        <v>133</v>
      </c>
      <c r="C50" s="201">
        <f>+C49-C42</f>
        <v>-490845.0388753591</v>
      </c>
      <c r="D50" s="202" t="s">
        <v>24</v>
      </c>
      <c r="E50" s="203">
        <f>+E49-E42</f>
        <v>-0.011205279761016124</v>
      </c>
      <c r="F50" s="204" t="s">
        <v>67</v>
      </c>
    </row>
  </sheetData>
  <printOptions/>
  <pageMargins left="0.75" right="0.75" top="1" bottom="1" header="0.5" footer="0.5"/>
  <pageSetup horizontalDpi="600" verticalDpi="600" orientation="portrait" r:id="rId2"/>
  <headerFooter alignWithMargins="0">
    <oddFooter>&amp;R&amp;8&amp;D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B1:Y87"/>
  <sheetViews>
    <sheetView workbookViewId="0" topLeftCell="A1">
      <selection activeCell="I5" sqref="I5"/>
    </sheetView>
  </sheetViews>
  <sheetFormatPr defaultColWidth="9.140625" defaultRowHeight="12.75"/>
  <cols>
    <col min="2" max="2" width="11.7109375" style="0" bestFit="1" customWidth="1"/>
    <col min="4" max="4" width="10.140625" style="0" bestFit="1" customWidth="1"/>
    <col min="12" max="12" width="12.57421875" style="0" bestFit="1" customWidth="1"/>
    <col min="14" max="14" width="10.140625" style="0" bestFit="1" customWidth="1"/>
    <col min="15" max="15" width="12.57421875" style="0" bestFit="1" customWidth="1"/>
  </cols>
  <sheetData>
    <row r="1" spans="3:9" ht="12.75">
      <c r="C1" s="379" t="s">
        <v>370</v>
      </c>
      <c r="D1" s="379" t="s">
        <v>371</v>
      </c>
      <c r="H1" s="1" t="s">
        <v>497</v>
      </c>
      <c r="I1" s="4"/>
    </row>
    <row r="2" spans="3:11" ht="15.75">
      <c r="C2" s="379"/>
      <c r="D2" s="379"/>
      <c r="H2" t="s">
        <v>838</v>
      </c>
      <c r="I2">
        <f>IF(D9="fossil",0,Qrecovered/(3413*eta))</f>
        <v>0</v>
      </c>
      <c r="J2" t="s">
        <v>152</v>
      </c>
      <c r="K2">
        <f>+gamma+beta*(beta1*I2+beta2*I3+beta3*I4)</f>
        <v>1.4175325256508513</v>
      </c>
    </row>
    <row r="3" spans="2:15" ht="12.75" customHeight="1">
      <c r="B3" t="s">
        <v>220</v>
      </c>
      <c r="C3" s="379"/>
      <c r="D3" s="379"/>
      <c r="H3" t="s">
        <v>839</v>
      </c>
      <c r="I3">
        <f>gCOP*Qrecovered*ChillerEfficiency/12000</f>
        <v>0.41753252565085125</v>
      </c>
      <c r="J3" t="s">
        <v>151</v>
      </c>
      <c r="K3">
        <f>+beta*beta1*I5-alpha/1000000</f>
        <v>-0.011378</v>
      </c>
      <c r="L3" s="1" t="s">
        <v>173</v>
      </c>
      <c r="N3" t="s">
        <v>171</v>
      </c>
      <c r="O3" t="s">
        <v>172</v>
      </c>
    </row>
    <row r="4" spans="2:16" ht="15.75">
      <c r="B4" t="s">
        <v>174</v>
      </c>
      <c r="C4" s="3">
        <f>+Ce</f>
        <v>0.060485195806379864</v>
      </c>
      <c r="D4" s="3">
        <f>+C4</f>
        <v>0.060485195806379864</v>
      </c>
      <c r="E4" s="63" t="s">
        <v>30</v>
      </c>
      <c r="H4" t="s">
        <v>840</v>
      </c>
      <c r="I4" s="56">
        <f>+Dehumidifiers!D29</f>
        <v>0</v>
      </c>
      <c r="J4" t="s">
        <v>495</v>
      </c>
      <c r="K4">
        <f>+Pnetcost/H</f>
        <v>0.19251086638907153</v>
      </c>
      <c r="L4" t="s">
        <v>174</v>
      </c>
      <c r="N4" s="4">
        <f>+Data!AA25</f>
        <v>0</v>
      </c>
      <c r="O4" s="4">
        <v>0.25</v>
      </c>
      <c r="P4" s="63" t="s">
        <v>30</v>
      </c>
    </row>
    <row r="5" spans="2:16" ht="15.75">
      <c r="B5" t="s">
        <v>221</v>
      </c>
      <c r="C5" s="4">
        <f>+Cfuel</f>
        <v>7.602039838980245</v>
      </c>
      <c r="D5" s="4">
        <f>+C5</f>
        <v>7.602039838980245</v>
      </c>
      <c r="E5" s="63" t="s">
        <v>3</v>
      </c>
      <c r="H5" t="s">
        <v>841</v>
      </c>
      <c r="I5">
        <f>IF(D9="fossil",Qrecovered/(1000000*eta),0)</f>
        <v>0.006822426889719792</v>
      </c>
      <c r="J5" t="s">
        <v>206</v>
      </c>
      <c r="K5">
        <f>COM+Cstandby/H-Psubsidy/(H*Qe)-(1-gamma)*Cexport</f>
        <v>0.01044900284900285</v>
      </c>
      <c r="L5" t="s">
        <v>175</v>
      </c>
      <c r="N5" s="4">
        <f>+Data!AA26</f>
        <v>0</v>
      </c>
      <c r="O5" s="4">
        <f>+Data!AB26</f>
        <v>20</v>
      </c>
      <c r="P5" s="63" t="s">
        <v>3</v>
      </c>
    </row>
    <row r="6" spans="2:8" ht="15.75">
      <c r="B6" t="s">
        <v>374</v>
      </c>
      <c r="C6" s="7">
        <f>+$K$2*C4+$K$3*C5+Psubsidy/(Qe*H)-$K$5</f>
        <v>-0.011205279761016134</v>
      </c>
      <c r="D6" s="7">
        <f>+$K$2*D4+$K$3*D5+Psubsidy/(Qe*H)-$K$5</f>
        <v>-0.011205279761016134</v>
      </c>
      <c r="E6" s="63" t="s">
        <v>30</v>
      </c>
      <c r="F6" s="63"/>
      <c r="H6" s="7"/>
    </row>
    <row r="7" spans="2:15" ht="16.5">
      <c r="B7" t="s">
        <v>375</v>
      </c>
      <c r="C7" s="57">
        <f>Pnetcost/(C6*H)</f>
        <v>-17.180371262021392</v>
      </c>
      <c r="D7" s="57">
        <f>Pnetcost/(D6*H)</f>
        <v>-17.180371262021392</v>
      </c>
      <c r="E7" s="4">
        <f>IF(C6&gt;0,"years","")</f>
      </c>
      <c r="F7" s="63"/>
      <c r="H7" s="234" t="s">
        <v>842</v>
      </c>
      <c r="O7" s="1" t="s">
        <v>176</v>
      </c>
    </row>
    <row r="8" spans="4:20" ht="16.5">
      <c r="D8" s="4"/>
      <c r="E8" s="4"/>
      <c r="F8" s="63"/>
      <c r="H8" t="s">
        <v>843</v>
      </c>
      <c r="O8" t="s">
        <v>177</v>
      </c>
      <c r="P8" s="9" t="s">
        <v>191</v>
      </c>
      <c r="Q8" s="108">
        <f>+gamma</f>
        <v>1</v>
      </c>
      <c r="T8" s="4">
        <f>MAX(0,MIN(20,((gamma+beta*beta2*gCOP*(alpha-3413-alpha*delta)*epsilon*ChillerEfficiency/12000)*0.25-Pnetcost/(1*H)+Psubsidy/(Qe*H)-COM-Cstandby/H+(1-gamma)*Cexport)*1000000/(alpha-beta*(1-beta2)*(alpha-3413-alpha*delta)*epsilon/eta)))</f>
        <v>4.1343057445882945</v>
      </c>
    </row>
    <row r="9" spans="2:18" ht="15.75">
      <c r="B9" t="s">
        <v>837</v>
      </c>
      <c r="D9" t="str">
        <f>+LOWER(Data!W16)</f>
        <v>fossil</v>
      </c>
      <c r="O9" t="s">
        <v>178</v>
      </c>
      <c r="P9" s="9" t="s">
        <v>192</v>
      </c>
      <c r="Q9" s="36">
        <f>+alpha</f>
        <v>11378</v>
      </c>
      <c r="R9" t="s">
        <v>28</v>
      </c>
    </row>
    <row r="10" spans="8:17" ht="15.75">
      <c r="H10" s="156">
        <f>+N5</f>
        <v>0</v>
      </c>
      <c r="I10" s="156">
        <f>0.25*(L10-H10)</f>
        <v>5</v>
      </c>
      <c r="J10" s="156">
        <f>0.5*(L10-H10)</f>
        <v>10</v>
      </c>
      <c r="K10" s="156">
        <f>0.75*(L10-H10)</f>
        <v>15</v>
      </c>
      <c r="L10" s="156">
        <f>+O5</f>
        <v>20</v>
      </c>
      <c r="O10" t="s">
        <v>179</v>
      </c>
      <c r="P10" s="9" t="s">
        <v>153</v>
      </c>
      <c r="Q10" s="56">
        <f>+beta</f>
        <v>1</v>
      </c>
    </row>
    <row r="11" spans="4:17" ht="20.25" thickBot="1">
      <c r="D11" s="2"/>
      <c r="O11" t="s">
        <v>180</v>
      </c>
      <c r="P11" s="9" t="s">
        <v>193</v>
      </c>
      <c r="Q11" s="56">
        <f>+beta2</f>
        <v>1</v>
      </c>
    </row>
    <row r="12" spans="2:17" ht="16.5" thickBot="1">
      <c r="B12" s="89"/>
      <c r="C12" s="334" t="s">
        <v>22</v>
      </c>
      <c r="D12" s="334"/>
      <c r="E12" s="334"/>
      <c r="F12" s="334"/>
      <c r="G12" s="334"/>
      <c r="H12" s="334"/>
      <c r="I12" s="334"/>
      <c r="J12" s="334"/>
      <c r="K12" s="334"/>
      <c r="L12" s="335"/>
      <c r="O12" t="s">
        <v>181</v>
      </c>
      <c r="P12" s="9" t="s">
        <v>194</v>
      </c>
      <c r="Q12" s="56">
        <f>+delta</f>
        <v>0</v>
      </c>
    </row>
    <row r="13" spans="2:17" ht="16.5" thickBot="1">
      <c r="B13" s="110" t="s">
        <v>217</v>
      </c>
      <c r="C13" s="343" t="s">
        <v>218</v>
      </c>
      <c r="D13" s="343"/>
      <c r="E13" s="343"/>
      <c r="F13" s="343"/>
      <c r="G13" s="346"/>
      <c r="H13" s="332" t="s">
        <v>219</v>
      </c>
      <c r="I13" s="332"/>
      <c r="J13" s="332"/>
      <c r="K13" s="332"/>
      <c r="L13" s="347"/>
      <c r="O13" t="s">
        <v>182</v>
      </c>
      <c r="P13" s="9" t="s">
        <v>195</v>
      </c>
      <c r="Q13" s="56">
        <f>+epsilon</f>
        <v>0</v>
      </c>
    </row>
    <row r="14" spans="2:25" ht="12.75">
      <c r="B14" s="140">
        <v>1</v>
      </c>
      <c r="C14" s="141">
        <f>+($K$4/$B14+$K$5-$K$3*H14)/$K$2</f>
        <v>0.14317828026195492</v>
      </c>
      <c r="D14" s="142">
        <f aca="true" t="shared" si="0" ref="D14:D34">+($K$4/$B14+$K$5-$K$3*I14)/$K$2</f>
        <v>0.18331139817674796</v>
      </c>
      <c r="E14" s="142">
        <f aca="true" t="shared" si="1" ref="E14:E34">+($K$4/$B14+$K$5-$K$3*J14)/$K$2</f>
        <v>0.223444516091541</v>
      </c>
      <c r="F14" s="142">
        <f aca="true" t="shared" si="2" ref="F14:F34">+($K$4/$B14+$K$5-$K$3*K14)/$K$2</f>
        <v>0.25</v>
      </c>
      <c r="G14" s="159">
        <f aca="true" t="shared" si="3" ref="G14:G34">+($K$4/$B14+$K$5-$K$3*L14)/$K$2</f>
        <v>0.25</v>
      </c>
      <c r="H14" s="144">
        <f aca="true" t="shared" si="4" ref="H14:L23">MIN(H$10,MAX($H$10,($K$4/$B14+$K$5-$K$2*$O$4)/$K$3))</f>
        <v>0</v>
      </c>
      <c r="I14" s="144">
        <f t="shared" si="4"/>
        <v>5</v>
      </c>
      <c r="J14" s="144">
        <f t="shared" si="4"/>
        <v>10</v>
      </c>
      <c r="K14" s="144">
        <f t="shared" si="4"/>
        <v>13.308425221887719</v>
      </c>
      <c r="L14" s="145">
        <f t="shared" si="4"/>
        <v>13.308425221887719</v>
      </c>
      <c r="O14" t="s">
        <v>183</v>
      </c>
      <c r="P14" s="6" t="s">
        <v>196</v>
      </c>
      <c r="Q14" s="56">
        <f>+gCOP</f>
        <v>1.2</v>
      </c>
      <c r="S14" s="118"/>
      <c r="T14" s="118"/>
      <c r="U14" s="118"/>
      <c r="V14" s="118"/>
      <c r="W14" s="118"/>
      <c r="X14" s="118"/>
      <c r="Y14" s="118"/>
    </row>
    <row r="15" spans="2:25" ht="12.75" customHeight="1">
      <c r="B15" s="140">
        <v>2</v>
      </c>
      <c r="C15" s="146">
        <f aca="true" t="shared" si="5" ref="C15:C34">+($K$4/$B15+$K$5-$K$3*H15)/$K$2</f>
        <v>0.07527477085193932</v>
      </c>
      <c r="D15" s="147">
        <f t="shared" si="0"/>
        <v>0.11540788876673236</v>
      </c>
      <c r="E15" s="147">
        <f t="shared" si="1"/>
        <v>0.1555410066815254</v>
      </c>
      <c r="F15" s="147">
        <f t="shared" si="2"/>
        <v>0.19567412459631842</v>
      </c>
      <c r="G15" s="160">
        <f t="shared" si="3"/>
        <v>0.23580724251111146</v>
      </c>
      <c r="H15" s="149">
        <f t="shared" si="4"/>
        <v>0</v>
      </c>
      <c r="I15" s="149">
        <f t="shared" si="4"/>
        <v>5</v>
      </c>
      <c r="J15" s="149">
        <f t="shared" si="4"/>
        <v>10</v>
      </c>
      <c r="K15" s="149">
        <f t="shared" si="4"/>
        <v>15</v>
      </c>
      <c r="L15" s="150">
        <f t="shared" si="4"/>
        <v>20</v>
      </c>
      <c r="O15" t="s">
        <v>184</v>
      </c>
      <c r="P15" s="9" t="s">
        <v>197</v>
      </c>
      <c r="Q15" s="56">
        <f>+ChillerEfficiency</f>
        <v>0.85</v>
      </c>
      <c r="R15" t="s">
        <v>41</v>
      </c>
      <c r="S15" s="119"/>
      <c r="T15" s="118"/>
      <c r="U15" s="119"/>
      <c r="V15" s="118"/>
      <c r="W15" s="118"/>
      <c r="X15" s="118"/>
      <c r="Y15" s="118"/>
    </row>
    <row r="16" spans="2:25" ht="12.75" customHeight="1">
      <c r="B16" s="140">
        <v>3</v>
      </c>
      <c r="C16" s="146">
        <f t="shared" si="5"/>
        <v>0.05264026771526745</v>
      </c>
      <c r="D16" s="147">
        <f>+($K$4/$B16+$K$5-$K$3*I16)/$K$2</f>
        <v>0.09277338563006048</v>
      </c>
      <c r="E16" s="147">
        <f t="shared" si="1"/>
        <v>0.1329065035448535</v>
      </c>
      <c r="F16" s="147">
        <f t="shared" si="2"/>
        <v>0.17303962145964655</v>
      </c>
      <c r="G16" s="160">
        <f t="shared" si="3"/>
        <v>0.21317273937443956</v>
      </c>
      <c r="H16" s="149">
        <f t="shared" si="4"/>
        <v>0</v>
      </c>
      <c r="I16" s="149">
        <f t="shared" si="4"/>
        <v>5</v>
      </c>
      <c r="J16" s="149">
        <f t="shared" si="4"/>
        <v>10</v>
      </c>
      <c r="K16" s="149">
        <f t="shared" si="4"/>
        <v>15</v>
      </c>
      <c r="L16" s="150">
        <f t="shared" si="4"/>
        <v>20</v>
      </c>
      <c r="O16" t="s">
        <v>185</v>
      </c>
      <c r="P16" s="9" t="s">
        <v>198</v>
      </c>
      <c r="Q16" s="56">
        <f>+eta</f>
        <v>0.72</v>
      </c>
      <c r="S16" s="119"/>
      <c r="T16" s="9"/>
      <c r="U16" s="119"/>
      <c r="V16" s="119"/>
      <c r="W16" s="119"/>
      <c r="X16" s="119"/>
      <c r="Y16" s="118"/>
    </row>
    <row r="17" spans="2:25" ht="15.75">
      <c r="B17" s="140">
        <v>4</v>
      </c>
      <c r="C17" s="146">
        <f t="shared" si="5"/>
        <v>0.041323016146931506</v>
      </c>
      <c r="D17" s="147">
        <f t="shared" si="0"/>
        <v>0.08145613406172454</v>
      </c>
      <c r="E17" s="147">
        <f t="shared" si="1"/>
        <v>0.12158925197651758</v>
      </c>
      <c r="F17" s="147">
        <f t="shared" si="2"/>
        <v>0.1617223698913106</v>
      </c>
      <c r="G17" s="160">
        <f t="shared" si="3"/>
        <v>0.20185548780610366</v>
      </c>
      <c r="H17" s="149">
        <f t="shared" si="4"/>
        <v>0</v>
      </c>
      <c r="I17" s="149">
        <f t="shared" si="4"/>
        <v>5</v>
      </c>
      <c r="J17" s="149">
        <f t="shared" si="4"/>
        <v>10</v>
      </c>
      <c r="K17" s="149">
        <f t="shared" si="4"/>
        <v>15</v>
      </c>
      <c r="L17" s="150">
        <f t="shared" si="4"/>
        <v>20</v>
      </c>
      <c r="O17" t="s">
        <v>186</v>
      </c>
      <c r="P17" s="6" t="s">
        <v>199</v>
      </c>
      <c r="Q17" s="36">
        <f>+Qe</f>
        <v>5200</v>
      </c>
      <c r="R17" t="s">
        <v>0</v>
      </c>
      <c r="S17" s="120"/>
      <c r="T17" s="120"/>
      <c r="U17" s="121"/>
      <c r="V17" s="122"/>
      <c r="W17" s="123"/>
      <c r="X17" s="123"/>
      <c r="Y17" s="118"/>
    </row>
    <row r="18" spans="2:25" ht="12.75">
      <c r="B18" s="140">
        <v>5</v>
      </c>
      <c r="C18" s="146">
        <f t="shared" si="5"/>
        <v>0.034532665205929944</v>
      </c>
      <c r="D18" s="147">
        <f>+($K$4/$B18+$K$5-$K$3*I18)/$K$2</f>
        <v>0.07466578312072299</v>
      </c>
      <c r="E18" s="147">
        <f t="shared" si="1"/>
        <v>0.11479890103551602</v>
      </c>
      <c r="F18" s="147">
        <f t="shared" si="2"/>
        <v>0.15493201895030906</v>
      </c>
      <c r="G18" s="160">
        <f t="shared" si="3"/>
        <v>0.19506513686510207</v>
      </c>
      <c r="H18" s="149">
        <f t="shared" si="4"/>
        <v>0</v>
      </c>
      <c r="I18" s="149">
        <f t="shared" si="4"/>
        <v>5</v>
      </c>
      <c r="J18" s="149">
        <f t="shared" si="4"/>
        <v>10</v>
      </c>
      <c r="K18" s="232">
        <f t="shared" si="4"/>
        <v>15</v>
      </c>
      <c r="L18" s="150">
        <f t="shared" si="4"/>
        <v>20</v>
      </c>
      <c r="O18" t="s">
        <v>187</v>
      </c>
      <c r="P18" s="6" t="s">
        <v>200</v>
      </c>
      <c r="Q18" s="36">
        <f>+H</f>
        <v>8424</v>
      </c>
      <c r="R18" t="s">
        <v>204</v>
      </c>
      <c r="S18" s="120"/>
      <c r="T18" s="120"/>
      <c r="U18" s="121"/>
      <c r="V18" s="122"/>
      <c r="W18" s="123"/>
      <c r="X18" s="123"/>
      <c r="Y18" s="118"/>
    </row>
    <row r="19" spans="2:25" ht="15.75">
      <c r="B19" s="140">
        <v>6</v>
      </c>
      <c r="C19" s="146">
        <f t="shared" si="5"/>
        <v>0.030005764578595575</v>
      </c>
      <c r="D19" s="147">
        <f>+($K$4/$B19+$K$5-$K$3*I19)/$K$2</f>
        <v>0.07013888249338861</v>
      </c>
      <c r="E19" s="147">
        <f t="shared" si="1"/>
        <v>0.11027200040818164</v>
      </c>
      <c r="F19" s="147">
        <f t="shared" si="2"/>
        <v>0.15040511832297468</v>
      </c>
      <c r="G19" s="160">
        <f t="shared" si="3"/>
        <v>0.1905382362377677</v>
      </c>
      <c r="H19" s="149">
        <f t="shared" si="4"/>
        <v>0</v>
      </c>
      <c r="I19" s="149">
        <f t="shared" si="4"/>
        <v>5</v>
      </c>
      <c r="J19" s="149">
        <f t="shared" si="4"/>
        <v>10</v>
      </c>
      <c r="K19" s="149">
        <f t="shared" si="4"/>
        <v>15</v>
      </c>
      <c r="L19" s="150">
        <f t="shared" si="4"/>
        <v>20</v>
      </c>
      <c r="O19" t="s">
        <v>188</v>
      </c>
      <c r="P19" s="6" t="s">
        <v>201</v>
      </c>
      <c r="Q19" s="7">
        <f>+COM</f>
        <v>0.0076</v>
      </c>
      <c r="R19" s="63" t="s">
        <v>30</v>
      </c>
      <c r="S19" s="120"/>
      <c r="T19" s="120"/>
      <c r="U19" s="121"/>
      <c r="V19" s="122"/>
      <c r="W19" s="123"/>
      <c r="X19" s="123"/>
      <c r="Y19" s="118"/>
    </row>
    <row r="20" spans="2:25" ht="15.75">
      <c r="B20" s="140">
        <v>7</v>
      </c>
      <c r="C20" s="146">
        <f t="shared" si="5"/>
        <v>0.026772264130499594</v>
      </c>
      <c r="D20" s="147">
        <f t="shared" si="0"/>
        <v>0.06690538204529262</v>
      </c>
      <c r="E20" s="147">
        <f t="shared" si="1"/>
        <v>0.10703849996008566</v>
      </c>
      <c r="F20" s="147">
        <f t="shared" si="2"/>
        <v>0.1471716178748787</v>
      </c>
      <c r="G20" s="160">
        <f t="shared" si="3"/>
        <v>0.18730473578967172</v>
      </c>
      <c r="H20" s="149">
        <f t="shared" si="4"/>
        <v>0</v>
      </c>
      <c r="I20" s="149">
        <f t="shared" si="4"/>
        <v>5</v>
      </c>
      <c r="J20" s="149">
        <f t="shared" si="4"/>
        <v>10</v>
      </c>
      <c r="K20" s="149">
        <f t="shared" si="4"/>
        <v>15</v>
      </c>
      <c r="L20" s="150">
        <f t="shared" si="4"/>
        <v>20</v>
      </c>
      <c r="O20" t="s">
        <v>189</v>
      </c>
      <c r="P20" s="6" t="s">
        <v>202</v>
      </c>
      <c r="Q20" s="4">
        <f>+Cstandby</f>
        <v>24</v>
      </c>
      <c r="R20" s="63" t="s">
        <v>205</v>
      </c>
      <c r="S20" s="120"/>
      <c r="T20" s="120"/>
      <c r="U20" s="121"/>
      <c r="V20" s="122"/>
      <c r="W20" s="123"/>
      <c r="X20" s="123"/>
      <c r="Y20" s="118"/>
    </row>
    <row r="21" spans="2:25" ht="15.75">
      <c r="B21" s="140">
        <v>8</v>
      </c>
      <c r="C21" s="146">
        <f t="shared" si="5"/>
        <v>0.024347138794427608</v>
      </c>
      <c r="D21" s="147">
        <f t="shared" si="0"/>
        <v>0.06448025670922064</v>
      </c>
      <c r="E21" s="147">
        <f t="shared" si="1"/>
        <v>0.10461337462401368</v>
      </c>
      <c r="F21" s="147">
        <f t="shared" si="2"/>
        <v>0.14474649253880673</v>
      </c>
      <c r="G21" s="160">
        <f t="shared" si="3"/>
        <v>0.18487961045359974</v>
      </c>
      <c r="H21" s="149">
        <f t="shared" si="4"/>
        <v>0</v>
      </c>
      <c r="I21" s="149">
        <f t="shared" si="4"/>
        <v>5</v>
      </c>
      <c r="J21" s="149">
        <f t="shared" si="4"/>
        <v>10</v>
      </c>
      <c r="K21" s="149">
        <f t="shared" si="4"/>
        <v>15</v>
      </c>
      <c r="L21" s="150">
        <f t="shared" si="4"/>
        <v>20</v>
      </c>
      <c r="O21" t="s">
        <v>190</v>
      </c>
      <c r="P21" s="6" t="s">
        <v>203</v>
      </c>
      <c r="Q21" s="3">
        <f>+Cexport</f>
        <v>0.025</v>
      </c>
      <c r="R21" s="63" t="s">
        <v>30</v>
      </c>
      <c r="S21" s="120"/>
      <c r="T21" s="120"/>
      <c r="U21" s="121"/>
      <c r="V21" s="122"/>
      <c r="W21" s="123"/>
      <c r="X21" s="123"/>
      <c r="Y21" s="118"/>
    </row>
    <row r="22" spans="2:25" ht="15.75">
      <c r="B22" s="140">
        <v>9</v>
      </c>
      <c r="C22" s="146">
        <f t="shared" si="5"/>
        <v>0.022460930199704958</v>
      </c>
      <c r="D22" s="147">
        <f t="shared" si="0"/>
        <v>0.062594048114498</v>
      </c>
      <c r="E22" s="147">
        <f t="shared" si="1"/>
        <v>0.10272716602929104</v>
      </c>
      <c r="F22" s="147">
        <f t="shared" si="2"/>
        <v>0.14286028394408407</v>
      </c>
      <c r="G22" s="160">
        <f t="shared" si="3"/>
        <v>0.1829934018588771</v>
      </c>
      <c r="H22" s="149">
        <f t="shared" si="4"/>
        <v>0</v>
      </c>
      <c r="I22" s="149">
        <f t="shared" si="4"/>
        <v>5</v>
      </c>
      <c r="J22" s="149">
        <f t="shared" si="4"/>
        <v>10</v>
      </c>
      <c r="K22" s="149">
        <f t="shared" si="4"/>
        <v>15</v>
      </c>
      <c r="L22" s="150">
        <f t="shared" si="4"/>
        <v>20</v>
      </c>
      <c r="O22" t="s">
        <v>207</v>
      </c>
      <c r="P22" s="6" t="s">
        <v>208</v>
      </c>
      <c r="Q22" s="2">
        <f>+Psubsidy</f>
        <v>0</v>
      </c>
      <c r="R22" s="63" t="s">
        <v>24</v>
      </c>
      <c r="S22" s="118"/>
      <c r="T22" s="118"/>
      <c r="U22" s="118"/>
      <c r="V22" s="118"/>
      <c r="W22" s="118"/>
      <c r="X22" s="118"/>
      <c r="Y22" s="118"/>
    </row>
    <row r="23" spans="2:25" ht="15.75">
      <c r="B23" s="140">
        <v>10</v>
      </c>
      <c r="C23" s="146">
        <f t="shared" si="5"/>
        <v>0.02095196332392683</v>
      </c>
      <c r="D23" s="147">
        <f t="shared" si="0"/>
        <v>0.06108508123871986</v>
      </c>
      <c r="E23" s="147">
        <f t="shared" si="1"/>
        <v>0.10121819915351289</v>
      </c>
      <c r="F23" s="147">
        <f t="shared" si="2"/>
        <v>0.14135131706830592</v>
      </c>
      <c r="G23" s="160">
        <f t="shared" si="3"/>
        <v>0.181484434983099</v>
      </c>
      <c r="H23" s="149">
        <f t="shared" si="4"/>
        <v>0</v>
      </c>
      <c r="I23" s="149">
        <f t="shared" si="4"/>
        <v>5</v>
      </c>
      <c r="J23" s="149">
        <f t="shared" si="4"/>
        <v>10</v>
      </c>
      <c r="K23" s="232">
        <f t="shared" si="4"/>
        <v>15</v>
      </c>
      <c r="L23" s="150">
        <f t="shared" si="4"/>
        <v>20</v>
      </c>
      <c r="O23" t="s">
        <v>209</v>
      </c>
      <c r="P23" s="6" t="s">
        <v>210</v>
      </c>
      <c r="Q23" s="2">
        <f>+Pbuydown</f>
        <v>0</v>
      </c>
      <c r="S23" s="118"/>
      <c r="T23" s="118"/>
      <c r="U23" s="118"/>
      <c r="V23" s="118"/>
      <c r="W23" s="118"/>
      <c r="X23" s="118"/>
      <c r="Y23" s="118"/>
    </row>
    <row r="24" spans="2:25" ht="15.75">
      <c r="B24" s="140">
        <v>11</v>
      </c>
      <c r="C24" s="146">
        <f t="shared" si="5"/>
        <v>0.019717354061926543</v>
      </c>
      <c r="D24" s="147">
        <f t="shared" si="0"/>
        <v>0.059850471976719576</v>
      </c>
      <c r="E24" s="147">
        <f t="shared" si="1"/>
        <v>0.09998358989151261</v>
      </c>
      <c r="F24" s="147">
        <f t="shared" si="2"/>
        <v>0.14011670780630564</v>
      </c>
      <c r="G24" s="160">
        <f t="shared" si="3"/>
        <v>0.18024982572109868</v>
      </c>
      <c r="H24" s="149">
        <f aca="true" t="shared" si="6" ref="H24:L34">MIN(H$10,MAX($H$10,($K$4/$B24+$K$5-$K$2*$O$4)/$K$3))</f>
        <v>0</v>
      </c>
      <c r="I24" s="149">
        <f t="shared" si="6"/>
        <v>5</v>
      </c>
      <c r="J24" s="149">
        <f t="shared" si="6"/>
        <v>10</v>
      </c>
      <c r="K24" s="149">
        <f t="shared" si="6"/>
        <v>15</v>
      </c>
      <c r="L24" s="150">
        <f t="shared" si="6"/>
        <v>20</v>
      </c>
      <c r="O24" t="s">
        <v>211</v>
      </c>
      <c r="P24" s="6" t="s">
        <v>212</v>
      </c>
      <c r="Q24" s="2">
        <f>+Data!W20</f>
        <v>1427</v>
      </c>
      <c r="R24" s="63" t="s">
        <v>29</v>
      </c>
      <c r="S24" s="118"/>
      <c r="T24" s="118"/>
      <c r="U24" s="118"/>
      <c r="V24" s="118"/>
      <c r="W24" s="118"/>
      <c r="X24" s="118"/>
      <c r="Y24" s="118"/>
    </row>
    <row r="25" spans="2:25" ht="15.75">
      <c r="B25" s="140">
        <v>12</v>
      </c>
      <c r="C25" s="146">
        <f t="shared" si="5"/>
        <v>0.01868851301025964</v>
      </c>
      <c r="D25" s="147">
        <f t="shared" si="0"/>
        <v>0.05882163092505267</v>
      </c>
      <c r="E25" s="147">
        <f t="shared" si="1"/>
        <v>0.0989547488398457</v>
      </c>
      <c r="F25" s="147">
        <f t="shared" si="2"/>
        <v>0.13908786675463874</v>
      </c>
      <c r="G25" s="160">
        <f t="shared" si="3"/>
        <v>0.17922098466943176</v>
      </c>
      <c r="H25" s="149">
        <f t="shared" si="6"/>
        <v>0</v>
      </c>
      <c r="I25" s="149">
        <f t="shared" si="6"/>
        <v>5</v>
      </c>
      <c r="J25" s="149">
        <f t="shared" si="6"/>
        <v>10</v>
      </c>
      <c r="K25" s="149">
        <f t="shared" si="6"/>
        <v>15</v>
      </c>
      <c r="L25" s="150">
        <f t="shared" si="6"/>
        <v>20</v>
      </c>
      <c r="O25" t="s">
        <v>213</v>
      </c>
      <c r="P25" s="6" t="s">
        <v>214</v>
      </c>
      <c r="Q25" s="2">
        <f>+Data!W21</f>
        <v>194.71153846153845</v>
      </c>
      <c r="R25" s="63" t="s">
        <v>29</v>
      </c>
      <c r="S25" s="118"/>
      <c r="T25" s="118"/>
      <c r="U25" s="118"/>
      <c r="V25" s="118"/>
      <c r="W25" s="118"/>
      <c r="X25" s="118"/>
      <c r="Y25" s="118"/>
    </row>
    <row r="26" spans="2:18" ht="12.75">
      <c r="B26" s="140">
        <v>13</v>
      </c>
      <c r="C26" s="146">
        <f t="shared" si="5"/>
        <v>0.017817955197310723</v>
      </c>
      <c r="D26" s="147">
        <f t="shared" si="0"/>
        <v>0.05795107311210376</v>
      </c>
      <c r="E26" s="147">
        <f t="shared" si="1"/>
        <v>0.09808419102689679</v>
      </c>
      <c r="F26" s="147">
        <f t="shared" si="2"/>
        <v>0.13821730894168982</v>
      </c>
      <c r="G26" s="160">
        <f t="shared" si="3"/>
        <v>0.17835042685648284</v>
      </c>
      <c r="H26" s="149">
        <f t="shared" si="6"/>
        <v>0</v>
      </c>
      <c r="I26" s="149">
        <f t="shared" si="6"/>
        <v>5</v>
      </c>
      <c r="J26" s="149">
        <f t="shared" si="6"/>
        <v>10</v>
      </c>
      <c r="K26" s="149">
        <f t="shared" si="6"/>
        <v>15</v>
      </c>
      <c r="L26" s="150">
        <f t="shared" si="6"/>
        <v>20</v>
      </c>
      <c r="O26" t="s">
        <v>215</v>
      </c>
      <c r="P26" s="6" t="s">
        <v>216</v>
      </c>
      <c r="Q26" s="108">
        <f>+Data!W25</f>
        <v>1</v>
      </c>
      <c r="R26" s="63"/>
    </row>
    <row r="27" spans="2:17" ht="12.75">
      <c r="B27" s="140">
        <v>14</v>
      </c>
      <c r="C27" s="146">
        <f t="shared" si="5"/>
        <v>0.01707176278621165</v>
      </c>
      <c r="D27" s="147">
        <f t="shared" si="0"/>
        <v>0.057204880701004684</v>
      </c>
      <c r="E27" s="147">
        <f t="shared" si="1"/>
        <v>0.09733799861579771</v>
      </c>
      <c r="F27" s="147">
        <f t="shared" si="2"/>
        <v>0.13747111653059074</v>
      </c>
      <c r="G27" s="160">
        <f t="shared" si="3"/>
        <v>0.17760423444538379</v>
      </c>
      <c r="H27" s="149">
        <f t="shared" si="6"/>
        <v>0</v>
      </c>
      <c r="I27" s="149">
        <f t="shared" si="6"/>
        <v>5</v>
      </c>
      <c r="J27" s="149">
        <f t="shared" si="6"/>
        <v>10</v>
      </c>
      <c r="K27" s="149">
        <f t="shared" si="6"/>
        <v>15</v>
      </c>
      <c r="L27" s="150">
        <f t="shared" si="6"/>
        <v>20</v>
      </c>
      <c r="O27" t="str">
        <f>CONCATENATE("20. ",CHAR(105))</f>
        <v>20. i</v>
      </c>
      <c r="P27" s="6" t="str">
        <f>CHAR(105)</f>
        <v>i</v>
      </c>
      <c r="Q27" s="55">
        <f>+i</f>
        <v>0.06</v>
      </c>
    </row>
    <row r="28" spans="2:12" ht="12.75">
      <c r="B28" s="140">
        <v>15</v>
      </c>
      <c r="C28" s="146">
        <f t="shared" si="5"/>
        <v>0.016425062696592455</v>
      </c>
      <c r="D28" s="147">
        <f t="shared" si="0"/>
        <v>0.05655818061138549</v>
      </c>
      <c r="E28" s="147">
        <f t="shared" si="1"/>
        <v>0.09669129852617853</v>
      </c>
      <c r="F28" s="147">
        <f t="shared" si="2"/>
        <v>0.13682441644097157</v>
      </c>
      <c r="G28" s="160">
        <f t="shared" si="3"/>
        <v>0.17695753435576458</v>
      </c>
      <c r="H28" s="149">
        <f t="shared" si="6"/>
        <v>0</v>
      </c>
      <c r="I28" s="149">
        <f t="shared" si="6"/>
        <v>5</v>
      </c>
      <c r="J28" s="149">
        <f t="shared" si="6"/>
        <v>10</v>
      </c>
      <c r="K28" s="149">
        <f t="shared" si="6"/>
        <v>15</v>
      </c>
      <c r="L28" s="150">
        <f t="shared" si="6"/>
        <v>20</v>
      </c>
    </row>
    <row r="29" spans="2:15" ht="12.75">
      <c r="B29" s="140">
        <v>16</v>
      </c>
      <c r="C29" s="146">
        <f t="shared" si="5"/>
        <v>0.015859200118175657</v>
      </c>
      <c r="D29" s="147">
        <f t="shared" si="0"/>
        <v>0.055992318032968696</v>
      </c>
      <c r="E29" s="147">
        <f t="shared" si="1"/>
        <v>0.09612543594776173</v>
      </c>
      <c r="F29" s="147">
        <f t="shared" si="2"/>
        <v>0.13625855386255475</v>
      </c>
      <c r="G29" s="160">
        <f t="shared" si="3"/>
        <v>0.17639167177734777</v>
      </c>
      <c r="H29" s="149">
        <f t="shared" si="6"/>
        <v>0</v>
      </c>
      <c r="I29" s="149">
        <f t="shared" si="6"/>
        <v>5</v>
      </c>
      <c r="J29" s="149">
        <f t="shared" si="6"/>
        <v>10</v>
      </c>
      <c r="K29" s="149">
        <f t="shared" si="6"/>
        <v>15</v>
      </c>
      <c r="L29" s="150">
        <f t="shared" si="6"/>
        <v>20</v>
      </c>
      <c r="O29" s="134"/>
    </row>
    <row r="30" spans="2:16" ht="12.75">
      <c r="B30" s="140">
        <v>17</v>
      </c>
      <c r="C30" s="146">
        <f t="shared" si="5"/>
        <v>0.015359909607807896</v>
      </c>
      <c r="D30" s="147">
        <f t="shared" si="0"/>
        <v>0.05549302752260092</v>
      </c>
      <c r="E30" s="147">
        <f t="shared" si="1"/>
        <v>0.09562614543739396</v>
      </c>
      <c r="F30" s="147">
        <f t="shared" si="2"/>
        <v>0.135759263352187</v>
      </c>
      <c r="G30" s="160">
        <f t="shared" si="3"/>
        <v>0.17589238126698004</v>
      </c>
      <c r="H30" s="149">
        <f t="shared" si="6"/>
        <v>0</v>
      </c>
      <c r="I30" s="149">
        <f t="shared" si="6"/>
        <v>5</v>
      </c>
      <c r="J30" s="149">
        <f t="shared" si="6"/>
        <v>10</v>
      </c>
      <c r="K30" s="149">
        <f t="shared" si="6"/>
        <v>15</v>
      </c>
      <c r="L30" s="150">
        <f t="shared" si="6"/>
        <v>20</v>
      </c>
      <c r="P30" s="6"/>
    </row>
    <row r="31" spans="2:16" ht="12.75">
      <c r="B31" s="140">
        <v>18</v>
      </c>
      <c r="C31" s="146">
        <f t="shared" si="5"/>
        <v>0.01491609582081433</v>
      </c>
      <c r="D31" s="147">
        <f t="shared" si="0"/>
        <v>0.05504921373560736</v>
      </c>
      <c r="E31" s="147">
        <f t="shared" si="1"/>
        <v>0.09518233165040041</v>
      </c>
      <c r="F31" s="147">
        <f t="shared" si="2"/>
        <v>0.13531544956519345</v>
      </c>
      <c r="G31" s="160">
        <f t="shared" si="3"/>
        <v>0.17544856747998647</v>
      </c>
      <c r="H31" s="149">
        <f t="shared" si="6"/>
        <v>0</v>
      </c>
      <c r="I31" s="149">
        <f t="shared" si="6"/>
        <v>5</v>
      </c>
      <c r="J31" s="149">
        <f t="shared" si="6"/>
        <v>10</v>
      </c>
      <c r="K31" s="149">
        <f t="shared" si="6"/>
        <v>15</v>
      </c>
      <c r="L31" s="150">
        <f t="shared" si="6"/>
        <v>20</v>
      </c>
      <c r="P31" s="6"/>
    </row>
    <row r="32" spans="2:17" ht="12.75">
      <c r="B32" s="140">
        <v>19</v>
      </c>
      <c r="C32" s="146">
        <f t="shared" si="5"/>
        <v>0.014518999274556927</v>
      </c>
      <c r="D32" s="147">
        <f t="shared" si="0"/>
        <v>0.05465211718934996</v>
      </c>
      <c r="E32" s="147">
        <f t="shared" si="1"/>
        <v>0.094785235104143</v>
      </c>
      <c r="F32" s="147">
        <f t="shared" si="2"/>
        <v>0.13491835301893604</v>
      </c>
      <c r="G32" s="160">
        <f t="shared" si="3"/>
        <v>0.17505147093372905</v>
      </c>
      <c r="H32" s="149">
        <f t="shared" si="6"/>
        <v>0</v>
      </c>
      <c r="I32" s="149">
        <f t="shared" si="6"/>
        <v>5</v>
      </c>
      <c r="J32" s="149">
        <f t="shared" si="6"/>
        <v>10</v>
      </c>
      <c r="K32" s="149">
        <f t="shared" si="6"/>
        <v>15</v>
      </c>
      <c r="L32" s="150">
        <f t="shared" si="6"/>
        <v>20</v>
      </c>
      <c r="P32" s="6"/>
      <c r="Q32" s="7"/>
    </row>
    <row r="33" spans="2:16" ht="12.75">
      <c r="B33" s="140">
        <v>20</v>
      </c>
      <c r="C33" s="146">
        <f t="shared" si="5"/>
        <v>0.01416161238292527</v>
      </c>
      <c r="D33" s="147">
        <f t="shared" si="0"/>
        <v>0.0542947302977183</v>
      </c>
      <c r="E33" s="147">
        <f t="shared" si="1"/>
        <v>0.09442784821251135</v>
      </c>
      <c r="F33" s="147">
        <f t="shared" si="2"/>
        <v>0.1345609661273044</v>
      </c>
      <c r="G33" s="160">
        <f t="shared" si="3"/>
        <v>0.1746940840420974</v>
      </c>
      <c r="H33" s="149">
        <f t="shared" si="6"/>
        <v>0</v>
      </c>
      <c r="I33" s="149">
        <f t="shared" si="6"/>
        <v>5</v>
      </c>
      <c r="J33" s="149">
        <f t="shared" si="6"/>
        <v>10</v>
      </c>
      <c r="K33" s="232">
        <f t="shared" si="6"/>
        <v>15</v>
      </c>
      <c r="L33" s="150">
        <f t="shared" si="6"/>
        <v>20</v>
      </c>
      <c r="P33" s="6"/>
    </row>
    <row r="34" spans="2:17" ht="13.5" thickBot="1">
      <c r="B34" s="151">
        <v>1000</v>
      </c>
      <c r="C34" s="152">
        <f t="shared" si="5"/>
        <v>0.007507068460743739</v>
      </c>
      <c r="D34" s="153">
        <f t="shared" si="0"/>
        <v>0.04764018637553677</v>
      </c>
      <c r="E34" s="153">
        <f t="shared" si="1"/>
        <v>0.0877733042903298</v>
      </c>
      <c r="F34" s="153">
        <f t="shared" si="2"/>
        <v>0.12790642220512285</v>
      </c>
      <c r="G34" s="161">
        <f t="shared" si="3"/>
        <v>0.16803954011991587</v>
      </c>
      <c r="H34" s="154">
        <f t="shared" si="6"/>
        <v>0</v>
      </c>
      <c r="I34" s="154">
        <f t="shared" si="6"/>
        <v>5</v>
      </c>
      <c r="J34" s="154">
        <f t="shared" si="6"/>
        <v>10</v>
      </c>
      <c r="K34" s="233">
        <f t="shared" si="6"/>
        <v>15</v>
      </c>
      <c r="L34" s="155">
        <f t="shared" si="6"/>
        <v>20</v>
      </c>
      <c r="P34" s="6"/>
      <c r="Q34" s="2"/>
    </row>
    <row r="35" spans="2:12" ht="12.75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7" ht="12.75">
      <c r="B36" t="s">
        <v>844</v>
      </c>
      <c r="F36" s="235">
        <v>0.5</v>
      </c>
      <c r="Q36" s="3"/>
    </row>
    <row r="37" spans="2:17" ht="12.75">
      <c r="B37" t="s">
        <v>836</v>
      </c>
      <c r="Q37" s="3"/>
    </row>
    <row r="38" spans="2:16" ht="12.75">
      <c r="B38">
        <v>5</v>
      </c>
      <c r="C38" s="3">
        <f>+($K$4/B38+$K$5-$K$3*$F$36)/$K$2</f>
        <v>0.03854597699740925</v>
      </c>
      <c r="D38" s="4">
        <f>+$F$36</f>
        <v>0.5</v>
      </c>
      <c r="P38" s="3"/>
    </row>
    <row r="39" spans="2:16" ht="12.75">
      <c r="B39">
        <v>10</v>
      </c>
      <c r="C39" s="3">
        <f>+($K$4/B39+$K$5-$K$3*$F$36)/$K$2</f>
        <v>0.02496527511540613</v>
      </c>
      <c r="D39" s="4">
        <f>+$F$36</f>
        <v>0.5</v>
      </c>
      <c r="F39" s="147"/>
      <c r="P39" s="3"/>
    </row>
    <row r="40" spans="2:16" ht="12.75">
      <c r="B40">
        <v>15</v>
      </c>
      <c r="C40" s="3">
        <f>+($K$4/B40+$K$5-$K$3*$F$36)/$K$2</f>
        <v>0.02043837448807176</v>
      </c>
      <c r="D40" s="4">
        <f>+$F$36</f>
        <v>0.5</v>
      </c>
      <c r="P40" s="3"/>
    </row>
    <row r="41" spans="2:16" ht="12.75">
      <c r="B41">
        <v>20</v>
      </c>
      <c r="C41" s="3">
        <f>+($K$4/B41+$K$5-$K$3*$F$36)/$K$2</f>
        <v>0.018174924174404573</v>
      </c>
      <c r="D41" s="4">
        <f>+$F$36</f>
        <v>0.5</v>
      </c>
      <c r="O41" s="124"/>
      <c r="P41" s="3"/>
    </row>
    <row r="42" spans="2:16" ht="12.75">
      <c r="B42" s="212">
        <v>1000</v>
      </c>
      <c r="C42" s="3">
        <f>+($K$4/B42+$K$5-$K$3*$F$36)/$K$2</f>
        <v>0.011520380252223043</v>
      </c>
      <c r="D42" s="4">
        <f>+$F$36</f>
        <v>0.5</v>
      </c>
      <c r="O42" s="124"/>
      <c r="P42" s="3"/>
    </row>
    <row r="43" spans="15:16" ht="12.75">
      <c r="O43" s="124"/>
      <c r="P43" s="3"/>
    </row>
    <row r="44" spans="15:16" ht="12.75">
      <c r="O44" s="124"/>
      <c r="P44" s="3"/>
    </row>
    <row r="45" spans="15:16" ht="12.75">
      <c r="O45" s="124"/>
      <c r="P45" s="3"/>
    </row>
    <row r="46" spans="15:17" ht="12.75">
      <c r="O46" s="124"/>
      <c r="P46" s="3"/>
      <c r="Q46" s="7"/>
    </row>
    <row r="47" spans="15:16" ht="12.75">
      <c r="O47" s="124"/>
      <c r="P47" s="3"/>
    </row>
    <row r="48" ht="12.75">
      <c r="P48" s="3"/>
    </row>
    <row r="49" ht="12.75">
      <c r="P49" s="3"/>
    </row>
    <row r="50" ht="12.75">
      <c r="P50" s="3"/>
    </row>
    <row r="51" ht="12.75">
      <c r="P51" s="3"/>
    </row>
    <row r="52" spans="15:16" ht="12.75">
      <c r="O52" s="3"/>
      <c r="P52" s="3"/>
    </row>
    <row r="53" spans="15:16" ht="12.75">
      <c r="O53" s="3"/>
      <c r="P53" s="3"/>
    </row>
    <row r="54" spans="15:16" ht="12.75">
      <c r="O54" s="3"/>
      <c r="P54" s="3"/>
    </row>
    <row r="55" spans="15:16" ht="12.75">
      <c r="O55" s="3"/>
      <c r="P55" s="3"/>
    </row>
    <row r="56" spans="15:16" ht="12.75"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60" spans="2:12" ht="12.7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</row>
    <row r="61" spans="2:12" ht="12.7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</row>
    <row r="62" spans="2:7" ht="12.75">
      <c r="B62" s="134"/>
      <c r="C62" s="134"/>
      <c r="D62" s="134"/>
      <c r="E62" s="134"/>
      <c r="F62" s="134"/>
      <c r="G62" s="156"/>
    </row>
    <row r="63" spans="2:12" ht="12.75"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2:12" ht="13.5" thickBot="1"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</row>
    <row r="65" spans="2:12" ht="13.5" thickBot="1">
      <c r="B65" s="157"/>
      <c r="C65" s="385" t="s">
        <v>22</v>
      </c>
      <c r="D65" s="385"/>
      <c r="E65" s="385"/>
      <c r="F65" s="385"/>
      <c r="G65" s="385"/>
      <c r="H65" s="385"/>
      <c r="I65" s="385"/>
      <c r="J65" s="385"/>
      <c r="K65" s="385"/>
      <c r="L65" s="386"/>
    </row>
    <row r="66" spans="2:12" ht="13.5" thickBot="1">
      <c r="B66" s="158" t="s">
        <v>217</v>
      </c>
      <c r="C66" s="387" t="s">
        <v>218</v>
      </c>
      <c r="D66" s="387"/>
      <c r="E66" s="387"/>
      <c r="F66" s="387"/>
      <c r="G66" s="388"/>
      <c r="H66" s="389" t="s">
        <v>219</v>
      </c>
      <c r="I66" s="389"/>
      <c r="J66" s="389"/>
      <c r="K66" s="389"/>
      <c r="L66" s="390"/>
    </row>
    <row r="67" spans="2:19" ht="12.75">
      <c r="B67" s="140">
        <v>1</v>
      </c>
      <c r="C67" s="141">
        <f aca="true" t="shared" si="7" ref="C67:C87">+($K$4/$B67+$K$5-$K$3*H67)/$K$2</f>
        <v>0.14317828026195492</v>
      </c>
      <c r="D67" s="142">
        <f aca="true" t="shared" si="8" ref="D67:D87">+($K$4/$B67+$K$5-$K$3*I67)/$K$2</f>
        <v>0.18331139817674796</v>
      </c>
      <c r="E67" s="142">
        <f aca="true" t="shared" si="9" ref="E67:E87">+($K$4/$B67+$K$5-$K$3*J67)/$K$2</f>
        <v>0.223444516091541</v>
      </c>
      <c r="F67" s="142">
        <f aca="true" t="shared" si="10" ref="F67:F87">+($K$4/$B67+$K$5-$K$3*K67)/$K$2</f>
        <v>0.25</v>
      </c>
      <c r="G67" s="142">
        <f aca="true" t="shared" si="11" ref="G67:G87">+($K$4/$B67+$K$5-$K$3*L67)/$K$2</f>
        <v>0.25</v>
      </c>
      <c r="H67" s="143">
        <f aca="true" t="shared" si="12" ref="H67:L76">MIN(H$10,MAX($H$10,($K$4/$B67+$K$5-$K$2*$O$4)/$K$3))</f>
        <v>0</v>
      </c>
      <c r="I67" s="144">
        <f t="shared" si="12"/>
        <v>5</v>
      </c>
      <c r="J67" s="144">
        <f t="shared" si="12"/>
        <v>10</v>
      </c>
      <c r="K67" s="144">
        <f t="shared" si="12"/>
        <v>13.308425221887719</v>
      </c>
      <c r="L67" s="145">
        <f t="shared" si="12"/>
        <v>13.308425221887719</v>
      </c>
      <c r="Q67" s="4"/>
      <c r="R67" s="4"/>
      <c r="S67" s="4"/>
    </row>
    <row r="68" spans="2:19" ht="12.75">
      <c r="B68" s="140">
        <v>2</v>
      </c>
      <c r="C68" s="146">
        <f t="shared" si="7"/>
        <v>0.07527477085193932</v>
      </c>
      <c r="D68" s="147">
        <f t="shared" si="8"/>
        <v>0.11540788876673236</v>
      </c>
      <c r="E68" s="147">
        <f t="shared" si="9"/>
        <v>0.1555410066815254</v>
      </c>
      <c r="F68" s="147">
        <f t="shared" si="10"/>
        <v>0.19567412459631842</v>
      </c>
      <c r="G68" s="147">
        <f t="shared" si="11"/>
        <v>0.23580724251111146</v>
      </c>
      <c r="H68" s="148">
        <f t="shared" si="12"/>
        <v>0</v>
      </c>
      <c r="I68" s="149">
        <f t="shared" si="12"/>
        <v>5</v>
      </c>
      <c r="J68" s="149">
        <f t="shared" si="12"/>
        <v>10</v>
      </c>
      <c r="K68" s="149">
        <f t="shared" si="12"/>
        <v>15</v>
      </c>
      <c r="L68" s="150">
        <f t="shared" si="12"/>
        <v>20</v>
      </c>
      <c r="Q68" s="4"/>
      <c r="R68" s="4"/>
      <c r="S68" s="4"/>
    </row>
    <row r="69" spans="2:19" ht="12.75">
      <c r="B69" s="140">
        <v>3</v>
      </c>
      <c r="C69" s="146">
        <f t="shared" si="7"/>
        <v>0.05264026771526745</v>
      </c>
      <c r="D69" s="147">
        <f t="shared" si="8"/>
        <v>0.09277338563006048</v>
      </c>
      <c r="E69" s="147">
        <f t="shared" si="9"/>
        <v>0.1329065035448535</v>
      </c>
      <c r="F69" s="147">
        <f t="shared" si="10"/>
        <v>0.17303962145964655</v>
      </c>
      <c r="G69" s="147">
        <f t="shared" si="11"/>
        <v>0.21317273937443956</v>
      </c>
      <c r="H69" s="148">
        <f t="shared" si="12"/>
        <v>0</v>
      </c>
      <c r="I69" s="149">
        <f t="shared" si="12"/>
        <v>5</v>
      </c>
      <c r="J69" s="149">
        <f t="shared" si="12"/>
        <v>10</v>
      </c>
      <c r="K69" s="149">
        <f t="shared" si="12"/>
        <v>15</v>
      </c>
      <c r="L69" s="150">
        <f t="shared" si="12"/>
        <v>20</v>
      </c>
      <c r="Q69" s="4"/>
      <c r="R69" s="4"/>
      <c r="S69" s="4"/>
    </row>
    <row r="70" spans="2:19" ht="12.75">
      <c r="B70" s="140">
        <v>4</v>
      </c>
      <c r="C70" s="146">
        <f t="shared" si="7"/>
        <v>0.041323016146931506</v>
      </c>
      <c r="D70" s="147">
        <f t="shared" si="8"/>
        <v>0.08145613406172454</v>
      </c>
      <c r="E70" s="147">
        <f t="shared" si="9"/>
        <v>0.12158925197651758</v>
      </c>
      <c r="F70" s="147">
        <f t="shared" si="10"/>
        <v>0.1617223698913106</v>
      </c>
      <c r="G70" s="147">
        <f t="shared" si="11"/>
        <v>0.20185548780610366</v>
      </c>
      <c r="H70" s="148">
        <f t="shared" si="12"/>
        <v>0</v>
      </c>
      <c r="I70" s="149">
        <f t="shared" si="12"/>
        <v>5</v>
      </c>
      <c r="J70" s="149">
        <f t="shared" si="12"/>
        <v>10</v>
      </c>
      <c r="K70" s="149">
        <f t="shared" si="12"/>
        <v>15</v>
      </c>
      <c r="L70" s="150">
        <f t="shared" si="12"/>
        <v>20</v>
      </c>
      <c r="Q70" s="4"/>
      <c r="R70" s="4"/>
      <c r="S70" s="4"/>
    </row>
    <row r="71" spans="2:19" ht="12.75">
      <c r="B71" s="140">
        <v>5</v>
      </c>
      <c r="C71" s="146">
        <f t="shared" si="7"/>
        <v>0.034532665205929944</v>
      </c>
      <c r="D71" s="147">
        <f t="shared" si="8"/>
        <v>0.07466578312072299</v>
      </c>
      <c r="E71" s="147">
        <f t="shared" si="9"/>
        <v>0.11479890103551602</v>
      </c>
      <c r="F71" s="147">
        <f t="shared" si="10"/>
        <v>0.15493201895030906</v>
      </c>
      <c r="G71" s="147">
        <f t="shared" si="11"/>
        <v>0.19506513686510207</v>
      </c>
      <c r="H71" s="148">
        <f t="shared" si="12"/>
        <v>0</v>
      </c>
      <c r="I71" s="149">
        <f t="shared" si="12"/>
        <v>5</v>
      </c>
      <c r="J71" s="149">
        <f t="shared" si="12"/>
        <v>10</v>
      </c>
      <c r="K71" s="149">
        <f t="shared" si="12"/>
        <v>15</v>
      </c>
      <c r="L71" s="150">
        <f t="shared" si="12"/>
        <v>20</v>
      </c>
      <c r="Q71" s="4"/>
      <c r="R71" s="4"/>
      <c r="S71" s="4"/>
    </row>
    <row r="72" spans="2:19" ht="12.75">
      <c r="B72" s="140">
        <v>6</v>
      </c>
      <c r="C72" s="146">
        <f t="shared" si="7"/>
        <v>0.030005764578595575</v>
      </c>
      <c r="D72" s="147">
        <f t="shared" si="8"/>
        <v>0.07013888249338861</v>
      </c>
      <c r="E72" s="147">
        <f t="shared" si="9"/>
        <v>0.11027200040818164</v>
      </c>
      <c r="F72" s="147">
        <f t="shared" si="10"/>
        <v>0.15040511832297468</v>
      </c>
      <c r="G72" s="147">
        <f t="shared" si="11"/>
        <v>0.1905382362377677</v>
      </c>
      <c r="H72" s="148">
        <f t="shared" si="12"/>
        <v>0</v>
      </c>
      <c r="I72" s="149">
        <f t="shared" si="12"/>
        <v>5</v>
      </c>
      <c r="J72" s="149">
        <f t="shared" si="12"/>
        <v>10</v>
      </c>
      <c r="K72" s="149">
        <f t="shared" si="12"/>
        <v>15</v>
      </c>
      <c r="L72" s="150">
        <f t="shared" si="12"/>
        <v>20</v>
      </c>
      <c r="Q72" s="4"/>
      <c r="R72" s="4"/>
      <c r="S72" s="4"/>
    </row>
    <row r="73" spans="2:19" ht="12.75">
      <c r="B73" s="140">
        <v>7</v>
      </c>
      <c r="C73" s="146">
        <f t="shared" si="7"/>
        <v>0.026772264130499594</v>
      </c>
      <c r="D73" s="147">
        <f t="shared" si="8"/>
        <v>0.06690538204529262</v>
      </c>
      <c r="E73" s="147">
        <f t="shared" si="9"/>
        <v>0.10703849996008566</v>
      </c>
      <c r="F73" s="147">
        <f t="shared" si="10"/>
        <v>0.1471716178748787</v>
      </c>
      <c r="G73" s="147">
        <f t="shared" si="11"/>
        <v>0.18730473578967172</v>
      </c>
      <c r="H73" s="148">
        <f t="shared" si="12"/>
        <v>0</v>
      </c>
      <c r="I73" s="149">
        <f t="shared" si="12"/>
        <v>5</v>
      </c>
      <c r="J73" s="149">
        <f t="shared" si="12"/>
        <v>10</v>
      </c>
      <c r="K73" s="149">
        <f t="shared" si="12"/>
        <v>15</v>
      </c>
      <c r="L73" s="150">
        <f t="shared" si="12"/>
        <v>20</v>
      </c>
      <c r="Q73" s="4"/>
      <c r="R73" s="4"/>
      <c r="S73" s="4"/>
    </row>
    <row r="74" spans="2:19" ht="12.75">
      <c r="B74" s="140">
        <v>8</v>
      </c>
      <c r="C74" s="146">
        <f t="shared" si="7"/>
        <v>0.024347138794427608</v>
      </c>
      <c r="D74" s="147">
        <f t="shared" si="8"/>
        <v>0.06448025670922064</v>
      </c>
      <c r="E74" s="147">
        <f t="shared" si="9"/>
        <v>0.10461337462401368</v>
      </c>
      <c r="F74" s="147">
        <f t="shared" si="10"/>
        <v>0.14474649253880673</v>
      </c>
      <c r="G74" s="147">
        <f t="shared" si="11"/>
        <v>0.18487961045359974</v>
      </c>
      <c r="H74" s="148">
        <f t="shared" si="12"/>
        <v>0</v>
      </c>
      <c r="I74" s="149">
        <f t="shared" si="12"/>
        <v>5</v>
      </c>
      <c r="J74" s="149">
        <f t="shared" si="12"/>
        <v>10</v>
      </c>
      <c r="K74" s="149">
        <f t="shared" si="12"/>
        <v>15</v>
      </c>
      <c r="L74" s="150">
        <f t="shared" si="12"/>
        <v>20</v>
      </c>
      <c r="Q74" s="4"/>
      <c r="R74" s="4"/>
      <c r="S74" s="4"/>
    </row>
    <row r="75" spans="2:19" ht="12.75">
      <c r="B75" s="140">
        <v>9</v>
      </c>
      <c r="C75" s="146">
        <f t="shared" si="7"/>
        <v>0.022460930199704958</v>
      </c>
      <c r="D75" s="147">
        <f t="shared" si="8"/>
        <v>0.062594048114498</v>
      </c>
      <c r="E75" s="147">
        <f t="shared" si="9"/>
        <v>0.10272716602929104</v>
      </c>
      <c r="F75" s="147">
        <f t="shared" si="10"/>
        <v>0.14286028394408407</v>
      </c>
      <c r="G75" s="147">
        <f t="shared" si="11"/>
        <v>0.1829934018588771</v>
      </c>
      <c r="H75" s="148">
        <f t="shared" si="12"/>
        <v>0</v>
      </c>
      <c r="I75" s="149">
        <f t="shared" si="12"/>
        <v>5</v>
      </c>
      <c r="J75" s="149">
        <f t="shared" si="12"/>
        <v>10</v>
      </c>
      <c r="K75" s="149">
        <f t="shared" si="12"/>
        <v>15</v>
      </c>
      <c r="L75" s="150">
        <f t="shared" si="12"/>
        <v>20</v>
      </c>
      <c r="Q75" s="4"/>
      <c r="R75" s="4"/>
      <c r="S75" s="4"/>
    </row>
    <row r="76" spans="2:19" ht="12.75">
      <c r="B76" s="140">
        <v>10</v>
      </c>
      <c r="C76" s="146">
        <f t="shared" si="7"/>
        <v>0.02095196332392683</v>
      </c>
      <c r="D76" s="147">
        <f t="shared" si="8"/>
        <v>0.06108508123871986</v>
      </c>
      <c r="E76" s="147">
        <f t="shared" si="9"/>
        <v>0.10121819915351289</v>
      </c>
      <c r="F76" s="147">
        <f t="shared" si="10"/>
        <v>0.14135131706830592</v>
      </c>
      <c r="G76" s="147">
        <f t="shared" si="11"/>
        <v>0.181484434983099</v>
      </c>
      <c r="H76" s="148">
        <f t="shared" si="12"/>
        <v>0</v>
      </c>
      <c r="I76" s="149">
        <f t="shared" si="12"/>
        <v>5</v>
      </c>
      <c r="J76" s="149">
        <f t="shared" si="12"/>
        <v>10</v>
      </c>
      <c r="K76" s="149">
        <f t="shared" si="12"/>
        <v>15</v>
      </c>
      <c r="L76" s="150">
        <f t="shared" si="12"/>
        <v>20</v>
      </c>
      <c r="Q76" s="4"/>
      <c r="R76" s="4"/>
      <c r="S76" s="4"/>
    </row>
    <row r="77" spans="2:19" ht="12.75">
      <c r="B77" s="140">
        <v>11</v>
      </c>
      <c r="C77" s="146">
        <f t="shared" si="7"/>
        <v>0.019717354061926543</v>
      </c>
      <c r="D77" s="147">
        <f t="shared" si="8"/>
        <v>0.059850471976719576</v>
      </c>
      <c r="E77" s="147">
        <f t="shared" si="9"/>
        <v>0.09998358989151261</v>
      </c>
      <c r="F77" s="147">
        <f t="shared" si="10"/>
        <v>0.14011670780630564</v>
      </c>
      <c r="G77" s="147">
        <f t="shared" si="11"/>
        <v>0.18024982572109868</v>
      </c>
      <c r="H77" s="148">
        <f aca="true" t="shared" si="13" ref="H77:L87">MIN(H$10,MAX($H$10,($K$4/$B77+$K$5-$K$2*$O$4)/$K$3))</f>
        <v>0</v>
      </c>
      <c r="I77" s="149">
        <f t="shared" si="13"/>
        <v>5</v>
      </c>
      <c r="J77" s="149">
        <f t="shared" si="13"/>
        <v>10</v>
      </c>
      <c r="K77" s="149">
        <f t="shared" si="13"/>
        <v>15</v>
      </c>
      <c r="L77" s="150">
        <f t="shared" si="13"/>
        <v>20</v>
      </c>
      <c r="Q77" s="4"/>
      <c r="R77" s="4"/>
      <c r="S77" s="4"/>
    </row>
    <row r="78" spans="2:19" ht="12.75">
      <c r="B78" s="140">
        <v>12</v>
      </c>
      <c r="C78" s="146">
        <f t="shared" si="7"/>
        <v>0.01868851301025964</v>
      </c>
      <c r="D78" s="147">
        <f t="shared" si="8"/>
        <v>0.05882163092505267</v>
      </c>
      <c r="E78" s="147">
        <f t="shared" si="9"/>
        <v>0.0989547488398457</v>
      </c>
      <c r="F78" s="147">
        <f t="shared" si="10"/>
        <v>0.13908786675463874</v>
      </c>
      <c r="G78" s="147">
        <f t="shared" si="11"/>
        <v>0.17922098466943176</v>
      </c>
      <c r="H78" s="148">
        <f t="shared" si="13"/>
        <v>0</v>
      </c>
      <c r="I78" s="149">
        <f t="shared" si="13"/>
        <v>5</v>
      </c>
      <c r="J78" s="149">
        <f t="shared" si="13"/>
        <v>10</v>
      </c>
      <c r="K78" s="149">
        <f t="shared" si="13"/>
        <v>15</v>
      </c>
      <c r="L78" s="150">
        <f t="shared" si="13"/>
        <v>20</v>
      </c>
      <c r="Q78" s="4"/>
      <c r="R78" s="4"/>
      <c r="S78" s="4"/>
    </row>
    <row r="79" spans="2:19" ht="12.75">
      <c r="B79" s="109">
        <v>13</v>
      </c>
      <c r="C79" s="53">
        <f t="shared" si="7"/>
        <v>0.017817955197310723</v>
      </c>
      <c r="D79" s="47">
        <f t="shared" si="8"/>
        <v>0.05795107311210376</v>
      </c>
      <c r="E79" s="47">
        <f t="shared" si="9"/>
        <v>0.09808419102689679</v>
      </c>
      <c r="F79" s="47">
        <f t="shared" si="10"/>
        <v>0.13821730894168982</v>
      </c>
      <c r="G79" s="47">
        <f t="shared" si="11"/>
        <v>0.17835042685648284</v>
      </c>
      <c r="H79" s="138">
        <f t="shared" si="13"/>
        <v>0</v>
      </c>
      <c r="I79" s="48">
        <f t="shared" si="13"/>
        <v>5</v>
      </c>
      <c r="J79" s="48">
        <f t="shared" si="13"/>
        <v>10</v>
      </c>
      <c r="K79" s="48">
        <f t="shared" si="13"/>
        <v>15</v>
      </c>
      <c r="L79" s="49">
        <f t="shared" si="13"/>
        <v>20</v>
      </c>
      <c r="Q79" s="4"/>
      <c r="R79" s="4"/>
      <c r="S79" s="4"/>
    </row>
    <row r="80" spans="2:19" ht="12.75">
      <c r="B80" s="109">
        <v>14</v>
      </c>
      <c r="C80" s="53">
        <f t="shared" si="7"/>
        <v>0.01707176278621165</v>
      </c>
      <c r="D80" s="47">
        <f t="shared" si="8"/>
        <v>0.057204880701004684</v>
      </c>
      <c r="E80" s="47">
        <f t="shared" si="9"/>
        <v>0.09733799861579771</v>
      </c>
      <c r="F80" s="47">
        <f t="shared" si="10"/>
        <v>0.13747111653059074</v>
      </c>
      <c r="G80" s="47">
        <f t="shared" si="11"/>
        <v>0.17760423444538379</v>
      </c>
      <c r="H80" s="138">
        <f t="shared" si="13"/>
        <v>0</v>
      </c>
      <c r="I80" s="48">
        <f t="shared" si="13"/>
        <v>5</v>
      </c>
      <c r="J80" s="48">
        <f t="shared" si="13"/>
        <v>10</v>
      </c>
      <c r="K80" s="48">
        <f t="shared" si="13"/>
        <v>15</v>
      </c>
      <c r="L80" s="49">
        <f t="shared" si="13"/>
        <v>20</v>
      </c>
      <c r="Q80" s="4"/>
      <c r="R80" s="4"/>
      <c r="S80" s="4"/>
    </row>
    <row r="81" spans="2:19" ht="12.75">
      <c r="B81" s="109">
        <v>15</v>
      </c>
      <c r="C81" s="53">
        <f t="shared" si="7"/>
        <v>0.016425062696592455</v>
      </c>
      <c r="D81" s="47">
        <f t="shared" si="8"/>
        <v>0.05655818061138549</v>
      </c>
      <c r="E81" s="47">
        <f t="shared" si="9"/>
        <v>0.09669129852617853</v>
      </c>
      <c r="F81" s="47">
        <f t="shared" si="10"/>
        <v>0.13682441644097157</v>
      </c>
      <c r="G81" s="47">
        <f t="shared" si="11"/>
        <v>0.17695753435576458</v>
      </c>
      <c r="H81" s="138">
        <f t="shared" si="13"/>
        <v>0</v>
      </c>
      <c r="I81" s="48">
        <f t="shared" si="13"/>
        <v>5</v>
      </c>
      <c r="J81" s="48">
        <f t="shared" si="13"/>
        <v>10</v>
      </c>
      <c r="K81" s="48">
        <f t="shared" si="13"/>
        <v>15</v>
      </c>
      <c r="L81" s="49">
        <f t="shared" si="13"/>
        <v>20</v>
      </c>
      <c r="Q81" s="4"/>
      <c r="R81" s="4"/>
      <c r="S81" s="4"/>
    </row>
    <row r="82" spans="2:19" ht="12.75">
      <c r="B82" s="109">
        <v>16</v>
      </c>
      <c r="C82" s="53">
        <f t="shared" si="7"/>
        <v>0.015859200118175657</v>
      </c>
      <c r="D82" s="47">
        <f t="shared" si="8"/>
        <v>0.055992318032968696</v>
      </c>
      <c r="E82" s="47">
        <f t="shared" si="9"/>
        <v>0.09612543594776173</v>
      </c>
      <c r="F82" s="47">
        <f t="shared" si="10"/>
        <v>0.13625855386255475</v>
      </c>
      <c r="G82" s="47">
        <f t="shared" si="11"/>
        <v>0.17639167177734777</v>
      </c>
      <c r="H82" s="138">
        <f t="shared" si="13"/>
        <v>0</v>
      </c>
      <c r="I82" s="48">
        <f t="shared" si="13"/>
        <v>5</v>
      </c>
      <c r="J82" s="48">
        <f t="shared" si="13"/>
        <v>10</v>
      </c>
      <c r="K82" s="48">
        <f t="shared" si="13"/>
        <v>15</v>
      </c>
      <c r="L82" s="49">
        <f t="shared" si="13"/>
        <v>20</v>
      </c>
      <c r="Q82" s="4"/>
      <c r="R82" s="4"/>
      <c r="S82" s="4"/>
    </row>
    <row r="83" spans="2:19" ht="12.75">
      <c r="B83" s="109">
        <v>17</v>
      </c>
      <c r="C83" s="53">
        <f t="shared" si="7"/>
        <v>0.015359909607807896</v>
      </c>
      <c r="D83" s="47">
        <f t="shared" si="8"/>
        <v>0.05549302752260092</v>
      </c>
      <c r="E83" s="47">
        <f t="shared" si="9"/>
        <v>0.09562614543739396</v>
      </c>
      <c r="F83" s="47">
        <f t="shared" si="10"/>
        <v>0.135759263352187</v>
      </c>
      <c r="G83" s="47">
        <f t="shared" si="11"/>
        <v>0.17589238126698004</v>
      </c>
      <c r="H83" s="138">
        <f t="shared" si="13"/>
        <v>0</v>
      </c>
      <c r="I83" s="48">
        <f t="shared" si="13"/>
        <v>5</v>
      </c>
      <c r="J83" s="48">
        <f t="shared" si="13"/>
        <v>10</v>
      </c>
      <c r="K83" s="48">
        <f t="shared" si="13"/>
        <v>15</v>
      </c>
      <c r="L83" s="49">
        <f t="shared" si="13"/>
        <v>20</v>
      </c>
      <c r="Q83" s="4"/>
      <c r="R83" s="4"/>
      <c r="S83" s="4"/>
    </row>
    <row r="84" spans="2:19" ht="12.75">
      <c r="B84" s="109">
        <v>18</v>
      </c>
      <c r="C84" s="53">
        <f t="shared" si="7"/>
        <v>0.01491609582081433</v>
      </c>
      <c r="D84" s="47">
        <f t="shared" si="8"/>
        <v>0.05504921373560736</v>
      </c>
      <c r="E84" s="47">
        <f t="shared" si="9"/>
        <v>0.09518233165040041</v>
      </c>
      <c r="F84" s="47">
        <f t="shared" si="10"/>
        <v>0.13531544956519345</v>
      </c>
      <c r="G84" s="47">
        <f t="shared" si="11"/>
        <v>0.17544856747998647</v>
      </c>
      <c r="H84" s="138">
        <f t="shared" si="13"/>
        <v>0</v>
      </c>
      <c r="I84" s="48">
        <f t="shared" si="13"/>
        <v>5</v>
      </c>
      <c r="J84" s="48">
        <f t="shared" si="13"/>
        <v>10</v>
      </c>
      <c r="K84" s="48">
        <f t="shared" si="13"/>
        <v>15</v>
      </c>
      <c r="L84" s="49">
        <f t="shared" si="13"/>
        <v>20</v>
      </c>
      <c r="Q84" s="4"/>
      <c r="R84" s="4"/>
      <c r="S84" s="4"/>
    </row>
    <row r="85" spans="2:19" ht="12.75">
      <c r="B85" s="109">
        <v>19</v>
      </c>
      <c r="C85" s="53">
        <f t="shared" si="7"/>
        <v>0.014518999274556927</v>
      </c>
      <c r="D85" s="47">
        <f t="shared" si="8"/>
        <v>0.05465211718934996</v>
      </c>
      <c r="E85" s="47">
        <f t="shared" si="9"/>
        <v>0.094785235104143</v>
      </c>
      <c r="F85" s="47">
        <f t="shared" si="10"/>
        <v>0.13491835301893604</v>
      </c>
      <c r="G85" s="47">
        <f t="shared" si="11"/>
        <v>0.17505147093372905</v>
      </c>
      <c r="H85" s="138">
        <f t="shared" si="13"/>
        <v>0</v>
      </c>
      <c r="I85" s="48">
        <f t="shared" si="13"/>
        <v>5</v>
      </c>
      <c r="J85" s="48">
        <f t="shared" si="13"/>
        <v>10</v>
      </c>
      <c r="K85" s="48">
        <f t="shared" si="13"/>
        <v>15</v>
      </c>
      <c r="L85" s="49">
        <f t="shared" si="13"/>
        <v>20</v>
      </c>
      <c r="Q85" s="4"/>
      <c r="R85" s="4"/>
      <c r="S85" s="4"/>
    </row>
    <row r="86" spans="2:19" ht="12.75">
      <c r="B86" s="109">
        <v>20</v>
      </c>
      <c r="C86" s="53">
        <f t="shared" si="7"/>
        <v>0.01416161238292527</v>
      </c>
      <c r="D86" s="47">
        <f t="shared" si="8"/>
        <v>0.0542947302977183</v>
      </c>
      <c r="E86" s="47">
        <f t="shared" si="9"/>
        <v>0.09442784821251135</v>
      </c>
      <c r="F86" s="47">
        <f t="shared" si="10"/>
        <v>0.1345609661273044</v>
      </c>
      <c r="G86" s="47">
        <f t="shared" si="11"/>
        <v>0.1746940840420974</v>
      </c>
      <c r="H86" s="138">
        <f t="shared" si="13"/>
        <v>0</v>
      </c>
      <c r="I86" s="48">
        <f t="shared" si="13"/>
        <v>5</v>
      </c>
      <c r="J86" s="48">
        <f t="shared" si="13"/>
        <v>10</v>
      </c>
      <c r="K86" s="48">
        <f t="shared" si="13"/>
        <v>15</v>
      </c>
      <c r="L86" s="49">
        <f t="shared" si="13"/>
        <v>20</v>
      </c>
      <c r="Q86" s="4"/>
      <c r="R86" s="4"/>
      <c r="S86" s="4"/>
    </row>
    <row r="87" spans="2:19" ht="13.5" thickBot="1">
      <c r="B87" s="59">
        <v>1000</v>
      </c>
      <c r="C87" s="54">
        <f t="shared" si="7"/>
        <v>0.007507068460743739</v>
      </c>
      <c r="D87" s="50">
        <f t="shared" si="8"/>
        <v>0.04764018637553677</v>
      </c>
      <c r="E87" s="50">
        <f t="shared" si="9"/>
        <v>0.0877733042903298</v>
      </c>
      <c r="F87" s="50">
        <f t="shared" si="10"/>
        <v>0.12790642220512285</v>
      </c>
      <c r="G87" s="50">
        <f t="shared" si="11"/>
        <v>0.16803954011991587</v>
      </c>
      <c r="H87" s="139">
        <f t="shared" si="13"/>
        <v>0</v>
      </c>
      <c r="I87" s="51">
        <f t="shared" si="13"/>
        <v>5</v>
      </c>
      <c r="J87" s="51">
        <f t="shared" si="13"/>
        <v>10</v>
      </c>
      <c r="K87" s="51">
        <f t="shared" si="13"/>
        <v>15</v>
      </c>
      <c r="L87" s="52">
        <f t="shared" si="13"/>
        <v>20</v>
      </c>
      <c r="Q87" s="4"/>
      <c r="R87" s="4"/>
      <c r="S87" s="4"/>
    </row>
  </sheetData>
  <mergeCells count="8">
    <mergeCell ref="C65:L65"/>
    <mergeCell ref="C66:G66"/>
    <mergeCell ref="H66:L66"/>
    <mergeCell ref="C1:C3"/>
    <mergeCell ref="D1:D3"/>
    <mergeCell ref="C12:L12"/>
    <mergeCell ref="C13:G13"/>
    <mergeCell ref="H13:L1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N4:S42"/>
  <sheetViews>
    <sheetView workbookViewId="0" topLeftCell="A1">
      <selection activeCell="A1" sqref="A1"/>
    </sheetView>
  </sheetViews>
  <sheetFormatPr defaultColWidth="9.140625" defaultRowHeight="12.75"/>
  <sheetData>
    <row r="4" spans="14:15" ht="15.75">
      <c r="N4" s="9" t="s">
        <v>191</v>
      </c>
      <c r="O4" t="s">
        <v>420</v>
      </c>
    </row>
    <row r="5" spans="14:15" ht="15.75">
      <c r="N5" s="9" t="s">
        <v>192</v>
      </c>
      <c r="O5" t="s">
        <v>421</v>
      </c>
    </row>
    <row r="6" spans="14:15" ht="15.75">
      <c r="N6" s="9" t="s">
        <v>153</v>
      </c>
      <c r="O6" t="s">
        <v>422</v>
      </c>
    </row>
    <row r="7" spans="14:15" ht="19.5">
      <c r="N7" s="9" t="s">
        <v>193</v>
      </c>
      <c r="O7" t="s">
        <v>423</v>
      </c>
    </row>
    <row r="8" spans="14:15" ht="15.75">
      <c r="N8" s="9" t="s">
        <v>194</v>
      </c>
      <c r="O8" t="s">
        <v>424</v>
      </c>
    </row>
    <row r="9" spans="14:15" ht="15.75">
      <c r="N9" s="9" t="s">
        <v>195</v>
      </c>
      <c r="O9" t="s">
        <v>425</v>
      </c>
    </row>
    <row r="10" spans="14:15" ht="12.75">
      <c r="N10" s="6" t="s">
        <v>196</v>
      </c>
      <c r="O10" t="s">
        <v>426</v>
      </c>
    </row>
    <row r="11" spans="14:15" ht="19.5">
      <c r="N11" s="9" t="s">
        <v>197</v>
      </c>
      <c r="O11" t="s">
        <v>427</v>
      </c>
    </row>
    <row r="12" spans="14:15" ht="19.5">
      <c r="N12" s="9" t="s">
        <v>198</v>
      </c>
      <c r="O12" t="s">
        <v>428</v>
      </c>
    </row>
    <row r="13" spans="14:15" ht="12.75">
      <c r="N13" s="6" t="s">
        <v>200</v>
      </c>
      <c r="O13" t="s">
        <v>429</v>
      </c>
    </row>
    <row r="14" spans="14:15" ht="15.75">
      <c r="N14" s="6" t="s">
        <v>201</v>
      </c>
      <c r="O14" t="s">
        <v>430</v>
      </c>
    </row>
    <row r="15" spans="14:15" ht="15.75">
      <c r="N15" s="6" t="s">
        <v>202</v>
      </c>
      <c r="O15" t="s">
        <v>431</v>
      </c>
    </row>
    <row r="16" spans="14:15" ht="15.75">
      <c r="N16" s="6" t="s">
        <v>203</v>
      </c>
      <c r="O16" t="s">
        <v>432</v>
      </c>
    </row>
    <row r="17" spans="14:15" ht="15.75">
      <c r="N17" s="6" t="s">
        <v>433</v>
      </c>
      <c r="O17" t="s">
        <v>434</v>
      </c>
    </row>
    <row r="18" spans="14:15" ht="15.75">
      <c r="N18" s="6" t="s">
        <v>208</v>
      </c>
      <c r="O18" t="s">
        <v>435</v>
      </c>
    </row>
    <row r="19" spans="14:15" ht="15.75">
      <c r="N19" s="6" t="s">
        <v>210</v>
      </c>
      <c r="O19" t="s">
        <v>436</v>
      </c>
    </row>
    <row r="20" spans="14:15" ht="15.75">
      <c r="N20" s="6" t="s">
        <v>212</v>
      </c>
      <c r="O20" t="s">
        <v>437</v>
      </c>
    </row>
    <row r="21" spans="14:15" ht="15.75">
      <c r="N21" s="6" t="s">
        <v>214</v>
      </c>
      <c r="O21" t="s">
        <v>438</v>
      </c>
    </row>
    <row r="22" spans="14:15" ht="12.75">
      <c r="N22" s="6" t="s">
        <v>216</v>
      </c>
      <c r="O22" t="s">
        <v>439</v>
      </c>
    </row>
    <row r="23" spans="14:15" ht="12.75">
      <c r="N23" s="6" t="str">
        <f>CHAR(105)</f>
        <v>i</v>
      </c>
      <c r="O23" t="s">
        <v>440</v>
      </c>
    </row>
    <row r="24" ht="12.75">
      <c r="N24" s="6"/>
    </row>
    <row r="25" ht="12.75">
      <c r="N25" s="132" t="s">
        <v>445</v>
      </c>
    </row>
    <row r="26" spans="14:19" ht="12.75">
      <c r="N26" s="391" t="s">
        <v>441</v>
      </c>
      <c r="O26" s="319"/>
      <c r="P26" s="319"/>
      <c r="Q26" s="319"/>
      <c r="R26" s="319"/>
      <c r="S26" s="319"/>
    </row>
    <row r="27" spans="14:19" ht="12.75">
      <c r="N27" s="319"/>
      <c r="O27" s="319"/>
      <c r="P27" s="319"/>
      <c r="Q27" s="319"/>
      <c r="R27" s="319"/>
      <c r="S27" s="319"/>
    </row>
    <row r="29" spans="14:19" ht="12.75">
      <c r="N29" s="319" t="s">
        <v>442</v>
      </c>
      <c r="O29" s="319"/>
      <c r="P29" s="319"/>
      <c r="Q29" s="319"/>
      <c r="R29" s="319"/>
      <c r="S29" s="319"/>
    </row>
    <row r="30" spans="14:19" ht="12.75">
      <c r="N30" s="319"/>
      <c r="O30" s="319"/>
      <c r="P30" s="319"/>
      <c r="Q30" s="319"/>
      <c r="R30" s="319"/>
      <c r="S30" s="319"/>
    </row>
    <row r="32" spans="14:19" ht="12.75">
      <c r="N32" s="319" t="s">
        <v>446</v>
      </c>
      <c r="O32" s="319"/>
      <c r="P32" s="319"/>
      <c r="Q32" s="319"/>
      <c r="R32" s="319"/>
      <c r="S32" s="319"/>
    </row>
    <row r="33" spans="14:19" ht="12.75">
      <c r="N33" s="319"/>
      <c r="O33" s="319"/>
      <c r="P33" s="319"/>
      <c r="Q33" s="319"/>
      <c r="R33" s="319"/>
      <c r="S33" s="319"/>
    </row>
    <row r="34" spans="14:19" ht="12.75">
      <c r="N34" s="319"/>
      <c r="O34" s="319"/>
      <c r="P34" s="319"/>
      <c r="Q34" s="319"/>
      <c r="R34" s="319"/>
      <c r="S34" s="319"/>
    </row>
    <row r="36" spans="14:19" ht="12.75">
      <c r="N36" s="319" t="s">
        <v>443</v>
      </c>
      <c r="O36" s="319"/>
      <c r="P36" s="319"/>
      <c r="Q36" s="319"/>
      <c r="R36" s="319"/>
      <c r="S36" s="319"/>
    </row>
    <row r="37" spans="14:19" ht="12.75">
      <c r="N37" s="319"/>
      <c r="O37" s="319"/>
      <c r="P37" s="319"/>
      <c r="Q37" s="319"/>
      <c r="R37" s="319"/>
      <c r="S37" s="319"/>
    </row>
    <row r="38" spans="14:19" ht="12.75">
      <c r="N38" s="319"/>
      <c r="O38" s="319"/>
      <c r="P38" s="319"/>
      <c r="Q38" s="319"/>
      <c r="R38" s="319"/>
      <c r="S38" s="319"/>
    </row>
    <row r="40" spans="14:19" ht="12.75">
      <c r="N40" s="319" t="s">
        <v>444</v>
      </c>
      <c r="O40" s="319"/>
      <c r="P40" s="319"/>
      <c r="Q40" s="319"/>
      <c r="R40" s="319"/>
      <c r="S40" s="319"/>
    </row>
    <row r="41" spans="14:19" ht="12.75">
      <c r="N41" s="319"/>
      <c r="O41" s="319"/>
      <c r="P41" s="319"/>
      <c r="Q41" s="319"/>
      <c r="R41" s="319"/>
      <c r="S41" s="319"/>
    </row>
    <row r="42" spans="14:19" ht="12.75">
      <c r="N42" s="319"/>
      <c r="O42" s="319"/>
      <c r="P42" s="319"/>
      <c r="Q42" s="319"/>
      <c r="R42" s="319"/>
      <c r="S42" s="319"/>
    </row>
  </sheetData>
  <mergeCells count="5">
    <mergeCell ref="N26:S27"/>
    <mergeCell ref="N29:S30"/>
    <mergeCell ref="N36:S38"/>
    <mergeCell ref="N40:S42"/>
    <mergeCell ref="N32:S34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B2:M5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13" customWidth="1"/>
    <col min="2" max="2" width="8.8515625" style="213" customWidth="1"/>
    <col min="3" max="6" width="9.28125" style="213" customWidth="1"/>
    <col min="7" max="7" width="5.7109375" style="213" customWidth="1"/>
    <col min="8" max="13" width="9.28125" style="213" customWidth="1"/>
    <col min="14" max="16384" width="5.7109375" style="213" customWidth="1"/>
  </cols>
  <sheetData>
    <row r="2" ht="9">
      <c r="B2" s="213" t="s">
        <v>796</v>
      </c>
    </row>
    <row r="3" spans="3:13" s="217" customFormat="1" ht="45">
      <c r="C3" s="220" t="s">
        <v>795</v>
      </c>
      <c r="D3" s="220" t="s">
        <v>792</v>
      </c>
      <c r="E3" s="220" t="s">
        <v>793</v>
      </c>
      <c r="F3" s="220" t="s">
        <v>794</v>
      </c>
      <c r="H3" s="217" t="s">
        <v>677</v>
      </c>
      <c r="I3" s="219" t="s">
        <v>678</v>
      </c>
      <c r="J3" s="219" t="s">
        <v>679</v>
      </c>
      <c r="K3" s="218" t="s">
        <v>680</v>
      </c>
      <c r="L3" s="218" t="s">
        <v>681</v>
      </c>
      <c r="M3" s="218" t="s">
        <v>682</v>
      </c>
    </row>
    <row r="4" spans="3:13" s="217" customFormat="1" ht="18">
      <c r="C4" s="217" t="s">
        <v>28</v>
      </c>
      <c r="D4" s="220" t="s">
        <v>791</v>
      </c>
      <c r="E4" s="220" t="s">
        <v>791</v>
      </c>
      <c r="F4" s="220" t="s">
        <v>791</v>
      </c>
      <c r="H4" s="217" t="s">
        <v>683</v>
      </c>
      <c r="I4" s="217" t="s">
        <v>684</v>
      </c>
      <c r="J4" s="217" t="s">
        <v>685</v>
      </c>
      <c r="K4" s="217" t="s">
        <v>686</v>
      </c>
      <c r="L4" s="217" t="s">
        <v>687</v>
      </c>
      <c r="M4" s="217" t="s">
        <v>688</v>
      </c>
    </row>
    <row r="5" spans="2:13" ht="9">
      <c r="B5" s="213" t="s">
        <v>741</v>
      </c>
      <c r="C5" s="221">
        <f aca="true" t="shared" si="0" ref="C5:C36">1000000*I5/(1000*J5)</f>
        <v>7790.217515137968</v>
      </c>
      <c r="D5" s="216">
        <f aca="true" t="shared" si="1" ref="D5:D36">2000*M5/(1000*J5)</f>
        <v>1.4462968766978888</v>
      </c>
      <c r="E5" s="222">
        <f aca="true" t="shared" si="2" ref="E5:E36">2000*K5/(1000*J5)</f>
        <v>0.0030476895660794022</v>
      </c>
      <c r="F5" s="222">
        <f aca="true" t="shared" si="3" ref="F5:F36">2000*L5/(1000*J5)</f>
        <v>0.008283607044950875</v>
      </c>
      <c r="H5" s="213" t="s">
        <v>690</v>
      </c>
      <c r="I5" s="215">
        <v>968808334.7</v>
      </c>
      <c r="J5" s="215">
        <v>124362167.4</v>
      </c>
      <c r="K5" s="214">
        <v>189508.64</v>
      </c>
      <c r="L5" s="214">
        <v>515083.663</v>
      </c>
      <c r="M5" s="214">
        <v>89932307.145</v>
      </c>
    </row>
    <row r="6" spans="2:13" ht="9">
      <c r="B6" s="213" t="s">
        <v>742</v>
      </c>
      <c r="C6" s="221">
        <f t="shared" si="0"/>
        <v>9714.562482216023</v>
      </c>
      <c r="D6" s="216">
        <f t="shared" si="1"/>
        <v>1.2913256904715364</v>
      </c>
      <c r="E6" s="222">
        <f t="shared" si="2"/>
        <v>0.004865921919649277</v>
      </c>
      <c r="F6" s="222">
        <f t="shared" si="3"/>
        <v>0.0013486391331888775</v>
      </c>
      <c r="H6" s="213" t="s">
        <v>689</v>
      </c>
      <c r="I6" s="215">
        <v>59807942.9</v>
      </c>
      <c r="J6" s="215">
        <v>6156524.6</v>
      </c>
      <c r="K6" s="214">
        <v>14978.584</v>
      </c>
      <c r="L6" s="214">
        <v>4151.465</v>
      </c>
      <c r="M6" s="214">
        <v>3975039.19</v>
      </c>
    </row>
    <row r="7" spans="2:13" ht="9">
      <c r="B7" s="213" t="s">
        <v>743</v>
      </c>
      <c r="C7" s="221">
        <f t="shared" si="0"/>
        <v>6194.451616282189</v>
      </c>
      <c r="D7" s="216">
        <f t="shared" si="1"/>
        <v>1.1751674038630697</v>
      </c>
      <c r="E7" s="222">
        <f t="shared" si="2"/>
        <v>0.002342989444116566</v>
      </c>
      <c r="F7" s="222">
        <f t="shared" si="3"/>
        <v>0.0016276570580694295</v>
      </c>
      <c r="H7" s="213" t="s">
        <v>692</v>
      </c>
      <c r="I7" s="215">
        <v>551083831</v>
      </c>
      <c r="J7" s="215">
        <v>88964102.9</v>
      </c>
      <c r="K7" s="214">
        <v>104220.977</v>
      </c>
      <c r="L7" s="214">
        <v>72401.525</v>
      </c>
      <c r="M7" s="214">
        <v>52273856.921</v>
      </c>
    </row>
    <row r="8" spans="2:13" ht="9">
      <c r="B8" s="213" t="s">
        <v>740</v>
      </c>
      <c r="C8" s="221">
        <f t="shared" si="0"/>
        <v>8071.781042655383</v>
      </c>
      <c r="D8" s="216">
        <f t="shared" si="1"/>
        <v>1.4532666517140487</v>
      </c>
      <c r="E8" s="222">
        <f t="shared" si="2"/>
        <v>0.0024251675156443174</v>
      </c>
      <c r="F8" s="222">
        <f t="shared" si="3"/>
        <v>0.0034653965008133816</v>
      </c>
      <c r="H8" s="213" t="s">
        <v>691</v>
      </c>
      <c r="I8" s="215">
        <v>356424151.1</v>
      </c>
      <c r="J8" s="215">
        <v>44156816.1</v>
      </c>
      <c r="K8" s="214">
        <v>53543.838</v>
      </c>
      <c r="L8" s="214">
        <v>76510.438</v>
      </c>
      <c r="M8" s="214">
        <v>32085814.142</v>
      </c>
    </row>
    <row r="9" spans="2:13" ht="9">
      <c r="B9" s="213" t="s">
        <v>744</v>
      </c>
      <c r="C9" s="221">
        <f t="shared" si="0"/>
        <v>5598.7198212265685</v>
      </c>
      <c r="D9" s="216">
        <f t="shared" si="1"/>
        <v>0.6327384677278105</v>
      </c>
      <c r="E9" s="222">
        <f t="shared" si="2"/>
        <v>0.0005720603739655192</v>
      </c>
      <c r="F9" s="222">
        <f t="shared" si="3"/>
        <v>0.00017303733470987122</v>
      </c>
      <c r="H9" s="213" t="s">
        <v>693</v>
      </c>
      <c r="I9" s="215">
        <v>1167200156.8</v>
      </c>
      <c r="J9" s="215">
        <v>208476257.8</v>
      </c>
      <c r="K9" s="214">
        <v>59630.503</v>
      </c>
      <c r="L9" s="214">
        <v>18037.088</v>
      </c>
      <c r="M9" s="214">
        <v>65955473.959</v>
      </c>
    </row>
    <row r="10" spans="2:13" ht="9">
      <c r="B10" s="213" t="s">
        <v>745</v>
      </c>
      <c r="C10" s="221">
        <f t="shared" si="0"/>
        <v>10382.187311176445</v>
      </c>
      <c r="D10" s="216">
        <f t="shared" si="1"/>
        <v>2.0137692907915716</v>
      </c>
      <c r="E10" s="222">
        <f t="shared" si="2"/>
        <v>0.0034940511551413604</v>
      </c>
      <c r="F10" s="222">
        <f t="shared" si="3"/>
        <v>0.004076528967554962</v>
      </c>
      <c r="H10" s="213" t="s">
        <v>694</v>
      </c>
      <c r="I10" s="215">
        <v>459315302.7</v>
      </c>
      <c r="J10" s="215">
        <v>44240706.6</v>
      </c>
      <c r="K10" s="214">
        <v>77289.646</v>
      </c>
      <c r="L10" s="214">
        <v>90174.261</v>
      </c>
      <c r="M10" s="214">
        <v>44545288.177</v>
      </c>
    </row>
    <row r="11" spans="2:13" ht="9">
      <c r="B11" s="213" t="s">
        <v>746</v>
      </c>
      <c r="C11" s="221">
        <f t="shared" si="0"/>
        <v>5038.800559347988</v>
      </c>
      <c r="D11" s="216">
        <f t="shared" si="1"/>
        <v>0.738834743002677</v>
      </c>
      <c r="E11" s="222">
        <f t="shared" si="2"/>
        <v>0.001446764557190152</v>
      </c>
      <c r="F11" s="222">
        <f t="shared" si="3"/>
        <v>0.0022697323504385263</v>
      </c>
      <c r="H11" s="213" t="s">
        <v>695</v>
      </c>
      <c r="I11" s="215">
        <v>167397060.5</v>
      </c>
      <c r="J11" s="215">
        <v>33221608.7</v>
      </c>
      <c r="K11" s="214">
        <v>24031.923</v>
      </c>
      <c r="L11" s="214">
        <v>37702.08</v>
      </c>
      <c r="M11" s="214">
        <v>12272639.363</v>
      </c>
    </row>
    <row r="12" spans="2:13" ht="9">
      <c r="B12" s="213" t="s">
        <v>748</v>
      </c>
      <c r="C12" s="221">
        <f t="shared" si="0"/>
        <v>10248.29151487383</v>
      </c>
      <c r="D12" s="216">
        <f t="shared" si="1"/>
        <v>1.9515078841210736</v>
      </c>
      <c r="E12" s="222">
        <f t="shared" si="2"/>
        <v>0.0034666321734374205</v>
      </c>
      <c r="F12" s="222">
        <f t="shared" si="3"/>
        <v>0.012955265774301505</v>
      </c>
      <c r="H12" s="213" t="s">
        <v>697</v>
      </c>
      <c r="I12" s="215">
        <v>61521626.4</v>
      </c>
      <c r="J12" s="215">
        <v>6003110.5</v>
      </c>
      <c r="K12" s="214">
        <v>10405.288</v>
      </c>
      <c r="L12" s="214">
        <v>38885.946</v>
      </c>
      <c r="M12" s="214">
        <v>5857558.735</v>
      </c>
    </row>
    <row r="13" spans="2:13" ht="9">
      <c r="B13" s="213" t="s">
        <v>749</v>
      </c>
      <c r="C13" s="221">
        <f t="shared" si="0"/>
        <v>8424.081195544257</v>
      </c>
      <c r="D13" s="216">
        <f t="shared" si="1"/>
        <v>1.420419130002063</v>
      </c>
      <c r="E13" s="222">
        <f t="shared" si="2"/>
        <v>0.0033893254834190495</v>
      </c>
      <c r="F13" s="222">
        <f t="shared" si="3"/>
        <v>0.006043513544104121</v>
      </c>
      <c r="H13" s="213" t="s">
        <v>698</v>
      </c>
      <c r="I13" s="215">
        <v>1616637108.9</v>
      </c>
      <c r="J13" s="215">
        <v>191906639</v>
      </c>
      <c r="K13" s="214">
        <v>325217.031</v>
      </c>
      <c r="L13" s="214">
        <v>579895.186</v>
      </c>
      <c r="M13" s="214">
        <v>136293930.605</v>
      </c>
    </row>
    <row r="14" spans="2:13" ht="9">
      <c r="B14" s="213" t="s">
        <v>750</v>
      </c>
      <c r="C14" s="221">
        <f t="shared" si="0"/>
        <v>7358.495620384843</v>
      </c>
      <c r="D14" s="216">
        <f t="shared" si="1"/>
        <v>1.4138729087388915</v>
      </c>
      <c r="E14" s="222">
        <f t="shared" si="2"/>
        <v>0.003141473792157413</v>
      </c>
      <c r="F14" s="222">
        <f t="shared" si="3"/>
        <v>0.008520901535017871</v>
      </c>
      <c r="H14" s="213" t="s">
        <v>699</v>
      </c>
      <c r="I14" s="215">
        <v>908545417.3</v>
      </c>
      <c r="J14" s="215">
        <v>123468907.8</v>
      </c>
      <c r="K14" s="214">
        <v>193937.169</v>
      </c>
      <c r="L14" s="214">
        <v>526033.203</v>
      </c>
      <c r="M14" s="214">
        <v>87284671.905</v>
      </c>
    </row>
    <row r="15" spans="2:13" ht="9">
      <c r="B15" s="213" t="s">
        <v>751</v>
      </c>
      <c r="C15" s="221">
        <f t="shared" si="0"/>
        <v>10290.835291704316</v>
      </c>
      <c r="D15" s="216">
        <f t="shared" si="1"/>
        <v>1.7166427866969758</v>
      </c>
      <c r="E15" s="222">
        <f t="shared" si="2"/>
        <v>0.005274758580430013</v>
      </c>
      <c r="F15" s="222">
        <f t="shared" si="3"/>
        <v>0.004580058719043621</v>
      </c>
      <c r="H15" s="213" t="s">
        <v>700</v>
      </c>
      <c r="I15" s="215">
        <v>109528728.2</v>
      </c>
      <c r="J15" s="215">
        <v>10643327.3</v>
      </c>
      <c r="K15" s="214">
        <v>28070.491</v>
      </c>
      <c r="L15" s="214">
        <v>24373.532</v>
      </c>
      <c r="M15" s="214">
        <v>9135395.518</v>
      </c>
    </row>
    <row r="16" spans="2:13" ht="9">
      <c r="B16" s="213" t="s">
        <v>753</v>
      </c>
      <c r="C16" s="221">
        <f t="shared" si="0"/>
        <v>1235.2261422726936</v>
      </c>
      <c r="D16" s="216">
        <f t="shared" si="1"/>
        <v>0.09303615186669438</v>
      </c>
      <c r="E16" s="222">
        <f t="shared" si="2"/>
        <v>0.00016216990779125055</v>
      </c>
      <c r="F16" s="222">
        <f t="shared" si="3"/>
        <v>9.394777588670706E-05</v>
      </c>
      <c r="H16" s="213" t="s">
        <v>702</v>
      </c>
      <c r="I16" s="215">
        <v>15674135.2</v>
      </c>
      <c r="J16" s="215">
        <v>12689283.9</v>
      </c>
      <c r="K16" s="214">
        <v>1028.91</v>
      </c>
      <c r="L16" s="214">
        <v>596.065</v>
      </c>
      <c r="M16" s="214">
        <v>590281.072</v>
      </c>
    </row>
    <row r="17" spans="2:13" ht="9">
      <c r="B17" s="213" t="s">
        <v>754</v>
      </c>
      <c r="C17" s="221">
        <f t="shared" si="0"/>
        <v>5614.9953282595025</v>
      </c>
      <c r="D17" s="216">
        <f t="shared" si="1"/>
        <v>1.1094460167737117</v>
      </c>
      <c r="E17" s="222">
        <f t="shared" si="2"/>
        <v>0.002707486623990372</v>
      </c>
      <c r="F17" s="222">
        <f t="shared" si="3"/>
        <v>0.004932098231490823</v>
      </c>
      <c r="H17" s="213" t="s">
        <v>703</v>
      </c>
      <c r="I17" s="215">
        <v>996364273.1</v>
      </c>
      <c r="J17" s="215">
        <v>177447035.1</v>
      </c>
      <c r="K17" s="214">
        <v>240217.737</v>
      </c>
      <c r="L17" s="214">
        <v>437593.104</v>
      </c>
      <c r="M17" s="214">
        <v>98433953.14</v>
      </c>
    </row>
    <row r="18" spans="2:13" ht="9">
      <c r="B18" s="213" t="s">
        <v>755</v>
      </c>
      <c r="C18" s="221">
        <f t="shared" si="0"/>
        <v>10648.938116539017</v>
      </c>
      <c r="D18" s="216">
        <f t="shared" si="1"/>
        <v>2.1529535824294697</v>
      </c>
      <c r="E18" s="222">
        <f t="shared" si="2"/>
        <v>0.005219171531418209</v>
      </c>
      <c r="F18" s="222">
        <f t="shared" si="3"/>
        <v>0.013254054516775233</v>
      </c>
      <c r="H18" s="213" t="s">
        <v>704</v>
      </c>
      <c r="I18" s="215">
        <v>1411176758.7</v>
      </c>
      <c r="J18" s="215">
        <v>132518073</v>
      </c>
      <c r="K18" s="214">
        <v>345817.277</v>
      </c>
      <c r="L18" s="214">
        <v>878200.882</v>
      </c>
      <c r="M18" s="214">
        <v>142652630.001</v>
      </c>
    </row>
    <row r="19" spans="2:13" ht="9">
      <c r="B19" s="213" t="s">
        <v>752</v>
      </c>
      <c r="C19" s="221">
        <f t="shared" si="0"/>
        <v>9680.23860063207</v>
      </c>
      <c r="D19" s="216">
        <f t="shared" si="1"/>
        <v>1.9719713540714205</v>
      </c>
      <c r="E19" s="222">
        <f t="shared" si="2"/>
        <v>0.004045201020825729</v>
      </c>
      <c r="F19" s="222">
        <f t="shared" si="3"/>
        <v>0.006909600040687703</v>
      </c>
      <c r="H19" s="213" t="s">
        <v>701</v>
      </c>
      <c r="I19" s="215">
        <v>402115397.1</v>
      </c>
      <c r="J19" s="215">
        <v>41539822.9</v>
      </c>
      <c r="K19" s="214">
        <v>84018.467</v>
      </c>
      <c r="L19" s="214">
        <v>143511.781</v>
      </c>
      <c r="M19" s="214">
        <v>40957670.406</v>
      </c>
    </row>
    <row r="20" spans="2:13" ht="9">
      <c r="B20" s="213" t="s">
        <v>756</v>
      </c>
      <c r="C20" s="221">
        <f t="shared" si="0"/>
        <v>9478.137430007597</v>
      </c>
      <c r="D20" s="216">
        <f t="shared" si="1"/>
        <v>1.868539584048943</v>
      </c>
      <c r="E20" s="222">
        <f t="shared" si="2"/>
        <v>0.00425147408682525</v>
      </c>
      <c r="F20" s="222">
        <f t="shared" si="3"/>
        <v>0.005196329793831162</v>
      </c>
      <c r="H20" s="213" t="s">
        <v>705</v>
      </c>
      <c r="I20" s="215">
        <v>424684921</v>
      </c>
      <c r="J20" s="215">
        <v>44806790.8</v>
      </c>
      <c r="K20" s="214">
        <v>95247.455</v>
      </c>
      <c r="L20" s="214">
        <v>116415.431</v>
      </c>
      <c r="M20" s="214">
        <v>41861631.122</v>
      </c>
    </row>
    <row r="21" spans="2:13" ht="9">
      <c r="B21" s="213" t="s">
        <v>757</v>
      </c>
      <c r="C21" s="221">
        <f t="shared" si="0"/>
        <v>10888.843776017096</v>
      </c>
      <c r="D21" s="216">
        <f t="shared" si="1"/>
        <v>2.2288043489467158</v>
      </c>
      <c r="E21" s="222">
        <f t="shared" si="2"/>
        <v>0.005307099260384155</v>
      </c>
      <c r="F21" s="222">
        <f t="shared" si="3"/>
        <v>0.0125693958690663</v>
      </c>
      <c r="H21" s="213" t="s">
        <v>706</v>
      </c>
      <c r="I21" s="215">
        <v>1013813701.8</v>
      </c>
      <c r="J21" s="215">
        <v>93105725.7</v>
      </c>
      <c r="K21" s="214">
        <v>247060.664</v>
      </c>
      <c r="L21" s="214">
        <v>585141.362</v>
      </c>
      <c r="M21" s="214">
        <v>103757223.176</v>
      </c>
    </row>
    <row r="22" spans="2:13" ht="9">
      <c r="B22" s="213" t="s">
        <v>758</v>
      </c>
      <c r="C22" s="221">
        <f t="shared" si="0"/>
        <v>8910.605792769782</v>
      </c>
      <c r="D22" s="216">
        <f t="shared" si="1"/>
        <v>1.386281547834372</v>
      </c>
      <c r="E22" s="222">
        <f t="shared" si="2"/>
        <v>0.002538946118048192</v>
      </c>
      <c r="F22" s="222">
        <f t="shared" si="3"/>
        <v>0.0035263148674564656</v>
      </c>
      <c r="H22" s="213" t="s">
        <v>707</v>
      </c>
      <c r="I22" s="215">
        <v>830108293.2</v>
      </c>
      <c r="J22" s="215">
        <v>93159580</v>
      </c>
      <c r="K22" s="214">
        <v>118263.577</v>
      </c>
      <c r="L22" s="214">
        <v>164255.006</v>
      </c>
      <c r="M22" s="214">
        <v>64572703.379</v>
      </c>
    </row>
    <row r="23" spans="2:13" ht="9">
      <c r="B23" s="213" t="s">
        <v>761</v>
      </c>
      <c r="C23" s="221">
        <f t="shared" si="0"/>
        <v>7583.99397942943</v>
      </c>
      <c r="D23" s="216">
        <f t="shared" si="1"/>
        <v>0.655090925946454</v>
      </c>
      <c r="E23" s="222">
        <f t="shared" si="2"/>
        <v>0.0014628570744298034</v>
      </c>
      <c r="F23" s="222">
        <f t="shared" si="3"/>
        <v>0.002170486435347095</v>
      </c>
      <c r="H23" s="213" t="s">
        <v>710</v>
      </c>
      <c r="I23" s="215">
        <v>107159489.2</v>
      </c>
      <c r="J23" s="215">
        <v>14129690.7</v>
      </c>
      <c r="K23" s="214">
        <v>10334.859</v>
      </c>
      <c r="L23" s="214">
        <v>15334.151</v>
      </c>
      <c r="M23" s="214">
        <v>4628116.082</v>
      </c>
    </row>
    <row r="24" spans="2:13" ht="9">
      <c r="B24" s="213" t="s">
        <v>760</v>
      </c>
      <c r="C24" s="221">
        <f t="shared" si="0"/>
        <v>7272.090837457042</v>
      </c>
      <c r="D24" s="216">
        <f t="shared" si="1"/>
        <v>1.3728294579918119</v>
      </c>
      <c r="E24" s="222">
        <f t="shared" si="2"/>
        <v>0.00350881349903924</v>
      </c>
      <c r="F24" s="222">
        <f t="shared" si="3"/>
        <v>0.010083449727451068</v>
      </c>
      <c r="H24" s="213" t="s">
        <v>709</v>
      </c>
      <c r="I24" s="215">
        <v>372706722</v>
      </c>
      <c r="J24" s="215">
        <v>51251659.3</v>
      </c>
      <c r="K24" s="214">
        <v>89916.257</v>
      </c>
      <c r="L24" s="214">
        <v>258396.765</v>
      </c>
      <c r="M24" s="214">
        <v>35179893.829</v>
      </c>
    </row>
    <row r="25" spans="2:13" ht="9">
      <c r="B25" s="213" t="s">
        <v>759</v>
      </c>
      <c r="C25" s="221">
        <f t="shared" si="0"/>
        <v>8335.883804831079</v>
      </c>
      <c r="D25" s="216">
        <f t="shared" si="1"/>
        <v>1.2931514128100503</v>
      </c>
      <c r="E25" s="222">
        <f t="shared" si="2"/>
        <v>0.0021034540938841915</v>
      </c>
      <c r="F25" s="222">
        <f t="shared" si="3"/>
        <v>0.00555688856058654</v>
      </c>
      <c r="H25" s="213" t="s">
        <v>708</v>
      </c>
      <c r="I25" s="215">
        <v>340480345.2</v>
      </c>
      <c r="J25" s="215">
        <v>40845140.5</v>
      </c>
      <c r="K25" s="214">
        <v>42957.939</v>
      </c>
      <c r="L25" s="214">
        <v>113485.947</v>
      </c>
      <c r="M25" s="214">
        <v>26409475.572</v>
      </c>
    </row>
    <row r="26" spans="2:13" ht="9">
      <c r="B26" s="213" t="s">
        <v>762</v>
      </c>
      <c r="C26" s="221">
        <f t="shared" si="0"/>
        <v>8488.023404517113</v>
      </c>
      <c r="D26" s="216">
        <f t="shared" si="1"/>
        <v>1.564726836091452</v>
      </c>
      <c r="E26" s="222">
        <f t="shared" si="2"/>
        <v>0.0033626646867729905</v>
      </c>
      <c r="F26" s="222">
        <f t="shared" si="3"/>
        <v>0.007064114682288752</v>
      </c>
      <c r="H26" s="213" t="s">
        <v>711</v>
      </c>
      <c r="I26" s="215">
        <v>885497574.8</v>
      </c>
      <c r="J26" s="215">
        <v>104323177.8</v>
      </c>
      <c r="K26" s="214">
        <v>175401.933</v>
      </c>
      <c r="L26" s="214">
        <v>368475.446</v>
      </c>
      <c r="M26" s="214">
        <v>81618637.965</v>
      </c>
    </row>
    <row r="27" spans="2:13" ht="9">
      <c r="B27" s="213" t="s">
        <v>763</v>
      </c>
      <c r="C27" s="221">
        <f t="shared" si="0"/>
        <v>8440.22945884482</v>
      </c>
      <c r="D27" s="216">
        <f t="shared" si="1"/>
        <v>1.6400759828332356</v>
      </c>
      <c r="E27" s="222">
        <f t="shared" si="2"/>
        <v>0.0039125456718936465</v>
      </c>
      <c r="F27" s="222">
        <f t="shared" si="3"/>
        <v>0.00498366370375568</v>
      </c>
      <c r="H27" s="213" t="s">
        <v>712</v>
      </c>
      <c r="I27" s="215">
        <v>418696194.7</v>
      </c>
      <c r="J27" s="215">
        <v>49607205.2</v>
      </c>
      <c r="K27" s="214">
        <v>97045.228</v>
      </c>
      <c r="L27" s="214">
        <v>123612.814</v>
      </c>
      <c r="M27" s="214">
        <v>40679792.912</v>
      </c>
    </row>
    <row r="28" spans="2:13" ht="9">
      <c r="B28" s="213" t="s">
        <v>765</v>
      </c>
      <c r="C28" s="221">
        <f t="shared" si="0"/>
        <v>7420.725222135782</v>
      </c>
      <c r="D28" s="216">
        <f t="shared" si="1"/>
        <v>1.3167314990289423</v>
      </c>
      <c r="E28" s="222">
        <f t="shared" si="2"/>
        <v>0.003423316955091594</v>
      </c>
      <c r="F28" s="222">
        <f t="shared" si="3"/>
        <v>0.007051627586045304</v>
      </c>
      <c r="H28" s="213" t="s">
        <v>714</v>
      </c>
      <c r="I28" s="215">
        <v>279207499.5</v>
      </c>
      <c r="J28" s="215">
        <v>37625365.6</v>
      </c>
      <c r="K28" s="214">
        <v>64401.776</v>
      </c>
      <c r="L28" s="214">
        <v>132660.033</v>
      </c>
      <c r="M28" s="214">
        <v>24771252.024</v>
      </c>
    </row>
    <row r="29" spans="2:13" ht="9">
      <c r="B29" s="213" t="s">
        <v>764</v>
      </c>
      <c r="C29" s="221">
        <f t="shared" si="0"/>
        <v>9598.105625033024</v>
      </c>
      <c r="D29" s="216">
        <f t="shared" si="1"/>
        <v>1.979392976037866</v>
      </c>
      <c r="E29" s="222">
        <f t="shared" si="2"/>
        <v>0.004314307234444113</v>
      </c>
      <c r="F29" s="222">
        <f t="shared" si="3"/>
        <v>0.00615304545393205</v>
      </c>
      <c r="H29" s="213" t="s">
        <v>713</v>
      </c>
      <c r="I29" s="215">
        <v>731083037.9</v>
      </c>
      <c r="J29" s="215">
        <v>76169513.7</v>
      </c>
      <c r="K29" s="214">
        <v>164309.342</v>
      </c>
      <c r="L29" s="214">
        <v>234337.24</v>
      </c>
      <c r="M29" s="214">
        <v>75384700.203</v>
      </c>
    </row>
    <row r="30" spans="2:13" ht="9">
      <c r="B30" s="213" t="s">
        <v>766</v>
      </c>
      <c r="C30" s="221">
        <f t="shared" si="0"/>
        <v>7121.247003949791</v>
      </c>
      <c r="D30" s="216">
        <f t="shared" si="1"/>
        <v>1.460233385926047</v>
      </c>
      <c r="E30" s="222">
        <f t="shared" si="2"/>
        <v>0.0028474702979299758</v>
      </c>
      <c r="F30" s="222">
        <f t="shared" si="3"/>
        <v>0.0017427874091900135</v>
      </c>
      <c r="H30" s="213" t="s">
        <v>715</v>
      </c>
      <c r="I30" s="215">
        <v>188369989.5</v>
      </c>
      <c r="J30" s="215">
        <v>26451826.4</v>
      </c>
      <c r="K30" s="214">
        <v>37660.395</v>
      </c>
      <c r="L30" s="214">
        <v>23049.955</v>
      </c>
      <c r="M30" s="214">
        <v>19312920.014</v>
      </c>
    </row>
    <row r="31" spans="2:13" ht="9">
      <c r="B31" s="213" t="s">
        <v>769</v>
      </c>
      <c r="C31" s="221">
        <f t="shared" si="0"/>
        <v>7612.494487664477</v>
      </c>
      <c r="D31" s="216">
        <f t="shared" si="1"/>
        <v>1.54684076993951</v>
      </c>
      <c r="E31" s="222">
        <f t="shared" si="2"/>
        <v>0.0031212480351141226</v>
      </c>
      <c r="F31" s="222">
        <f t="shared" si="3"/>
        <v>0.004290258541907915</v>
      </c>
      <c r="H31" s="213" t="s">
        <v>718</v>
      </c>
      <c r="I31" s="215">
        <v>215334721.4</v>
      </c>
      <c r="J31" s="215">
        <v>28287011.8</v>
      </c>
      <c r="K31" s="214">
        <v>44145.39</v>
      </c>
      <c r="L31" s="214">
        <v>60679.297</v>
      </c>
      <c r="M31" s="214">
        <v>21877751.556</v>
      </c>
    </row>
    <row r="32" spans="2:13" ht="9">
      <c r="B32" s="213" t="s">
        <v>773</v>
      </c>
      <c r="C32" s="221">
        <f t="shared" si="0"/>
        <v>9007.946942450228</v>
      </c>
      <c r="D32" s="216">
        <f t="shared" si="1"/>
        <v>1.5521317923239466</v>
      </c>
      <c r="E32" s="222">
        <f t="shared" si="2"/>
        <v>0.002963798703901954</v>
      </c>
      <c r="F32" s="222">
        <f t="shared" si="3"/>
        <v>0.0029726160143515963</v>
      </c>
      <c r="H32" s="213" t="s">
        <v>722</v>
      </c>
      <c r="I32" s="215">
        <v>322883224.7</v>
      </c>
      <c r="J32" s="215">
        <v>35844263.6</v>
      </c>
      <c r="K32" s="214">
        <v>53117.591</v>
      </c>
      <c r="L32" s="214">
        <v>53275.616</v>
      </c>
      <c r="M32" s="214">
        <v>27817510.553</v>
      </c>
    </row>
    <row r="33" spans="2:13" ht="9">
      <c r="B33" s="213" t="s">
        <v>770</v>
      </c>
      <c r="C33" s="221">
        <f t="shared" si="0"/>
        <v>4566.769776822628</v>
      </c>
      <c r="D33" s="216">
        <f t="shared" si="1"/>
        <v>0.7086331523733131</v>
      </c>
      <c r="E33" s="222">
        <f t="shared" si="2"/>
        <v>0.0014161600803965168</v>
      </c>
      <c r="F33" s="222">
        <f t="shared" si="3"/>
        <v>0.006878746142183975</v>
      </c>
      <c r="H33" s="213" t="s">
        <v>719</v>
      </c>
      <c r="I33" s="215">
        <v>68645386.2</v>
      </c>
      <c r="J33" s="215">
        <v>15031497</v>
      </c>
      <c r="K33" s="214">
        <v>10643.503</v>
      </c>
      <c r="L33" s="214">
        <v>51698.926</v>
      </c>
      <c r="M33" s="214">
        <v>5325908.552</v>
      </c>
    </row>
    <row r="34" spans="2:13" ht="9">
      <c r="B34" s="213" t="s">
        <v>771</v>
      </c>
      <c r="C34" s="221">
        <f t="shared" si="0"/>
        <v>4951.487614974513</v>
      </c>
      <c r="D34" s="216">
        <f t="shared" si="1"/>
        <v>0.7325543849954548</v>
      </c>
      <c r="E34" s="222">
        <f t="shared" si="2"/>
        <v>0.0013934091336997372</v>
      </c>
      <c r="F34" s="222">
        <f t="shared" si="3"/>
        <v>0.002123917397898061</v>
      </c>
      <c r="H34" s="213" t="s">
        <v>720</v>
      </c>
      <c r="I34" s="215">
        <v>296707119.9</v>
      </c>
      <c r="J34" s="215">
        <v>59922823.8</v>
      </c>
      <c r="K34" s="214">
        <v>41748.505</v>
      </c>
      <c r="L34" s="214">
        <v>63635.564</v>
      </c>
      <c r="M34" s="214">
        <v>21948363.668</v>
      </c>
    </row>
    <row r="35" spans="2:13" ht="9">
      <c r="B35" s="213" t="s">
        <v>772</v>
      </c>
      <c r="C35" s="221">
        <f t="shared" si="0"/>
        <v>11014.729730567646</v>
      </c>
      <c r="D35" s="216">
        <f t="shared" si="1"/>
        <v>2.1370233403736885</v>
      </c>
      <c r="E35" s="222">
        <f t="shared" si="2"/>
        <v>0.005120403351711644</v>
      </c>
      <c r="F35" s="222">
        <f t="shared" si="3"/>
        <v>0.004044317414459365</v>
      </c>
      <c r="H35" s="213" t="s">
        <v>721</v>
      </c>
      <c r="I35" s="215">
        <v>374820909.9</v>
      </c>
      <c r="J35" s="215">
        <v>34029061</v>
      </c>
      <c r="K35" s="214">
        <v>87121.259</v>
      </c>
      <c r="L35" s="214">
        <v>68812.162</v>
      </c>
      <c r="M35" s="214">
        <v>36360448.804</v>
      </c>
    </row>
    <row r="36" spans="2:13" ht="9">
      <c r="B36" s="213" t="s">
        <v>774</v>
      </c>
      <c r="C36" s="221">
        <f t="shared" si="0"/>
        <v>6241.1947204134885</v>
      </c>
      <c r="D36" s="216">
        <f t="shared" si="1"/>
        <v>0.9796773308783138</v>
      </c>
      <c r="E36" s="222">
        <f t="shared" si="2"/>
        <v>0.0014683483653898186</v>
      </c>
      <c r="F36" s="222">
        <f t="shared" si="3"/>
        <v>0.004135143263181754</v>
      </c>
      <c r="H36" s="213" t="s">
        <v>723</v>
      </c>
      <c r="I36" s="215">
        <v>866014343.3</v>
      </c>
      <c r="J36" s="215">
        <v>138757783.1</v>
      </c>
      <c r="K36" s="214">
        <v>101872.382</v>
      </c>
      <c r="L36" s="214">
        <v>286891.656</v>
      </c>
      <c r="M36" s="214">
        <v>67968927.293</v>
      </c>
    </row>
    <row r="37" spans="2:13" ht="9">
      <c r="B37" s="213" t="s">
        <v>767</v>
      </c>
      <c r="C37" s="221">
        <f aca="true" t="shared" si="4" ref="C37:C55">1000000*I37/(1000*J37)</f>
        <v>6591.915355282762</v>
      </c>
      <c r="D37" s="216">
        <f aca="true" t="shared" si="5" ref="D37:D55">2000*M37/(1000*J37)</f>
        <v>1.2928488394395898</v>
      </c>
      <c r="E37" s="222">
        <f aca="true" t="shared" si="6" ref="E37:E55">2000*K37/(1000*J37)</f>
        <v>0.002930074602631988</v>
      </c>
      <c r="F37" s="222">
        <f aca="true" t="shared" si="7" ref="F37:F55">2000*L37/(1000*J37)</f>
        <v>0.007610647594674031</v>
      </c>
      <c r="H37" s="213" t="s">
        <v>716</v>
      </c>
      <c r="I37" s="215">
        <v>806304005.3</v>
      </c>
      <c r="J37" s="215">
        <v>122317105.4</v>
      </c>
      <c r="K37" s="214">
        <v>179199.122</v>
      </c>
      <c r="L37" s="214">
        <v>465456.192</v>
      </c>
      <c r="M37" s="214">
        <v>79068763.88</v>
      </c>
    </row>
    <row r="38" spans="2:13" ht="9">
      <c r="B38" s="213" t="s">
        <v>768</v>
      </c>
      <c r="C38" s="221">
        <f t="shared" si="4"/>
        <v>11009.272242753023</v>
      </c>
      <c r="D38" s="216">
        <f t="shared" si="5"/>
        <v>2.3933211635433307</v>
      </c>
      <c r="E38" s="222">
        <f t="shared" si="6"/>
        <v>0.005003845828956212</v>
      </c>
      <c r="F38" s="222">
        <f t="shared" si="7"/>
        <v>0.00972899536325265</v>
      </c>
      <c r="H38" s="213" t="s">
        <v>717</v>
      </c>
      <c r="I38" s="215">
        <v>344713468.9</v>
      </c>
      <c r="J38" s="215">
        <v>31311194.9</v>
      </c>
      <c r="K38" s="214">
        <v>78338.196</v>
      </c>
      <c r="L38" s="214">
        <v>152313.235</v>
      </c>
      <c r="M38" s="214">
        <v>37468872.705</v>
      </c>
    </row>
    <row r="39" spans="2:13" ht="9">
      <c r="B39" s="213" t="s">
        <v>775</v>
      </c>
      <c r="C39" s="221">
        <f t="shared" si="4"/>
        <v>9072.614881080366</v>
      </c>
      <c r="D39" s="216">
        <f t="shared" si="5"/>
        <v>1.8440017367081312</v>
      </c>
      <c r="E39" s="222">
        <f t="shared" si="6"/>
        <v>0.005131447700381588</v>
      </c>
      <c r="F39" s="222">
        <f t="shared" si="7"/>
        <v>0.01653817984430035</v>
      </c>
      <c r="H39" s="213" t="s">
        <v>724</v>
      </c>
      <c r="I39" s="215">
        <v>1352210836.6</v>
      </c>
      <c r="J39" s="215">
        <v>149043120.9</v>
      </c>
      <c r="K39" s="214">
        <v>382403.49</v>
      </c>
      <c r="L39" s="214">
        <v>1232450.969</v>
      </c>
      <c r="M39" s="214">
        <v>137417886.892</v>
      </c>
    </row>
    <row r="40" spans="2:13" ht="9">
      <c r="B40" s="213" t="s">
        <v>776</v>
      </c>
      <c r="C40" s="221">
        <f t="shared" si="4"/>
        <v>10388.291957330734</v>
      </c>
      <c r="D40" s="216">
        <f t="shared" si="5"/>
        <v>1.83588536274379</v>
      </c>
      <c r="E40" s="222">
        <f t="shared" si="6"/>
        <v>0.0036437088591807464</v>
      </c>
      <c r="F40" s="222">
        <f t="shared" si="7"/>
        <v>0.0034660250587772307</v>
      </c>
      <c r="H40" s="213" t="s">
        <v>725</v>
      </c>
      <c r="I40" s="215">
        <v>582753992.9</v>
      </c>
      <c r="J40" s="215">
        <v>56097190.5</v>
      </c>
      <c r="K40" s="214">
        <v>102200.915</v>
      </c>
      <c r="L40" s="214">
        <v>97217.134</v>
      </c>
      <c r="M40" s="214">
        <v>51494005.465</v>
      </c>
    </row>
    <row r="41" spans="2:13" ht="9">
      <c r="B41" s="213" t="s">
        <v>777</v>
      </c>
      <c r="C41" s="221">
        <f t="shared" si="4"/>
        <v>2363.7002271334773</v>
      </c>
      <c r="D41" s="216">
        <f t="shared" si="5"/>
        <v>0.32926865858101023</v>
      </c>
      <c r="E41" s="222">
        <f t="shared" si="6"/>
        <v>0.0005578580637624269</v>
      </c>
      <c r="F41" s="222">
        <f t="shared" si="7"/>
        <v>0.0005642280229224734</v>
      </c>
      <c r="H41" s="213" t="s">
        <v>726</v>
      </c>
      <c r="I41" s="215">
        <v>122474595.2</v>
      </c>
      <c r="J41" s="215">
        <v>51814774.9</v>
      </c>
      <c r="K41" s="214">
        <v>14452.645</v>
      </c>
      <c r="L41" s="214">
        <v>14617.674</v>
      </c>
      <c r="M41" s="214">
        <v>8530490.713</v>
      </c>
    </row>
    <row r="42" spans="2:13" ht="9">
      <c r="B42" s="213" t="s">
        <v>778</v>
      </c>
      <c r="C42" s="221">
        <f t="shared" si="4"/>
        <v>6255.231416369411</v>
      </c>
      <c r="D42" s="216">
        <f t="shared" si="5"/>
        <v>1.2341011020397636</v>
      </c>
      <c r="E42" s="222">
        <f t="shared" si="6"/>
        <v>0.0027225375353801605</v>
      </c>
      <c r="F42" s="222">
        <f t="shared" si="7"/>
        <v>0.009526774392947957</v>
      </c>
      <c r="H42" s="213" t="s">
        <v>727</v>
      </c>
      <c r="I42" s="215">
        <v>1250947788.4</v>
      </c>
      <c r="J42" s="215">
        <v>199984254</v>
      </c>
      <c r="K42" s="214">
        <v>272232.319</v>
      </c>
      <c r="L42" s="214">
        <v>952602.435</v>
      </c>
      <c r="M42" s="214">
        <v>123400394.126</v>
      </c>
    </row>
    <row r="43" spans="2:13" ht="9">
      <c r="B43" s="213" t="s">
        <v>779</v>
      </c>
      <c r="C43" s="221">
        <f t="shared" si="4"/>
        <v>8735.930704833952</v>
      </c>
      <c r="D43" s="216">
        <f t="shared" si="5"/>
        <v>1.001701088973915</v>
      </c>
      <c r="E43" s="222">
        <f t="shared" si="6"/>
        <v>0.0005324113563055887</v>
      </c>
      <c r="F43" s="222">
        <f t="shared" si="7"/>
        <v>0.00019354626819998848</v>
      </c>
      <c r="H43" s="213" t="s">
        <v>728</v>
      </c>
      <c r="I43" s="215">
        <v>53145092.1</v>
      </c>
      <c r="J43" s="215">
        <v>6083506.6</v>
      </c>
      <c r="K43" s="214">
        <v>1619.464</v>
      </c>
      <c r="L43" s="214">
        <v>588.72</v>
      </c>
      <c r="M43" s="214">
        <v>3046927.593</v>
      </c>
    </row>
    <row r="44" spans="2:13" ht="9">
      <c r="B44" s="213" t="s">
        <v>780</v>
      </c>
      <c r="C44" s="221">
        <f t="shared" si="4"/>
        <v>4560.7982781325845</v>
      </c>
      <c r="D44" s="216">
        <f t="shared" si="5"/>
        <v>0.8932460581866772</v>
      </c>
      <c r="E44" s="222">
        <f t="shared" si="6"/>
        <v>0.0019584257917382437</v>
      </c>
      <c r="F44" s="222">
        <f t="shared" si="7"/>
        <v>0.004418401873213686</v>
      </c>
      <c r="H44" s="213" t="s">
        <v>729</v>
      </c>
      <c r="I44" s="215">
        <v>425750086.9</v>
      </c>
      <c r="J44" s="215">
        <v>93349905.2</v>
      </c>
      <c r="K44" s="214">
        <v>91409.431</v>
      </c>
      <c r="L44" s="214">
        <v>206228.698</v>
      </c>
      <c r="M44" s="214">
        <v>41692217.426</v>
      </c>
    </row>
    <row r="45" spans="2:13" ht="9">
      <c r="B45" s="213" t="s">
        <v>781</v>
      </c>
      <c r="C45" s="221">
        <f t="shared" si="4"/>
        <v>4466.138665506342</v>
      </c>
      <c r="D45" s="216">
        <f t="shared" si="5"/>
        <v>0.8327229114504073</v>
      </c>
      <c r="E45" s="222">
        <f t="shared" si="6"/>
        <v>0.003541209458360647</v>
      </c>
      <c r="F45" s="222">
        <f t="shared" si="7"/>
        <v>0.002751493201006084</v>
      </c>
      <c r="H45" s="213" t="s">
        <v>730</v>
      </c>
      <c r="I45" s="215">
        <v>46989089</v>
      </c>
      <c r="J45" s="215">
        <v>10521189</v>
      </c>
      <c r="K45" s="214">
        <v>18628.867</v>
      </c>
      <c r="L45" s="214">
        <v>14474.49</v>
      </c>
      <c r="M45" s="214">
        <v>4380617.568</v>
      </c>
    </row>
    <row r="46" spans="2:13" ht="9">
      <c r="B46" s="213" t="s">
        <v>782</v>
      </c>
      <c r="C46" s="221">
        <f t="shared" si="4"/>
        <v>6821.609198390561</v>
      </c>
      <c r="D46" s="216">
        <f t="shared" si="5"/>
        <v>1.3685179808579244</v>
      </c>
      <c r="E46" s="222">
        <f t="shared" si="6"/>
        <v>0.003322485944969097</v>
      </c>
      <c r="F46" s="222">
        <f t="shared" si="7"/>
        <v>0.008740189171807175</v>
      </c>
      <c r="H46" s="213" t="s">
        <v>731</v>
      </c>
      <c r="I46" s="215">
        <v>653773361.4</v>
      </c>
      <c r="J46" s="215">
        <v>95838583.3</v>
      </c>
      <c r="K46" s="214">
        <v>159211.173</v>
      </c>
      <c r="L46" s="214">
        <v>418823.674</v>
      </c>
      <c r="M46" s="214">
        <v>65578412.253</v>
      </c>
    </row>
    <row r="47" spans="2:13" ht="9">
      <c r="B47" s="213" t="s">
        <v>783</v>
      </c>
      <c r="C47" s="221">
        <f t="shared" si="4"/>
        <v>9269.58885835183</v>
      </c>
      <c r="D47" s="216">
        <f t="shared" si="5"/>
        <v>1.4685065905530872</v>
      </c>
      <c r="E47" s="222">
        <f t="shared" si="6"/>
        <v>0.002308056813257736</v>
      </c>
      <c r="F47" s="222">
        <f t="shared" si="7"/>
        <v>0.0030447417985928382</v>
      </c>
      <c r="H47" s="213" t="s">
        <v>732</v>
      </c>
      <c r="I47" s="215">
        <v>3513927468.6</v>
      </c>
      <c r="J47" s="215">
        <v>379081264.8</v>
      </c>
      <c r="K47" s="214">
        <v>437470.548</v>
      </c>
      <c r="L47" s="214">
        <v>577102.286</v>
      </c>
      <c r="M47" s="214">
        <v>278341667.857</v>
      </c>
    </row>
    <row r="48" spans="2:13" ht="9">
      <c r="B48" s="213" t="s">
        <v>820</v>
      </c>
      <c r="C48" s="221">
        <f t="shared" si="4"/>
        <v>7723.489484732052</v>
      </c>
      <c r="D48" s="216">
        <f t="shared" si="5"/>
        <v>1.3899147511550067</v>
      </c>
      <c r="E48" s="222">
        <f t="shared" si="6"/>
        <v>0.002937040322175353</v>
      </c>
      <c r="F48" s="222">
        <f t="shared" si="7"/>
        <v>0.006083572637041173</v>
      </c>
      <c r="I48" s="215">
        <f>SUM(I1:I47)</f>
        <v>26140803484.100006</v>
      </c>
      <c r="J48" s="215">
        <f>SUM(J1:J47)</f>
        <v>3384584589.1000004</v>
      </c>
      <c r="K48" s="215">
        <f>SUM(K1:K47)</f>
        <v>4970330.706</v>
      </c>
      <c r="L48" s="215">
        <f>SUM(L1:L47)</f>
        <v>10295183.097000001</v>
      </c>
      <c r="M48" s="215">
        <f>SUM(M1:M47)</f>
        <v>2352142023.460999</v>
      </c>
    </row>
    <row r="49" spans="2:13" ht="9">
      <c r="B49" s="213" t="s">
        <v>784</v>
      </c>
      <c r="C49" s="221">
        <f t="shared" si="4"/>
        <v>10370.150082074702</v>
      </c>
      <c r="D49" s="216">
        <f t="shared" si="5"/>
        <v>2.0954672745949248</v>
      </c>
      <c r="E49" s="222">
        <f t="shared" si="6"/>
        <v>0.0044349930734294395</v>
      </c>
      <c r="F49" s="222">
        <f t="shared" si="7"/>
        <v>0.001560284872198818</v>
      </c>
      <c r="H49" s="213" t="s">
        <v>733</v>
      </c>
      <c r="I49" s="215">
        <v>379580456.6</v>
      </c>
      <c r="J49" s="215">
        <v>36603178.7</v>
      </c>
      <c r="K49" s="214">
        <v>81167.422</v>
      </c>
      <c r="L49" s="214">
        <v>28555.693</v>
      </c>
      <c r="M49" s="214">
        <v>38350381.556</v>
      </c>
    </row>
    <row r="50" spans="2:13" ht="9">
      <c r="B50" s="213" t="s">
        <v>786</v>
      </c>
      <c r="C50" s="221">
        <f t="shared" si="4"/>
        <v>1244.4082469492691</v>
      </c>
      <c r="D50" s="216">
        <f t="shared" si="5"/>
        <v>0.05693420786092445</v>
      </c>
      <c r="E50" s="222">
        <f t="shared" si="6"/>
        <v>0.00031091060175905677</v>
      </c>
      <c r="F50" s="222">
        <f t="shared" si="7"/>
        <v>5.3274192107192396E-05</v>
      </c>
      <c r="H50" s="213" t="s">
        <v>735</v>
      </c>
      <c r="I50" s="215">
        <v>7843523.1</v>
      </c>
      <c r="J50" s="215">
        <v>6303014.4</v>
      </c>
      <c r="K50" s="214">
        <v>979.837</v>
      </c>
      <c r="L50" s="214">
        <v>167.894</v>
      </c>
      <c r="M50" s="214">
        <v>179428.566</v>
      </c>
    </row>
    <row r="51" spans="2:13" ht="9">
      <c r="B51" s="213" t="s">
        <v>785</v>
      </c>
      <c r="C51" s="221">
        <f t="shared" si="4"/>
        <v>6581.673744200947</v>
      </c>
      <c r="D51" s="216">
        <f t="shared" si="5"/>
        <v>1.2231238931150519</v>
      </c>
      <c r="E51" s="222">
        <f t="shared" si="6"/>
        <v>0.0025407383379084684</v>
      </c>
      <c r="F51" s="222">
        <f t="shared" si="7"/>
        <v>0.005828902858403511</v>
      </c>
      <c r="H51" s="213" t="s">
        <v>734</v>
      </c>
      <c r="I51" s="215">
        <v>508271225.9</v>
      </c>
      <c r="J51" s="215">
        <v>77225223.5</v>
      </c>
      <c r="K51" s="214">
        <v>98104.543</v>
      </c>
      <c r="L51" s="214">
        <v>225069.163</v>
      </c>
      <c r="M51" s="214">
        <v>47228008.007</v>
      </c>
    </row>
    <row r="52" spans="2:13" ht="9">
      <c r="B52" s="213" t="s">
        <v>787</v>
      </c>
      <c r="C52" s="221">
        <f t="shared" si="4"/>
        <v>1920.1321654479073</v>
      </c>
      <c r="D52" s="216">
        <f t="shared" si="5"/>
        <v>0.2874856811873473</v>
      </c>
      <c r="E52" s="222">
        <f t="shared" si="6"/>
        <v>0.0005552891930772644</v>
      </c>
      <c r="F52" s="222">
        <f t="shared" si="7"/>
        <v>0.0015758647436787167</v>
      </c>
      <c r="H52" s="213" t="s">
        <v>736</v>
      </c>
      <c r="I52" s="215">
        <v>206634315.8</v>
      </c>
      <c r="J52" s="215">
        <v>107614631.7</v>
      </c>
      <c r="K52" s="214">
        <v>29878.621</v>
      </c>
      <c r="L52" s="214">
        <v>84793.052</v>
      </c>
      <c r="M52" s="214">
        <v>15468832.85</v>
      </c>
    </row>
    <row r="53" spans="2:13" ht="9">
      <c r="B53" s="213" t="s">
        <v>747</v>
      </c>
      <c r="C53" s="221">
        <f t="shared" si="4"/>
        <v>17023.689910281442</v>
      </c>
      <c r="D53" s="216">
        <f t="shared" si="5"/>
        <v>2.6569541682453246</v>
      </c>
      <c r="E53" s="222">
        <f t="shared" si="6"/>
        <v>0.005212375938276847</v>
      </c>
      <c r="F53" s="222">
        <f t="shared" si="7"/>
        <v>0.013621843867685042</v>
      </c>
      <c r="H53" s="213" t="s">
        <v>696</v>
      </c>
      <c r="I53" s="215">
        <v>2457773.1</v>
      </c>
      <c r="J53" s="215">
        <v>144373.7</v>
      </c>
      <c r="K53" s="214">
        <v>376.265</v>
      </c>
      <c r="L53" s="214">
        <v>983.318</v>
      </c>
      <c r="M53" s="214">
        <v>191797.152</v>
      </c>
    </row>
    <row r="54" spans="2:13" ht="9">
      <c r="B54" s="213" t="s">
        <v>789</v>
      </c>
      <c r="C54" s="221">
        <f t="shared" si="4"/>
        <v>9890.376463158691</v>
      </c>
      <c r="D54" s="216">
        <f t="shared" si="5"/>
        <v>2.027326208626623</v>
      </c>
      <c r="E54" s="222">
        <f t="shared" si="6"/>
        <v>0.005786022281612097</v>
      </c>
      <c r="F54" s="222">
        <f t="shared" si="7"/>
        <v>0.012880030602042254</v>
      </c>
      <c r="H54" s="213" t="s">
        <v>738</v>
      </c>
      <c r="I54" s="215">
        <v>918471538.1</v>
      </c>
      <c r="J54" s="215">
        <v>92865174.7</v>
      </c>
      <c r="K54" s="214">
        <v>268659.985</v>
      </c>
      <c r="L54" s="214">
        <v>598053.146</v>
      </c>
      <c r="M54" s="214">
        <v>94134001.269</v>
      </c>
    </row>
    <row r="55" spans="2:13" ht="9">
      <c r="B55" s="213" t="s">
        <v>788</v>
      </c>
      <c r="C55" s="221">
        <f t="shared" si="4"/>
        <v>9004.422988898064</v>
      </c>
      <c r="D55" s="216">
        <f t="shared" si="5"/>
        <v>1.760653287919993</v>
      </c>
      <c r="E55" s="222">
        <f t="shared" si="6"/>
        <v>0.0037540984459086993</v>
      </c>
      <c r="F55" s="222">
        <f t="shared" si="7"/>
        <v>0.006632262362655064</v>
      </c>
      <c r="H55" s="213" t="s">
        <v>737</v>
      </c>
      <c r="I55" s="215">
        <v>537277129.2</v>
      </c>
      <c r="J55" s="215">
        <v>59668135.3</v>
      </c>
      <c r="K55" s="214">
        <v>112000.027</v>
      </c>
      <c r="L55" s="214">
        <v>197867.364</v>
      </c>
      <c r="M55" s="214">
        <v>52527449.3</v>
      </c>
    </row>
    <row r="56" spans="2:13" ht="9">
      <c r="B56" s="213" t="s">
        <v>790</v>
      </c>
      <c r="C56" s="221">
        <f>1000000*I56/(1000*J56)</f>
        <v>11220.077561010077</v>
      </c>
      <c r="D56" s="216">
        <f>2000*M56/(1000*J56)</f>
        <v>2.302356184616541</v>
      </c>
      <c r="E56" s="222">
        <f>2000*K56/(1000*J56)</f>
        <v>0.004047640181353848</v>
      </c>
      <c r="F56" s="222">
        <f>2000*L56/(1000*J56)</f>
        <v>0.0037291394243039694</v>
      </c>
      <c r="H56" s="213" t="s">
        <v>739</v>
      </c>
      <c r="I56" s="215">
        <v>509697355.9</v>
      </c>
      <c r="J56" s="215">
        <v>45427257.8</v>
      </c>
      <c r="K56" s="214">
        <v>91936.597</v>
      </c>
      <c r="L56" s="214">
        <v>84702.289</v>
      </c>
      <c r="M56" s="214">
        <v>52294863.973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B3:AP6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2.00390625" style="0" bestFit="1" customWidth="1"/>
    <col min="3" max="3" width="11.140625" style="0" bestFit="1" customWidth="1"/>
    <col min="6" max="6" width="35.00390625" style="0" bestFit="1" customWidth="1"/>
    <col min="7" max="7" width="10.140625" style="0" bestFit="1" customWidth="1"/>
    <col min="10" max="10" width="37.140625" style="0" bestFit="1" customWidth="1"/>
    <col min="11" max="11" width="10.140625" style="0" bestFit="1" customWidth="1"/>
    <col min="14" max="14" width="45.28125" style="0" bestFit="1" customWidth="1"/>
    <col min="15" max="15" width="13.421875" style="0" bestFit="1" customWidth="1"/>
    <col min="18" max="18" width="37.00390625" style="0" bestFit="1" customWidth="1"/>
    <col min="19" max="19" width="9.00390625" style="0" bestFit="1" customWidth="1"/>
    <col min="22" max="22" width="36.421875" style="0" bestFit="1" customWidth="1"/>
    <col min="23" max="23" width="10.28125" style="0" bestFit="1" customWidth="1"/>
    <col min="24" max="24" width="12.28125" style="0" bestFit="1" customWidth="1"/>
    <col min="26" max="26" width="24.421875" style="0" bestFit="1" customWidth="1"/>
    <col min="27" max="27" width="9.00390625" style="0" bestFit="1" customWidth="1"/>
    <col min="28" max="28" width="10.7109375" style="0" bestFit="1" customWidth="1"/>
    <col min="30" max="30" width="36.57421875" style="0" bestFit="1" customWidth="1"/>
    <col min="31" max="31" width="12.28125" style="0" bestFit="1" customWidth="1"/>
    <col min="33" max="33" width="10.140625" style="0" bestFit="1" customWidth="1"/>
    <col min="34" max="34" width="12.140625" style="0" bestFit="1" customWidth="1"/>
  </cols>
  <sheetData>
    <row r="3" spans="2:34" s="44" customFormat="1" ht="15.75">
      <c r="B3" s="44" t="s">
        <v>222</v>
      </c>
      <c r="F3" s="44" t="s">
        <v>253</v>
      </c>
      <c r="J3" s="44" t="s">
        <v>270</v>
      </c>
      <c r="N3" s="44" t="s">
        <v>280</v>
      </c>
      <c r="R3" s="44" t="s">
        <v>292</v>
      </c>
      <c r="V3" s="44" t="s">
        <v>308</v>
      </c>
      <c r="Z3" s="44" t="s">
        <v>330</v>
      </c>
      <c r="AD3" s="44" t="s">
        <v>903</v>
      </c>
      <c r="AH3" s="44" t="s">
        <v>904</v>
      </c>
    </row>
    <row r="5" spans="2:33" ht="12.75">
      <c r="B5" s="1" t="s">
        <v>223</v>
      </c>
      <c r="C5" t="s">
        <v>1067</v>
      </c>
      <c r="F5" s="1" t="s">
        <v>254</v>
      </c>
      <c r="G5" s="188">
        <v>1</v>
      </c>
      <c r="J5" s="1" t="s">
        <v>271</v>
      </c>
      <c r="N5" s="1" t="s">
        <v>281</v>
      </c>
      <c r="R5" s="1" t="s">
        <v>293</v>
      </c>
      <c r="V5" s="1" t="s">
        <v>309</v>
      </c>
      <c r="Z5" s="1" t="s">
        <v>331</v>
      </c>
      <c r="AD5" s="288" t="s">
        <v>968</v>
      </c>
      <c r="AE5" s="298"/>
      <c r="AF5" s="298"/>
      <c r="AG5" s="299"/>
    </row>
    <row r="6" spans="10:35" ht="12.75">
      <c r="J6" t="s">
        <v>272</v>
      </c>
      <c r="K6" s="3">
        <f>+Ce</f>
        <v>0.060485195806379864</v>
      </c>
      <c r="L6" s="63" t="s">
        <v>30</v>
      </c>
      <c r="N6" t="s">
        <v>282</v>
      </c>
      <c r="O6" s="36">
        <f>+Qe</f>
        <v>5200</v>
      </c>
      <c r="P6" t="s">
        <v>0</v>
      </c>
      <c r="R6" t="s">
        <v>294</v>
      </c>
      <c r="S6" s="185"/>
      <c r="V6" t="s">
        <v>310</v>
      </c>
      <c r="W6" s="186">
        <v>24</v>
      </c>
      <c r="X6" t="s">
        <v>311</v>
      </c>
      <c r="Z6" t="s">
        <v>332</v>
      </c>
      <c r="AA6" s="3"/>
      <c r="AB6" s="63" t="s">
        <v>30</v>
      </c>
      <c r="AD6" s="293" t="s">
        <v>969</v>
      </c>
      <c r="AE6" s="300">
        <v>17990</v>
      </c>
      <c r="AF6" s="293" t="s">
        <v>1046</v>
      </c>
      <c r="AG6" s="134"/>
      <c r="AH6" s="134"/>
      <c r="AI6" s="134"/>
    </row>
    <row r="7" spans="2:35" ht="12.75">
      <c r="B7" s="1" t="s">
        <v>224</v>
      </c>
      <c r="F7" s="1" t="s">
        <v>255</v>
      </c>
      <c r="G7" s="187">
        <v>5200</v>
      </c>
      <c r="H7" t="s">
        <v>0</v>
      </c>
      <c r="J7" t="s">
        <v>273</v>
      </c>
      <c r="K7" s="36">
        <f>+G13</f>
        <v>3542.8571917808217</v>
      </c>
      <c r="L7" t="s">
        <v>0</v>
      </c>
      <c r="N7" t="s">
        <v>283</v>
      </c>
      <c r="O7" s="2">
        <f>+O6*W26</f>
        <v>8432900</v>
      </c>
      <c r="R7" t="s">
        <v>295</v>
      </c>
      <c r="S7" s="185" t="s">
        <v>54</v>
      </c>
      <c r="V7" t="s">
        <v>312</v>
      </c>
      <c r="W7" s="191">
        <v>0.025</v>
      </c>
      <c r="X7" s="63" t="s">
        <v>30</v>
      </c>
      <c r="Z7" t="s">
        <v>333</v>
      </c>
      <c r="AA7" s="4"/>
      <c r="AB7" s="63" t="s">
        <v>3</v>
      </c>
      <c r="AD7" s="293" t="s">
        <v>1021</v>
      </c>
      <c r="AE7" s="300">
        <v>0</v>
      </c>
      <c r="AF7" s="293" t="s">
        <v>474</v>
      </c>
      <c r="AG7" s="134"/>
      <c r="AH7" s="134"/>
      <c r="AI7" s="134"/>
    </row>
    <row r="8" spans="2:35" ht="12.75">
      <c r="B8" t="s">
        <v>225</v>
      </c>
      <c r="C8" s="186">
        <v>1877184</v>
      </c>
      <c r="J8" t="s">
        <v>274</v>
      </c>
      <c r="K8" s="4">
        <f>+Cfuel</f>
        <v>7.602039838980245</v>
      </c>
      <c r="L8" s="63" t="s">
        <v>3</v>
      </c>
      <c r="N8" t="s">
        <v>284</v>
      </c>
      <c r="O8" s="2">
        <f>+'Tabular Results'!D46</f>
        <v>-490845.0388753591</v>
      </c>
      <c r="V8" t="s">
        <v>313</v>
      </c>
      <c r="W8" s="190">
        <v>1</v>
      </c>
      <c r="Z8" t="s">
        <v>334</v>
      </c>
      <c r="AA8" s="6" t="s">
        <v>335</v>
      </c>
      <c r="AB8" s="115" t="str">
        <f>CONCATENATE("financed at ",TEXT(i,"##0.00%"))</f>
        <v>financed at 6.00%</v>
      </c>
      <c r="AD8" s="293" t="s">
        <v>1022</v>
      </c>
      <c r="AE8" s="300">
        <v>1950</v>
      </c>
      <c r="AF8" s="293" t="s">
        <v>955</v>
      </c>
      <c r="AG8" s="134"/>
      <c r="AH8" s="134"/>
      <c r="AI8" s="134"/>
    </row>
    <row r="9" spans="2:35" ht="12.75">
      <c r="B9" t="s">
        <v>226</v>
      </c>
      <c r="C9" s="187">
        <v>31035429</v>
      </c>
      <c r="D9" t="s">
        <v>1</v>
      </c>
      <c r="F9" s="316" t="s">
        <v>256</v>
      </c>
      <c r="J9" t="s">
        <v>275</v>
      </c>
      <c r="K9" s="4">
        <f>1000000*Ce/3413-Cfuel</f>
        <v>10.119963034263195</v>
      </c>
      <c r="L9" s="63" t="s">
        <v>3</v>
      </c>
      <c r="N9" t="s">
        <v>285</v>
      </c>
      <c r="O9" s="7">
        <f>+'Tabular Results'!C46</f>
        <v>-0.011205279761016124</v>
      </c>
      <c r="P9" s="63" t="s">
        <v>67</v>
      </c>
      <c r="Q9" s="63"/>
      <c r="R9" s="1" t="s">
        <v>296</v>
      </c>
      <c r="V9" t="s">
        <v>314</v>
      </c>
      <c r="W9" s="192">
        <v>0.06</v>
      </c>
      <c r="Z9" t="s">
        <v>337</v>
      </c>
      <c r="AA9" s="57">
        <f>Pnetcost/(H*((gamma+0*(beta1*'Plot Data'!I2+beta2*'Plot Data'!I3+beta3*'Plot Data'!I4))*$C$30-(alpha/1000000-0*beta1*'Plot Data'!I5)*($C$31)+Psubsidy/AnnualPower-COM-Cstandby/H))</f>
        <v>-5.280083274248881</v>
      </c>
      <c r="AB9" s="57">
        <f>IF(i=0,"",IF(i*Pnetcost/(H*((gamma+0*(beta1*'Plot Data'!$I$2+beta2*'Plot Data'!$I$3+beta3*'Plot Data'!$I$4))*$C$30-(alpha/1000000-0*beta1*'Plot Data'!$I$5)*$C$31+Psubsidy/AnnualPower-COM-Cstandby/H))&lt;1,-LN(1-i*Pnetcost/(H*((gamma+0*(beta1*'Plot Data'!$I$2+beta2*'Plot Data'!$I$3+beta3*'Plot Data'!$I$4))*$C$30-(alpha/1000000-0*beta1*'Plot Data'!$I$5)*$C$31+Psubsidy/AnnualPower-COM-Cstandby/H)))/LN(1+i),"no payback"))</f>
        <v>-4.72307366288002</v>
      </c>
      <c r="AC9" t="s">
        <v>16</v>
      </c>
      <c r="AD9" s="293"/>
      <c r="AE9" s="302"/>
      <c r="AF9" s="303"/>
      <c r="AG9" s="134"/>
      <c r="AH9" s="134"/>
      <c r="AI9" s="134"/>
    </row>
    <row r="10" spans="2:35" ht="12.75">
      <c r="B10" t="s">
        <v>227</v>
      </c>
      <c r="C10" s="187">
        <v>7300</v>
      </c>
      <c r="D10" t="s">
        <v>81</v>
      </c>
      <c r="F10" s="319"/>
      <c r="G10" s="185" t="s">
        <v>582</v>
      </c>
      <c r="J10" t="s">
        <v>276</v>
      </c>
      <c r="K10" s="56">
        <f>+G15</f>
        <v>0.4853229029836742</v>
      </c>
      <c r="N10" t="s">
        <v>286</v>
      </c>
      <c r="R10" t="s">
        <v>297</v>
      </c>
      <c r="S10" s="185"/>
      <c r="V10" t="s">
        <v>315</v>
      </c>
      <c r="W10" s="190">
        <v>1</v>
      </c>
      <c r="Z10" t="s">
        <v>338</v>
      </c>
      <c r="AA10" s="57">
        <f>Pnetcost/(H*((gamma+0.25*(beta1*'Plot Data'!I2+beta2*'Plot Data'!I3+beta3*'Plot Data'!I4))*$C$30-(alpha/1000000-0*beta1*'Plot Data'!I5)*($C$31)+Psubsidy/AnnualPower-COM-Cstandby/H))</f>
        <v>-6.385911993349723</v>
      </c>
      <c r="AB10" s="57">
        <f>IF(i=0,"",IF(i*Pnetcost/(H*((gamma+0.25*(beta1*'Plot Data'!$I$2+beta2*'Plot Data'!$I$3+beta3*'Plot Data'!$I$4))*$C$30-(alpha/1000000-0*beta1*'Plot Data'!$I$5)*$C$31+Psubsidy/AnnualPower-COM-Cstandby/H))&lt;1,-LN(1-i*Pnetcost/(H*((gamma+0.25*(beta1*'Plot Data'!$I$2+beta2*'Plot Data'!$I$3+beta3*'Plot Data'!$I$4))*$C$30-(alpha/1000000-0*beta1*'Plot Data'!$I$5)*$C$31+Psubsidy/AnnualPower-COM-Cstandby/H)))/LN(1+i),"no payback"))</f>
        <v>-5.566723820997811</v>
      </c>
      <c r="AC10" t="s">
        <v>16</v>
      </c>
      <c r="AD10" s="288" t="s">
        <v>974</v>
      </c>
      <c r="AE10" s="304"/>
      <c r="AF10" s="303"/>
      <c r="AG10" s="134"/>
      <c r="AH10" s="134"/>
      <c r="AI10" s="134"/>
    </row>
    <row r="11" spans="2:35" ht="12.75">
      <c r="B11" t="s">
        <v>228</v>
      </c>
      <c r="C11" s="187">
        <v>7000</v>
      </c>
      <c r="D11" t="s">
        <v>81</v>
      </c>
      <c r="F11" s="25"/>
      <c r="J11" t="s">
        <v>277</v>
      </c>
      <c r="K11" s="57">
        <f>+G18</f>
        <v>12.013841095890411</v>
      </c>
      <c r="L11" t="s">
        <v>40</v>
      </c>
      <c r="N11" t="s">
        <v>287</v>
      </c>
      <c r="O11" s="57">
        <f>+'Tabular Results'!C33</f>
        <v>-17.18037126202141</v>
      </c>
      <c r="P11" t="s">
        <v>16</v>
      </c>
      <c r="R11" t="s">
        <v>298</v>
      </c>
      <c r="S11" s="185" t="s">
        <v>54</v>
      </c>
      <c r="V11" t="s">
        <v>363</v>
      </c>
      <c r="W11" s="190">
        <v>0.75</v>
      </c>
      <c r="Z11" t="s">
        <v>339</v>
      </c>
      <c r="AA11" s="57">
        <f>Pnetcost/(H*((gamma+0.5*(beta1*'Plot Data'!I2+beta2*'Plot Data'!I3+beta3*'Plot Data'!I4))*$C$30-(alpha/1000000-0*beta1*'Plot Data'!I5)*($C$31)+Psubsidy/AnnualPower-COM-Cstandby/H))</f>
        <v>-8.077645160697537</v>
      </c>
      <c r="AB11" s="57">
        <f>IF(i=0,"",IF(i*Pnetcost/(H*((gamma+0.5*(beta1*'Plot Data'!$I$2+beta2*'Plot Data'!$I$3+beta3*'Plot Data'!$I$4))*$C$30-(alpha/1000000-0*beta1*'Plot Data'!$I$5)*$C$31+Psubsidy/AnnualPower-COM-Cstandby/H))&lt;1,-LN(1-i*Pnetcost/(H*((gamma+0.5*(beta1*'Plot Data'!$I$2+beta2*'Plot Data'!$I$3+beta3*'Plot Data'!$I$4))*$C$30-(alpha/1000000-0*beta1*'Plot Data'!$I$5)*$C$31+Psubsidy/AnnualPower-COM-Cstandby/H)))/LN(1+i),"no payback"))</f>
        <v>-6.782088997497559</v>
      </c>
      <c r="AC11" t="s">
        <v>16</v>
      </c>
      <c r="AD11" s="293" t="s">
        <v>969</v>
      </c>
      <c r="AE11" s="300">
        <v>4000</v>
      </c>
      <c r="AF11" s="293" t="s">
        <v>1046</v>
      </c>
      <c r="AG11" s="134"/>
      <c r="AH11" s="134"/>
      <c r="AI11" s="134"/>
    </row>
    <row r="12" spans="6:35" ht="12.75">
      <c r="F12" s="1" t="s">
        <v>267</v>
      </c>
      <c r="J12" t="s">
        <v>278</v>
      </c>
      <c r="K12" s="56">
        <f>+G19</f>
        <v>0.9935550800772465</v>
      </c>
      <c r="N12" t="s">
        <v>288</v>
      </c>
      <c r="O12" s="57">
        <f>+'Tabular Results'!E33</f>
        <v>7.991408378997946</v>
      </c>
      <c r="P12" t="s">
        <v>16</v>
      </c>
      <c r="V12" t="s">
        <v>316</v>
      </c>
      <c r="W12" s="190">
        <v>0.72</v>
      </c>
      <c r="Z12" t="s">
        <v>340</v>
      </c>
      <c r="AA12" s="57">
        <f>Pnetcost/(H*((gamma+0.75*(beta1*'Plot Data'!I2+beta2*'Plot Data'!I3+beta3*'Plot Data'!I4))*$C$30-(alpha/1000000-0*beta1*'Plot Data'!I5)*($C$31)+Psubsidy/AnnualPower-COM-Cstandby/H))</f>
        <v>-10.988744362271285</v>
      </c>
      <c r="AB12" s="57">
        <f>IF(i=0,"",IF(i*Pnetcost/(H*((gamma+0.75*(beta1*'Plot Data'!$I$2+beta2*'Plot Data'!$I$3+beta3*'Plot Data'!$I$4))*$C$30-(alpha/1000000-0*beta1*'Plot Data'!$I$5)*$C$31+Psubsidy/AnnualPower-COM-Cstandby/H))&lt;1,-LN(1-i*Pnetcost/(H*((gamma+0.75*(beta1*'Plot Data'!$I$2+beta2*'Plot Data'!$I$3+beta3*'Plot Data'!$I$4))*$C$30-(alpha/1000000-0*beta1*'Plot Data'!$I$5)*$C$31+Psubsidy/AnnualPower-COM-Cstandby/H)))/LN(1+i),"no payback"))</f>
        <v>-8.690924639153119</v>
      </c>
      <c r="AC12" t="s">
        <v>16</v>
      </c>
      <c r="AD12" s="293" t="s">
        <v>1021</v>
      </c>
      <c r="AE12" s="301"/>
      <c r="AF12" s="293"/>
      <c r="AG12" s="305"/>
      <c r="AH12" s="134"/>
      <c r="AI12" s="134"/>
    </row>
    <row r="13" spans="2:35" ht="12.75">
      <c r="B13" s="1" t="s">
        <v>229</v>
      </c>
      <c r="F13" t="s">
        <v>257</v>
      </c>
      <c r="G13" s="36">
        <f>+C9/8760</f>
        <v>3542.8571917808217</v>
      </c>
      <c r="H13" t="s">
        <v>0</v>
      </c>
      <c r="N13" t="str">
        <f>CONCATENATE("f. simple payback using ",TEXT(W11,"##0%")," of recovered heat")</f>
        <v>f. simple payback using 75% of recovered heat</v>
      </c>
      <c r="R13" s="1" t="s">
        <v>299</v>
      </c>
      <c r="V13" t="s">
        <v>317</v>
      </c>
      <c r="W13" s="189"/>
      <c r="X13" s="319" t="s">
        <v>846</v>
      </c>
      <c r="Z13" t="s">
        <v>336</v>
      </c>
      <c r="AA13" s="57">
        <f>Pnetcost/(H*((gamma+1*(beta1*'Plot Data'!I2+beta2*'Plot Data'!I3+beta3*'Plot Data'!I4))*$C$30-(alpha/1000000-0*beta1*'Plot Data'!I5)*($C$31)+Psubsidy/AnnualPower-COM-Cstandby/H))</f>
        <v>-17.180371262021396</v>
      </c>
      <c r="AB13" s="57">
        <f>IF(i=0,"",IF(i*Pnetcost/(H*((gamma+1*(beta1*'Plot Data'!$I$2+beta2*'Plot Data'!$I$3+beta3*'Plot Data'!$I$4))*$C$30-(alpha/1000000-0*beta1*'Plot Data'!$I$5)*$C$31+Psubsidy/AnnualPower-COM-Cstandby/H))&lt;1,-LN(1-i*Pnetcost/(H*((gamma+1*(beta1*'Plot Data'!$I$2+beta2*'Plot Data'!$I$3+beta3*'Plot Data'!$I$4))*$C$30-(alpha/1000000-0*beta1*'Plot Data'!$I$5)*$C$31+Psubsidy/AnnualPower-COM-Cstandby/H)))/LN(1+i),"no payback"))</f>
        <v>-12.158126791437581</v>
      </c>
      <c r="AC13" t="s">
        <v>16</v>
      </c>
      <c r="AD13" s="307" t="s">
        <v>975</v>
      </c>
      <c r="AE13" s="300">
        <v>2000</v>
      </c>
      <c r="AF13" s="301" t="s">
        <v>474</v>
      </c>
      <c r="AG13" s="134"/>
      <c r="AH13" s="134"/>
      <c r="AI13" s="134"/>
    </row>
    <row r="14" spans="2:35" ht="12.75">
      <c r="B14" t="s">
        <v>225</v>
      </c>
      <c r="C14" s="186">
        <v>1111178</v>
      </c>
      <c r="F14" t="s">
        <v>258</v>
      </c>
      <c r="G14" s="36">
        <f>MAX(C10,C11)</f>
        <v>7300</v>
      </c>
      <c r="H14" t="s">
        <v>0</v>
      </c>
      <c r="J14" s="134"/>
      <c r="K14" s="134"/>
      <c r="L14" s="134"/>
      <c r="N14" t="s">
        <v>287</v>
      </c>
      <c r="O14" s="57">
        <f>+'Tabular Results'!D33</f>
        <v>-10.988744362271293</v>
      </c>
      <c r="P14" t="s">
        <v>16</v>
      </c>
      <c r="R14" t="s">
        <v>300</v>
      </c>
      <c r="S14" s="189">
        <v>0.85</v>
      </c>
      <c r="T14" t="s">
        <v>41</v>
      </c>
      <c r="V14" t="s">
        <v>318</v>
      </c>
      <c r="W14" s="189"/>
      <c r="X14" s="319"/>
      <c r="Z14" t="s">
        <v>341</v>
      </c>
      <c r="AD14" s="307" t="s">
        <v>976</v>
      </c>
      <c r="AE14" s="300">
        <v>2000</v>
      </c>
      <c r="AF14" s="300" t="s">
        <v>474</v>
      </c>
      <c r="AG14" s="134"/>
      <c r="AH14" s="134"/>
      <c r="AI14" s="134"/>
    </row>
    <row r="15" spans="2:35" ht="12.75">
      <c r="B15" t="s">
        <v>226</v>
      </c>
      <c r="C15" s="187">
        <v>1461684</v>
      </c>
      <c r="D15" t="str">
        <f>IF(C17="X","MMBtu",IF(C18="X","therms",IF(C19="X","thousand cu ft"&lt;"unknown units")))</f>
        <v>therms</v>
      </c>
      <c r="F15" t="s">
        <v>259</v>
      </c>
      <c r="G15" s="112">
        <f>IF(G14&gt;0,G13/G14)</f>
        <v>0.4853229029836742</v>
      </c>
      <c r="J15" s="1" t="s">
        <v>894</v>
      </c>
      <c r="K15" s="134"/>
      <c r="L15" s="134"/>
      <c r="N15" t="s">
        <v>288</v>
      </c>
      <c r="O15" s="57">
        <f>+'Tabular Results'!F33</f>
        <v>10.829761104720196</v>
      </c>
      <c r="P15" t="s">
        <v>16</v>
      </c>
      <c r="R15" t="s">
        <v>301</v>
      </c>
      <c r="S15" s="189">
        <v>1.2</v>
      </c>
      <c r="V15" t="s">
        <v>319</v>
      </c>
      <c r="W15" s="193">
        <v>4.5</v>
      </c>
      <c r="X15" s="63" t="s">
        <v>3</v>
      </c>
      <c r="Z15" t="s">
        <v>342</v>
      </c>
      <c r="AA15" s="56"/>
      <c r="AD15" s="293" t="s">
        <v>1022</v>
      </c>
      <c r="AE15" s="300"/>
      <c r="AF15" s="300"/>
      <c r="AG15" s="134"/>
      <c r="AH15" s="134"/>
      <c r="AI15" s="134"/>
    </row>
    <row r="16" spans="2:35" ht="15.75">
      <c r="B16" t="s">
        <v>230</v>
      </c>
      <c r="J16" s="128" t="s">
        <v>895</v>
      </c>
      <c r="K16" s="137"/>
      <c r="L16" s="183"/>
      <c r="N16" t="s">
        <v>289</v>
      </c>
      <c r="O16" s="10">
        <f>MAX(0,(alpha/1000000*Cfuel-gamma*Ce+COM+Cstandby/H-(1-gamma)*Cexport-Psubsidy/(Qe*H))/((beta2*Eff2+beta3*Eff3)*Ce+beta1*Eff1*Cfuel))</f>
        <v>1.4436937391493505</v>
      </c>
      <c r="R16" t="s">
        <v>302</v>
      </c>
      <c r="S16" s="190">
        <v>1</v>
      </c>
      <c r="V16" t="s">
        <v>822</v>
      </c>
      <c r="W16" s="185" t="s">
        <v>825</v>
      </c>
      <c r="Z16" t="s">
        <v>343</v>
      </c>
      <c r="AA16" s="36">
        <v>0</v>
      </c>
      <c r="AD16" s="307" t="s">
        <v>1023</v>
      </c>
      <c r="AE16" s="300">
        <v>130</v>
      </c>
      <c r="AF16" s="293" t="s">
        <v>1025</v>
      </c>
      <c r="AG16" s="134"/>
      <c r="AH16" s="134"/>
      <c r="AI16" s="134"/>
    </row>
    <row r="17" spans="2:35" ht="15.75">
      <c r="B17" t="s">
        <v>231</v>
      </c>
      <c r="C17" s="185"/>
      <c r="F17" s="1" t="s">
        <v>266</v>
      </c>
      <c r="J17" s="273" t="s">
        <v>896</v>
      </c>
      <c r="K17" s="137">
        <f>+Qrecovered/eta*Cfuel/1000000</f>
        <v>0.05186436101417994</v>
      </c>
      <c r="L17" s="183" t="s">
        <v>67</v>
      </c>
      <c r="N17" t="s">
        <v>290</v>
      </c>
      <c r="O17" s="156">
        <f>(Pnetcost/(10*H)-Psubsidy/AnnualPower+COM+Cstandby/H-(1-gamma)*Cexport-(gamma+beta*beta1*'Plot Data'!I2+beta*beta2*'Plot Data'!I3+beta*beta3*'Plot Data'!I4)*Ce)/(beta*beta1*'Plot Data'!I5-alpha/1000000)</f>
        <v>4.925263041658809</v>
      </c>
      <c r="P17" s="63" t="s">
        <v>3</v>
      </c>
      <c r="Q17" s="63"/>
      <c r="R17" t="s">
        <v>303</v>
      </c>
      <c r="S17" s="186">
        <v>405</v>
      </c>
      <c r="T17" s="63" t="s">
        <v>66</v>
      </c>
      <c r="V17" s="1" t="s">
        <v>320</v>
      </c>
      <c r="Z17" t="s">
        <v>344</v>
      </c>
      <c r="AA17" s="36">
        <v>2500</v>
      </c>
      <c r="AD17" s="307" t="s">
        <v>1024</v>
      </c>
      <c r="AE17" s="295">
        <v>92</v>
      </c>
      <c r="AF17" s="293" t="s">
        <v>1025</v>
      </c>
      <c r="AG17" s="134"/>
      <c r="AH17" s="134"/>
      <c r="AI17" s="134"/>
    </row>
    <row r="18" spans="2:35" ht="12.75">
      <c r="B18" t="s">
        <v>232</v>
      </c>
      <c r="C18" s="185" t="s">
        <v>54</v>
      </c>
      <c r="F18" t="s">
        <v>260</v>
      </c>
      <c r="G18" s="57">
        <f>+C37/8760*eta</f>
        <v>12.013841095890411</v>
      </c>
      <c r="H18" t="s">
        <v>77</v>
      </c>
      <c r="J18" s="134"/>
      <c r="K18" s="156">
        <f>+Cfuel/eta</f>
        <v>10.558388665250341</v>
      </c>
      <c r="L18" s="183" t="s">
        <v>3</v>
      </c>
      <c r="N18" t="s">
        <v>291</v>
      </c>
      <c r="O18" s="184">
        <f>(Pnetcost/(10*H)-Psubsidy/AnnualPower+COM+Cstandby/H-(1-gamma)*Cexport-(beta*beta1*'Plot Data'!I5-alpha/1000000)*Cfuel)/(gamma+beta*beta1*'Plot Data'!I2+beta*beta2*'Plot Data'!I3+beta*beta3*'Plot Data'!I4)</f>
        <v>0.08197067557407652</v>
      </c>
      <c r="P18" s="63" t="s">
        <v>30</v>
      </c>
      <c r="Q18" s="63"/>
      <c r="R18" t="s">
        <v>304</v>
      </c>
      <c r="S18" s="186">
        <v>1750</v>
      </c>
      <c r="T18" s="63" t="s">
        <v>29</v>
      </c>
      <c r="V18" t="s">
        <v>321</v>
      </c>
      <c r="W18" s="196">
        <v>11378</v>
      </c>
      <c r="X18" t="s">
        <v>28</v>
      </c>
      <c r="Z18" t="s">
        <v>346</v>
      </c>
      <c r="AA18" s="36">
        <f>IF(Ce&lt;AA25,AA15,IF(Ce&gt;AB25,AA17,AA16+(Ce-AA25)/(AB25-AA25)*(AA17-AA16)))</f>
        <v>604.8519580637986</v>
      </c>
      <c r="AD18" s="293" t="s">
        <v>1026</v>
      </c>
      <c r="AE18" s="295"/>
      <c r="AF18" s="295"/>
      <c r="AG18" s="134"/>
      <c r="AH18" s="134"/>
      <c r="AI18" s="134"/>
    </row>
    <row r="19" spans="2:35" ht="12.75">
      <c r="B19" t="s">
        <v>233</v>
      </c>
      <c r="C19" s="185"/>
      <c r="F19" t="s">
        <v>261</v>
      </c>
      <c r="G19" s="56">
        <f>1000000*G18/(3413*G13)</f>
        <v>0.9935550800772465</v>
      </c>
      <c r="J19" s="273" t="s">
        <v>897</v>
      </c>
      <c r="K19" s="137">
        <f>+Qrecovered/(3413*eta)*Ce</f>
        <v>0.12090706894210745</v>
      </c>
      <c r="L19" s="183" t="s">
        <v>67</v>
      </c>
      <c r="N19" t="s">
        <v>380</v>
      </c>
      <c r="O19" s="57">
        <f>IF(i=0,"",IF(i*G39/(H*O9)&lt;1,-LN(1-i*G39/(H*O9))/LN(1+i),"no payback"))</f>
        <v>-12.158126791437589</v>
      </c>
      <c r="P19" t="s">
        <v>16</v>
      </c>
      <c r="R19" t="s">
        <v>305</v>
      </c>
      <c r="S19" s="189">
        <v>5</v>
      </c>
      <c r="T19" t="s">
        <v>16</v>
      </c>
      <c r="V19" t="s">
        <v>322</v>
      </c>
      <c r="Z19" t="s">
        <v>345</v>
      </c>
      <c r="AD19" s="293" t="s">
        <v>1027</v>
      </c>
      <c r="AE19" s="295">
        <v>190</v>
      </c>
      <c r="AF19" s="293" t="s">
        <v>465</v>
      </c>
      <c r="AG19" s="134"/>
      <c r="AH19" s="134"/>
      <c r="AI19" s="134"/>
    </row>
    <row r="20" spans="10:35" ht="12.75">
      <c r="J20" s="134"/>
      <c r="K20" s="156">
        <f>+Ce/(3413*eta)*1000000</f>
        <v>24.613892879504778</v>
      </c>
      <c r="L20" s="183" t="s">
        <v>3</v>
      </c>
      <c r="N20" s="1" t="s">
        <v>362</v>
      </c>
      <c r="R20" t="s">
        <v>306</v>
      </c>
      <c r="S20" s="189">
        <v>0.96</v>
      </c>
      <c r="V20" t="s">
        <v>323</v>
      </c>
      <c r="W20" s="198">
        <v>1427</v>
      </c>
      <c r="X20" s="63" t="s">
        <v>29</v>
      </c>
      <c r="Z20" t="s">
        <v>343</v>
      </c>
      <c r="AA20" s="114">
        <v>0</v>
      </c>
      <c r="AD20" s="293" t="s">
        <v>1028</v>
      </c>
      <c r="AE20" s="295">
        <v>80</v>
      </c>
      <c r="AF20" s="293" t="s">
        <v>465</v>
      </c>
      <c r="AG20" s="134"/>
      <c r="AH20" s="134"/>
      <c r="AI20" s="134"/>
    </row>
    <row r="21" spans="2:35" ht="12.75">
      <c r="B21" s="1" t="s">
        <v>234</v>
      </c>
      <c r="F21" s="1" t="s">
        <v>265</v>
      </c>
      <c r="J21" s="128" t="s">
        <v>898</v>
      </c>
      <c r="K21" s="137"/>
      <c r="L21" s="183"/>
      <c r="N21" t="str">
        <f>CONCATENATE("Simple payback using ",TEXT(W11,"##0%")," of recovered heat")</f>
        <v>Simple payback using 75% of recovered heat</v>
      </c>
      <c r="R21" t="s">
        <v>307</v>
      </c>
      <c r="S21" s="7">
        <f>+S18/(8760*S19*S20)</f>
        <v>0.04161910197869102</v>
      </c>
      <c r="T21" s="63" t="s">
        <v>30</v>
      </c>
      <c r="V21" t="s">
        <v>608</v>
      </c>
      <c r="W21" s="2">
        <f>G32/Qe</f>
        <v>194.71153846153845</v>
      </c>
      <c r="X21" s="63" t="s">
        <v>29</v>
      </c>
      <c r="Z21" t="s">
        <v>344</v>
      </c>
      <c r="AA21" s="36">
        <f>100*AB26</f>
        <v>2000</v>
      </c>
      <c r="AD21" s="293" t="s">
        <v>1029</v>
      </c>
      <c r="AE21" s="301">
        <v>0.325</v>
      </c>
      <c r="AF21" s="295"/>
      <c r="AG21" s="134"/>
      <c r="AH21" s="134"/>
      <c r="AI21" s="134"/>
    </row>
    <row r="22" spans="2:35" ht="12.75">
      <c r="B22" t="s">
        <v>235</v>
      </c>
      <c r="F22" t="s">
        <v>262</v>
      </c>
      <c r="G22" s="36">
        <f>NoGenerators*G7</f>
        <v>5200</v>
      </c>
      <c r="H22" t="s">
        <v>0</v>
      </c>
      <c r="J22" s="273" t="s">
        <v>899</v>
      </c>
      <c r="K22" s="137">
        <f>0.7*Qrecovered/12000*ChillerEfficiency*Ce</f>
        <v>0.014731812998889036</v>
      </c>
      <c r="L22" s="183" t="s">
        <v>67</v>
      </c>
      <c r="V22" t="s">
        <v>609</v>
      </c>
      <c r="W22" s="2">
        <f>AE28*AE25/Qe</f>
        <v>0</v>
      </c>
      <c r="X22" s="63" t="s">
        <v>29</v>
      </c>
      <c r="AA22" s="36"/>
      <c r="AB22" s="4"/>
      <c r="AC22" s="36"/>
      <c r="AD22" s="293"/>
      <c r="AE22" s="293"/>
      <c r="AF22" s="295"/>
      <c r="AG22" s="134"/>
      <c r="AH22" s="134"/>
      <c r="AI22" s="134"/>
    </row>
    <row r="23" spans="2:35" ht="12.75">
      <c r="B23" t="s">
        <v>236</v>
      </c>
      <c r="C23" s="2"/>
      <c r="F23" t="s">
        <v>263</v>
      </c>
      <c r="G23" s="108">
        <f>+NoGenerators*W31</f>
        <v>25.5431662751109</v>
      </c>
      <c r="H23" t="s">
        <v>40</v>
      </c>
      <c r="J23" s="134"/>
      <c r="K23" s="156">
        <f>0.7*1000000/12000*ChillerEfficiency*Ce</f>
        <v>2.9990576253996686</v>
      </c>
      <c r="L23" s="183" t="s">
        <v>3</v>
      </c>
      <c r="R23" t="s">
        <v>417</v>
      </c>
      <c r="S23" s="36">
        <f>+gCOP*W31*1000000/12000</f>
        <v>2554.31662751109</v>
      </c>
      <c r="T23" t="s">
        <v>599</v>
      </c>
      <c r="V23" t="s">
        <v>610</v>
      </c>
      <c r="W23" s="186">
        <v>0</v>
      </c>
      <c r="X23" s="63" t="s">
        <v>29</v>
      </c>
      <c r="AD23" s="288" t="s">
        <v>1030</v>
      </c>
      <c r="AE23" s="306"/>
      <c r="AF23" s="301"/>
      <c r="AG23" s="134"/>
      <c r="AH23" s="134"/>
      <c r="AI23" s="183"/>
    </row>
    <row r="24" spans="2:35" ht="12.75">
      <c r="B24" t="s">
        <v>237</v>
      </c>
      <c r="C24" s="36"/>
      <c r="D24" t="s">
        <v>238</v>
      </c>
      <c r="F24" t="s">
        <v>908</v>
      </c>
      <c r="G24" s="36">
        <f>+S24</f>
        <v>2500</v>
      </c>
      <c r="H24" t="s">
        <v>57</v>
      </c>
      <c r="J24" s="273" t="s">
        <v>900</v>
      </c>
      <c r="K24" s="137">
        <f>1.2*Qrecovered/12000*ChillerEfficiency*Ce</f>
        <v>0.02525453656952406</v>
      </c>
      <c r="L24" s="183" t="s">
        <v>67</v>
      </c>
      <c r="O24" s="7"/>
      <c r="P24" s="63"/>
      <c r="R24" t="s">
        <v>418</v>
      </c>
      <c r="S24" s="187">
        <v>2500</v>
      </c>
      <c r="T24" t="s">
        <v>57</v>
      </c>
      <c r="V24" t="s">
        <v>611</v>
      </c>
      <c r="W24" s="2">
        <f>SUM(W20:W23)</f>
        <v>1621.7115384615386</v>
      </c>
      <c r="Z24" s="1" t="s">
        <v>347</v>
      </c>
      <c r="AD24" s="293" t="s">
        <v>1031</v>
      </c>
      <c r="AE24" s="291"/>
      <c r="AF24" s="289"/>
      <c r="AI24" s="63"/>
    </row>
    <row r="25" spans="2:35" ht="12.75">
      <c r="B25" t="s">
        <v>239</v>
      </c>
      <c r="J25" s="134"/>
      <c r="K25" s="156">
        <f>1.2*1000000/12000*ChillerEfficiency*Ce</f>
        <v>5.141241643542289</v>
      </c>
      <c r="L25" s="183" t="s">
        <v>3</v>
      </c>
      <c r="O25" s="7"/>
      <c r="P25" s="63"/>
      <c r="V25" t="s">
        <v>612</v>
      </c>
      <c r="W25" s="189">
        <v>1</v>
      </c>
      <c r="Z25" t="s">
        <v>348</v>
      </c>
      <c r="AA25" s="193">
        <v>0</v>
      </c>
      <c r="AB25" s="193">
        <v>0.25</v>
      </c>
      <c r="AC25" s="63" t="s">
        <v>30</v>
      </c>
      <c r="AD25" s="307" t="s">
        <v>975</v>
      </c>
      <c r="AE25" s="36">
        <v>0</v>
      </c>
      <c r="AF25" t="s">
        <v>474</v>
      </c>
      <c r="AI25" s="63"/>
    </row>
    <row r="26" spans="2:42" ht="12.75">
      <c r="B26" t="s">
        <v>236</v>
      </c>
      <c r="C26" s="2"/>
      <c r="F26" s="1" t="s">
        <v>264</v>
      </c>
      <c r="J26" s="128" t="s">
        <v>901</v>
      </c>
      <c r="K26" s="137">
        <f>+AI35</f>
        <v>0</v>
      </c>
      <c r="L26" s="183" t="s">
        <v>67</v>
      </c>
      <c r="V26" t="s">
        <v>613</v>
      </c>
      <c r="W26" s="2">
        <f>W24*kappa</f>
        <v>1621.7115384615386</v>
      </c>
      <c r="X26" s="63" t="s">
        <v>29</v>
      </c>
      <c r="Z26" t="s">
        <v>349</v>
      </c>
      <c r="AA26" s="193">
        <v>0</v>
      </c>
      <c r="AB26" s="193">
        <v>20</v>
      </c>
      <c r="AC26" s="63" t="s">
        <v>3</v>
      </c>
      <c r="AD26" s="307" t="s">
        <v>976</v>
      </c>
      <c r="AE26" s="36">
        <v>0</v>
      </c>
      <c r="AF26" t="s">
        <v>474</v>
      </c>
      <c r="AI26" s="314" t="str">
        <f>CONCATENATE("At the current average costs of fuel and O&amp;M, the cost of generation is ",TEXT(alpha/1000000*Cfuel+COM,"$0.000")," / kWh. Part of the cost of generation can be offset by recovery of heat  for space heating or hot water (",TEXT(K17,"$0.000")," / kWh for fossil fuel-fired heating or ",TEXT(K19,"$0.000")," / kWh for electric resistance heat). Recovered heat used to produce chilled water can offset generation costs (",TEXT(K22,"$0.000")," / kWh and ",TEXT(K24,"$0.000")," / kWh for single- and double-effect chillers, respectively). Recovered heat used to regenerate a desiccant dehumidifier is worth ",TEXT(AE46,"$0.000")," / kWh.")</f>
        <v>At the current average costs of fuel and O&amp;M, the cost of generation is $0.094 / kWh. Part of the cost of generation can be offset by recovery of heat  for space heating or hot water ($0.052 / kWh for fossil fuel-fired heating or $0.121 / kWh for electric resistance heat). Recovered heat used to produce chilled water can offset generation costs ($0.015 / kWh and $0.025 / kWh for single- and double-effect chillers, respectively). Recovered heat used to regenerate a desiccant dehumidifier is worth $0.012 / kWh.</v>
      </c>
      <c r="AJ26" s="314"/>
      <c r="AK26" s="314"/>
      <c r="AL26" s="314"/>
      <c r="AM26" s="314"/>
      <c r="AN26" s="314"/>
      <c r="AO26" s="314"/>
      <c r="AP26" s="314"/>
    </row>
    <row r="27" spans="2:42" ht="12.75">
      <c r="B27" t="s">
        <v>237</v>
      </c>
      <c r="C27" s="36"/>
      <c r="D27" t="s">
        <v>240</v>
      </c>
      <c r="F27" t="s">
        <v>268</v>
      </c>
      <c r="G27" s="186">
        <v>0</v>
      </c>
      <c r="J27" s="134"/>
      <c r="K27" s="156">
        <f>+K26/Qrecovered*1000000</f>
        <v>0</v>
      </c>
      <c r="L27" s="183" t="s">
        <v>3</v>
      </c>
      <c r="O27" s="236"/>
      <c r="P27" s="135"/>
      <c r="Q27" s="6"/>
      <c r="R27" s="132" t="s">
        <v>827</v>
      </c>
      <c r="V27" t="s">
        <v>614</v>
      </c>
      <c r="W27" s="2">
        <f>+Pbuydown/Qe</f>
        <v>0</v>
      </c>
      <c r="X27" s="63" t="s">
        <v>7</v>
      </c>
      <c r="AD27" s="293" t="s">
        <v>1032</v>
      </c>
      <c r="AE27" s="108">
        <v>6</v>
      </c>
      <c r="AF27" t="s">
        <v>0</v>
      </c>
      <c r="AH27" s="36"/>
      <c r="AI27" s="314"/>
      <c r="AJ27" s="314"/>
      <c r="AK27" s="314"/>
      <c r="AL27" s="314"/>
      <c r="AM27" s="314"/>
      <c r="AN27" s="314"/>
      <c r="AO27" s="314"/>
      <c r="AP27" s="314"/>
    </row>
    <row r="28" spans="6:42" ht="12.75">
      <c r="F28" t="s">
        <v>269</v>
      </c>
      <c r="G28" s="186">
        <v>0</v>
      </c>
      <c r="H28" s="63" t="s">
        <v>24</v>
      </c>
      <c r="J28" s="134"/>
      <c r="K28" s="37"/>
      <c r="L28" s="134"/>
      <c r="N28" s="4"/>
      <c r="O28" s="133"/>
      <c r="P28" s="133"/>
      <c r="Q28" s="133"/>
      <c r="R28" s="229" t="s">
        <v>828</v>
      </c>
      <c r="S28" s="36">
        <f>+S24</f>
        <v>2500</v>
      </c>
      <c r="T28" t="s">
        <v>57</v>
      </c>
      <c r="V28" t="s">
        <v>615</v>
      </c>
      <c r="W28" s="2">
        <f>+W26-W27</f>
        <v>1621.7115384615386</v>
      </c>
      <c r="X28" s="63" t="s">
        <v>7</v>
      </c>
      <c r="Z28" s="1" t="s">
        <v>367</v>
      </c>
      <c r="AD28" t="s">
        <v>1033</v>
      </c>
      <c r="AE28" s="4">
        <v>6.5</v>
      </c>
      <c r="AF28" t="s">
        <v>1035</v>
      </c>
      <c r="AH28" s="36"/>
      <c r="AI28" s="314"/>
      <c r="AJ28" s="314"/>
      <c r="AK28" s="314"/>
      <c r="AL28" s="314"/>
      <c r="AM28" s="314"/>
      <c r="AN28" s="314"/>
      <c r="AO28" s="314"/>
      <c r="AP28" s="314"/>
    </row>
    <row r="29" spans="2:42" ht="12.75">
      <c r="B29" s="1" t="s">
        <v>241</v>
      </c>
      <c r="J29" s="1" t="s">
        <v>902</v>
      </c>
      <c r="K29" s="37"/>
      <c r="L29" s="134"/>
      <c r="O29" s="7"/>
      <c r="P29" s="7"/>
      <c r="Q29" s="7"/>
      <c r="R29" s="230" t="s">
        <v>829</v>
      </c>
      <c r="S29" s="231">
        <f>+S17</f>
        <v>405</v>
      </c>
      <c r="T29" s="63" t="s">
        <v>66</v>
      </c>
      <c r="V29" t="s">
        <v>324</v>
      </c>
      <c r="W29" s="199">
        <v>0.0076</v>
      </c>
      <c r="X29" s="63" t="s">
        <v>30</v>
      </c>
      <c r="Z29" t="s">
        <v>242</v>
      </c>
      <c r="AA29" s="3">
        <v>0.001</v>
      </c>
      <c r="AB29" s="63" t="s">
        <v>30</v>
      </c>
      <c r="AD29" t="s">
        <v>1034</v>
      </c>
      <c r="AE29" s="3">
        <v>0.0075</v>
      </c>
      <c r="AF29" t="s">
        <v>1036</v>
      </c>
      <c r="AH29" s="7"/>
      <c r="AI29" s="314"/>
      <c r="AJ29" s="314"/>
      <c r="AK29" s="314"/>
      <c r="AL29" s="314"/>
      <c r="AM29" s="314"/>
      <c r="AN29" s="314"/>
      <c r="AO29" s="314"/>
      <c r="AP29" s="314"/>
    </row>
    <row r="30" spans="2:42" ht="12.75">
      <c r="B30" t="s">
        <v>242</v>
      </c>
      <c r="C30" s="3">
        <f>IF(C9&gt;0,+C8/C9,"")</f>
        <v>0.060485195806379864</v>
      </c>
      <c r="D30" s="125" t="s">
        <v>30</v>
      </c>
      <c r="E30" s="3"/>
      <c r="F30" s="1" t="s">
        <v>359</v>
      </c>
      <c r="I30" s="274">
        <v>1</v>
      </c>
      <c r="J30">
        <f>IF(AND(ISNUMBER(eta),ISNUMBER(Cfuel),beta1&lt;&gt;0),CONCATENATE("Recovered energy used for heating purposes is worth approximately ",TEXT('Tabular Results'!C27/beta1,"$#0.000")," / kWh generated."),"")</f>
      </c>
      <c r="K30" s="37"/>
      <c r="L30" s="134"/>
      <c r="O30" s="7"/>
      <c r="P30" s="7"/>
      <c r="Q30" s="7"/>
      <c r="R30" s="230" t="s">
        <v>830</v>
      </c>
      <c r="S30" s="5">
        <f>+beta2</f>
        <v>1</v>
      </c>
      <c r="V30" t="s">
        <v>325</v>
      </c>
      <c r="W30" s="197">
        <v>2</v>
      </c>
      <c r="X30" t="s">
        <v>35</v>
      </c>
      <c r="Z30" t="s">
        <v>368</v>
      </c>
      <c r="AA30" s="4">
        <v>5</v>
      </c>
      <c r="AB30" s="63" t="s">
        <v>3</v>
      </c>
      <c r="AI30" s="319"/>
      <c r="AJ30" s="319"/>
      <c r="AK30" s="319"/>
      <c r="AL30" s="319"/>
      <c r="AM30" s="319"/>
      <c r="AN30" s="319"/>
      <c r="AO30" s="319"/>
      <c r="AP30" s="319"/>
    </row>
    <row r="31" spans="2:42" ht="12.75">
      <c r="B31" t="s">
        <v>243</v>
      </c>
      <c r="C31" s="4">
        <f>IF(C37&gt;0,(C14+C23+C26)/C37,"")</f>
        <v>7.602039838980245</v>
      </c>
      <c r="D31" s="126" t="s">
        <v>3</v>
      </c>
      <c r="E31" s="4"/>
      <c r="F31" t="s">
        <v>360</v>
      </c>
      <c r="G31" s="2">
        <f>+Qe*W20</f>
        <v>7420400</v>
      </c>
      <c r="I31" s="274">
        <v>2</v>
      </c>
      <c r="J31" s="163" t="str">
        <f>IF(AND(ISNUMBER(Ce),ISNUMBER(ChillerEfficiency)),CONCATENATE("Recovered energy used for absorption chillers is worth approximately ",TEXT(1.2*Qrecovered/12000*ChillerEfficiency*Ce,"$#0.000")," and ",TEXT(0.7*Qrecovered/12000*ChillerEfficiency*Ce,"$#0.000")," / kWh generated for double and single-effect chillers, respectively."),"")</f>
        <v>Recovered energy used for absorption chillers is worth approximately $0.025 and $0.015 / kWh generated for double and single-effect chillers, respectively.</v>
      </c>
      <c r="K31" s="134"/>
      <c r="L31" s="134"/>
      <c r="O31" s="7"/>
      <c r="P31" s="7"/>
      <c r="Q31" s="7"/>
      <c r="R31" s="230" t="s">
        <v>831</v>
      </c>
      <c r="S31" s="56">
        <f>+gCOP</f>
        <v>1.2</v>
      </c>
      <c r="V31" t="s">
        <v>326</v>
      </c>
      <c r="W31" s="200">
        <v>25.5431662751109</v>
      </c>
      <c r="X31" t="s">
        <v>416</v>
      </c>
      <c r="AD31" s="1" t="s">
        <v>485</v>
      </c>
      <c r="AI31" s="319"/>
      <c r="AJ31" s="319"/>
      <c r="AK31" s="319"/>
      <c r="AL31" s="319"/>
      <c r="AM31" s="319"/>
      <c r="AN31" s="319"/>
      <c r="AO31" s="319"/>
      <c r="AP31" s="319"/>
    </row>
    <row r="32" spans="6:33" ht="12.75">
      <c r="F32" t="s">
        <v>361</v>
      </c>
      <c r="G32" s="2">
        <f>+S24*S17</f>
        <v>1012500</v>
      </c>
      <c r="I32" s="274">
        <v>3</v>
      </c>
      <c r="J32">
        <f>IF(AND(ISNUMBER(eta),ISNUMBER(Ce),beta3&lt;&gt;0),CONCATENATE("Recovered energy used to regenerate a desiccant wheel is worth approximately ",TEXT('Tabular Results'!C29/beta3,"$#0.000")," / kWh generated."),"")</f>
      </c>
      <c r="K32" s="134"/>
      <c r="L32" s="134"/>
      <c r="O32" s="7"/>
      <c r="P32" s="7"/>
      <c r="Q32" s="7"/>
      <c r="R32" s="230" t="s">
        <v>832</v>
      </c>
      <c r="S32" s="56">
        <f>+ChillerEfficiency</f>
        <v>0.85</v>
      </c>
      <c r="T32" t="s">
        <v>41</v>
      </c>
      <c r="Z32" s="1" t="s">
        <v>350</v>
      </c>
      <c r="AD32" t="s">
        <v>486</v>
      </c>
      <c r="AE32" s="195">
        <f>+beta</f>
        <v>1</v>
      </c>
      <c r="AF32" s="7"/>
      <c r="AG32" s="2"/>
    </row>
    <row r="33" spans="2:35" ht="12.75">
      <c r="B33" s="1" t="s">
        <v>244</v>
      </c>
      <c r="F33" t="s">
        <v>600</v>
      </c>
      <c r="G33" s="2">
        <f>+W22*Qe</f>
        <v>0</v>
      </c>
      <c r="O33" s="7"/>
      <c r="P33" s="7"/>
      <c r="Q33" s="7"/>
      <c r="R33" s="230" t="s">
        <v>833</v>
      </c>
      <c r="S33" t="b">
        <f>IF(S6="X",TRUE,IF(AND(ISNUMBER(S32),ISNUMBER(S31)),AND(S28&gt;0,S29&gt;0,S30&gt;0,S31&gt;0,S32&gt;0),FALSE))</f>
        <v>1</v>
      </c>
      <c r="V33" s="1" t="s">
        <v>244</v>
      </c>
      <c r="Z33" s="228" t="s">
        <v>351</v>
      </c>
      <c r="AA33" s="228"/>
      <c r="AB33" s="319" t="s">
        <v>835</v>
      </c>
      <c r="AD33" t="s">
        <v>487</v>
      </c>
      <c r="AE33" s="190">
        <v>0</v>
      </c>
      <c r="AF33" s="7"/>
      <c r="AI33" s="108"/>
    </row>
    <row r="34" spans="2:35" ht="12.75">
      <c r="B34" t="s">
        <v>76</v>
      </c>
      <c r="C34" s="36">
        <f>IF(C17="X",C15,IF(C18="X",C15*C40,IF(C19="X",C15*C41,"error")))</f>
        <v>146168.4</v>
      </c>
      <c r="D34" s="63" t="s">
        <v>3</v>
      </c>
      <c r="F34" t="s">
        <v>602</v>
      </c>
      <c r="G34" s="2">
        <f>G31+G32+G33</f>
        <v>8432900</v>
      </c>
      <c r="O34" s="7"/>
      <c r="P34" s="7"/>
      <c r="Q34" s="7"/>
      <c r="R34" s="230"/>
      <c r="V34" t="s">
        <v>327</v>
      </c>
      <c r="W34" s="36">
        <f>8760-W30*168</f>
        <v>8424</v>
      </c>
      <c r="X34" t="s">
        <v>204</v>
      </c>
      <c r="Z34" s="228" t="s">
        <v>352</v>
      </c>
      <c r="AA34" s="225" t="s">
        <v>54</v>
      </c>
      <c r="AB34" s="319"/>
      <c r="AD34" t="s">
        <v>488</v>
      </c>
      <c r="AE34" s="195">
        <f>+beta2</f>
        <v>1</v>
      </c>
      <c r="AF34" s="7"/>
      <c r="AI34" s="108"/>
    </row>
    <row r="35" spans="2:36" ht="12.75">
      <c r="B35" t="s">
        <v>245</v>
      </c>
      <c r="C35" s="36">
        <f>+C24*C42</f>
        <v>0</v>
      </c>
      <c r="D35" s="63" t="s">
        <v>3</v>
      </c>
      <c r="F35" t="s">
        <v>601</v>
      </c>
      <c r="G35" s="56">
        <f>+W25</f>
        <v>1</v>
      </c>
      <c r="K35" s="36"/>
      <c r="O35" s="7"/>
      <c r="P35" s="7"/>
      <c r="Q35" s="7"/>
      <c r="R35" s="230"/>
      <c r="V35" t="s">
        <v>328</v>
      </c>
      <c r="W35" s="36">
        <f>+H*Qe</f>
        <v>43804800</v>
      </c>
      <c r="X35" t="s">
        <v>1</v>
      </c>
      <c r="Z35" s="228" t="s">
        <v>353</v>
      </c>
      <c r="AA35" s="225"/>
      <c r="AB35" s="319"/>
      <c r="AD35" t="s">
        <v>489</v>
      </c>
      <c r="AE35" s="190">
        <v>0</v>
      </c>
      <c r="AF35" s="7"/>
      <c r="AI35" s="3"/>
      <c r="AJ35" s="63"/>
    </row>
    <row r="36" spans="2:31" ht="12.75">
      <c r="B36" t="s">
        <v>246</v>
      </c>
      <c r="C36" s="36">
        <f>+C27*C43</f>
        <v>0</v>
      </c>
      <c r="D36" s="63" t="s">
        <v>3</v>
      </c>
      <c r="F36" s="134" t="s">
        <v>603</v>
      </c>
      <c r="G36" s="2">
        <f>+G35*G34</f>
        <v>8432900</v>
      </c>
      <c r="K36" s="7"/>
      <c r="L36" s="63"/>
      <c r="O36" s="7"/>
      <c r="P36" s="7"/>
      <c r="Q36" s="7"/>
      <c r="R36" s="230"/>
      <c r="V36" t="s">
        <v>329</v>
      </c>
      <c r="W36" s="36">
        <f>+W35*alpha/1000000</f>
        <v>498411.0144</v>
      </c>
      <c r="X36" t="s">
        <v>77</v>
      </c>
      <c r="Z36" s="228" t="s">
        <v>354</v>
      </c>
      <c r="AA36" s="225"/>
      <c r="AB36" s="319"/>
      <c r="AD36" t="s">
        <v>607</v>
      </c>
      <c r="AE36" s="5">
        <f>+beta3+AE34+beta1</f>
        <v>1</v>
      </c>
    </row>
    <row r="37" spans="2:35" ht="12.75">
      <c r="B37" t="s">
        <v>247</v>
      </c>
      <c r="C37" s="36">
        <f>SUM(C34:C36)</f>
        <v>146168.4</v>
      </c>
      <c r="D37" s="63" t="s">
        <v>3</v>
      </c>
      <c r="F37" t="s">
        <v>604</v>
      </c>
      <c r="G37" s="2">
        <f>+G27</f>
        <v>0</v>
      </c>
      <c r="K37" s="163"/>
      <c r="L37" s="163"/>
      <c r="M37" s="163"/>
      <c r="O37" s="7"/>
      <c r="P37" s="7"/>
      <c r="Q37" s="7"/>
      <c r="R37" s="7"/>
      <c r="V37" t="s">
        <v>1069</v>
      </c>
      <c r="W37">
        <f>beta*beta1*Qrecovered*AnnualPower/1000000</f>
        <v>0</v>
      </c>
      <c r="X37" t="s">
        <v>1072</v>
      </c>
      <c r="Z37" s="228" t="s">
        <v>355</v>
      </c>
      <c r="AA37" s="225"/>
      <c r="AB37" s="319"/>
      <c r="AD37" s="134"/>
      <c r="AI37" s="114"/>
    </row>
    <row r="38" spans="6:35" ht="12.75">
      <c r="F38" t="s">
        <v>605</v>
      </c>
      <c r="G38" s="2">
        <f>+G36-G37</f>
        <v>8432900</v>
      </c>
      <c r="J38" s="1" t="s">
        <v>279</v>
      </c>
      <c r="K38" s="163"/>
      <c r="L38" s="163"/>
      <c r="M38" s="163"/>
      <c r="O38" s="108"/>
      <c r="P38" s="108"/>
      <c r="Q38" s="108"/>
      <c r="R38" s="108"/>
      <c r="V38" t="s">
        <v>1070</v>
      </c>
      <c r="W38" s="36">
        <f>beta*beta2*gCOP*(AnnualPower*Qrecovered)/12000</f>
        <v>21517563.270153422</v>
      </c>
      <c r="X38" t="s">
        <v>1071</v>
      </c>
      <c r="Z38" s="228" t="s">
        <v>356</v>
      </c>
      <c r="AA38" s="225"/>
      <c r="AB38" s="319"/>
      <c r="AD38" s="1" t="s">
        <v>479</v>
      </c>
      <c r="AI38" s="8"/>
    </row>
    <row r="39" spans="2:35" ht="14.25">
      <c r="B39" s="1" t="s">
        <v>248</v>
      </c>
      <c r="F39" t="s">
        <v>606</v>
      </c>
      <c r="G39" s="2">
        <f>+G38/Qe</f>
        <v>1621.7115384615386</v>
      </c>
      <c r="H39" s="63" t="s">
        <v>29</v>
      </c>
      <c r="I39" s="274">
        <v>1</v>
      </c>
      <c r="J39" t="str">
        <f>IF(AND(ISNUMBER(eta),ISNUMBER(Cfuel)),CONCATENATE("Recovered energy used for heating purposes is worth approximately ",TEXT(K18,"$#0.00")," / MMBtu when replacing fossil fuel-fired heating and ",TEXT(K20,"$#0.00")," / MMBtu when replace electric heat or hot water (",TEXT(K17,"$0.000")," and ",TEXT(K19,"$0.000"),"/ kWh generated, respectively)."),"")</f>
        <v>Recovered energy used for heating purposes is worth approximately $10.56 / MMBtu when replacing fossil fuel-fired heating and $24.61 / MMBtu when replace electric heat or hot water ($0.052 and $0.121/ kWh generated, respectively).</v>
      </c>
      <c r="K39" s="163"/>
      <c r="L39" s="163"/>
      <c r="M39" s="163"/>
      <c r="V39" s="1" t="s">
        <v>670</v>
      </c>
      <c r="Z39" t="s">
        <v>357</v>
      </c>
      <c r="AD39" t="s">
        <v>477</v>
      </c>
      <c r="AE39" s="113">
        <v>0.072</v>
      </c>
      <c r="AF39" t="s">
        <v>467</v>
      </c>
      <c r="AI39" s="56"/>
    </row>
    <row r="40" spans="2:32" ht="12.75">
      <c r="B40" t="s">
        <v>249</v>
      </c>
      <c r="C40" s="108">
        <f>100000/1000000</f>
        <v>0.1</v>
      </c>
      <c r="D40" t="s">
        <v>77</v>
      </c>
      <c r="I40" s="274">
        <v>2</v>
      </c>
      <c r="J40" t="str">
        <f>IF(AND(ISNUMBER(Ce),ISNUMBER(ChillerEfficiency)),CONCATENATE("Recovered energy used for absorption chillers is worth approximately ",TEXT(K25,"$#0.00")," and ",TEXT(K23,"$#0.00")," / MMBtu for double and single-effect chillers, respectively (",TEXT(K24,"$#0.000")," and ",TEXT(K22,"$0.000")," / kWh generated, respectively)."),"")</f>
        <v>Recovered energy used for absorption chillers is worth approximately $5.14 and $3.00 / MMBtu for double and single-effect chillers, respectively ($0.025 and $0.015 / kWh generated, respectively).</v>
      </c>
      <c r="V40" s="1" t="s">
        <v>669</v>
      </c>
      <c r="X40" s="63"/>
      <c r="Z40" t="s">
        <v>342</v>
      </c>
      <c r="AA40" s="56"/>
      <c r="AD40" t="s">
        <v>478</v>
      </c>
      <c r="AE40" s="113">
        <v>0.24</v>
      </c>
      <c r="AF40" t="s">
        <v>468</v>
      </c>
    </row>
    <row r="41" spans="2:32" ht="15.75">
      <c r="B41" t="s">
        <v>250</v>
      </c>
      <c r="C41" s="111">
        <v>1.027</v>
      </c>
      <c r="D41" t="s">
        <v>77</v>
      </c>
      <c r="I41" s="274">
        <v>3</v>
      </c>
      <c r="J41" t="str">
        <f>IF(AND(ISNUMBER(eta),ISNUMBER(Ce)),CONCATENATE("Recovered energy used to regenerate a desiccant wheel is worth approximately ",TEXT(K27,"$#0.00")," / MMBtu (",TEXT(K26,"$0.000")," / kWh generated)."),"")</f>
        <v>Recovered energy used to regenerate a desiccant wheel is worth approximately $0.00 / MMBtu ($0.000 / kWh generated).</v>
      </c>
      <c r="O41" s="7"/>
      <c r="P41" s="7"/>
      <c r="Q41" s="7"/>
      <c r="R41" s="7"/>
      <c r="V41" t="s">
        <v>671</v>
      </c>
      <c r="W41" s="2">
        <f>327.7225+Qe*(-0.05643+Qe*(0.00000487-Qe*0.0000000001493))</f>
        <v>144.97852560000004</v>
      </c>
      <c r="X41" s="63" t="s">
        <v>29</v>
      </c>
      <c r="Z41" t="s">
        <v>343</v>
      </c>
      <c r="AA41" s="56">
        <v>0</v>
      </c>
      <c r="AD41" t="s">
        <v>476</v>
      </c>
      <c r="AE41" s="36">
        <v>7000</v>
      </c>
      <c r="AF41" t="s">
        <v>470</v>
      </c>
    </row>
    <row r="42" spans="2:32" ht="14.25">
      <c r="B42" t="s">
        <v>251</v>
      </c>
      <c r="C42" s="69">
        <f>(141800+137000)/2/1000000</f>
        <v>0.1394</v>
      </c>
      <c r="D42" t="s">
        <v>77</v>
      </c>
      <c r="F42" s="69"/>
      <c r="O42" s="7"/>
      <c r="P42" s="7"/>
      <c r="Q42" s="7"/>
      <c r="R42" s="7"/>
      <c r="V42" t="s">
        <v>672</v>
      </c>
      <c r="W42" s="212"/>
      <c r="Z42" t="s">
        <v>344</v>
      </c>
      <c r="AA42" s="56"/>
      <c r="AD42" t="s">
        <v>469</v>
      </c>
      <c r="AE42">
        <v>62.26</v>
      </c>
      <c r="AF42" t="s">
        <v>1018</v>
      </c>
    </row>
    <row r="43" spans="2:32" ht="14.25">
      <c r="B43" t="s">
        <v>252</v>
      </c>
      <c r="C43">
        <f>AVERAGE(14350,14000,13800,12500,11000)*2000/1000000</f>
        <v>26.26</v>
      </c>
      <c r="D43" t="s">
        <v>77</v>
      </c>
      <c r="J43" s="1" t="s">
        <v>447</v>
      </c>
      <c r="O43" s="7"/>
      <c r="P43" s="7"/>
      <c r="Q43" s="7"/>
      <c r="R43" s="7"/>
      <c r="V43" t="s">
        <v>673</v>
      </c>
      <c r="W43">
        <v>5</v>
      </c>
      <c r="X43" t="s">
        <v>16</v>
      </c>
      <c r="Z43" t="s">
        <v>346</v>
      </c>
      <c r="AA43" s="56"/>
      <c r="AD43" t="s">
        <v>1037</v>
      </c>
      <c r="AE43">
        <v>7.48</v>
      </c>
      <c r="AF43" t="s">
        <v>1019</v>
      </c>
    </row>
    <row r="44" spans="10:26" ht="12.75">
      <c r="J44" t="s">
        <v>448</v>
      </c>
      <c r="K44" s="36">
        <f>1000000*G23</f>
        <v>25543166.2751109</v>
      </c>
      <c r="L44" t="s">
        <v>449</v>
      </c>
      <c r="V44" t="s">
        <v>674</v>
      </c>
      <c r="W44" s="5">
        <v>0.5</v>
      </c>
      <c r="Z44" t="s">
        <v>345</v>
      </c>
    </row>
    <row r="45" spans="11:32" ht="12.75">
      <c r="K45" s="36">
        <f>+K44/Qe</f>
        <v>4912.14736059825</v>
      </c>
      <c r="L45" t="s">
        <v>28</v>
      </c>
      <c r="V45" t="s">
        <v>675</v>
      </c>
      <c r="W45" s="7">
        <f>W44*W41/(W43*H)</f>
        <v>0.0017210176353276358</v>
      </c>
      <c r="X45" s="63" t="s">
        <v>30</v>
      </c>
      <c r="Z45" t="s">
        <v>343</v>
      </c>
      <c r="AA45" s="56">
        <v>0</v>
      </c>
      <c r="AD45" t="s">
        <v>1038</v>
      </c>
      <c r="AE45" s="36">
        <f>+Dehumidifiers!D15*Qe</f>
        <v>663610.5466992691</v>
      </c>
      <c r="AF45" t="s">
        <v>474</v>
      </c>
    </row>
    <row r="46" spans="2:32" ht="15.75">
      <c r="B46" s="1" t="s">
        <v>362</v>
      </c>
      <c r="J46" t="s">
        <v>450</v>
      </c>
      <c r="K46" s="36">
        <f>+beta*K45</f>
        <v>4912.14736059825</v>
      </c>
      <c r="L46" t="s">
        <v>28</v>
      </c>
      <c r="V46" t="s">
        <v>676</v>
      </c>
      <c r="W46" s="7">
        <f>1892/(320*4000)</f>
        <v>0.001478125</v>
      </c>
      <c r="X46" s="63" t="s">
        <v>30</v>
      </c>
      <c r="Z46" t="s">
        <v>344</v>
      </c>
      <c r="AA46" s="56"/>
      <c r="AD46" t="s">
        <v>1039</v>
      </c>
      <c r="AE46" s="3">
        <f>+Dehumidifiers!D33</f>
        <v>0.011542468907022511</v>
      </c>
      <c r="AF46" s="63" t="s">
        <v>1014</v>
      </c>
    </row>
    <row r="47" spans="2:27" ht="12.75">
      <c r="B47" t="str">
        <f>IF(AND(ISNUMBER(G23),AND(ISNUMBER(G18),G18&gt;0)),CONCATENATE("The thermal capacity is ",TEXT(G23/G18,"##0.00")," times the average thermal load."),"Incomplete Data")</f>
        <v>The thermal capacity is 2.13 times the average thermal load.</v>
      </c>
      <c r="J47" t="s">
        <v>451</v>
      </c>
      <c r="K47" s="36">
        <f>+AE33*$K$46</f>
        <v>0</v>
      </c>
      <c r="L47" t="s">
        <v>28</v>
      </c>
      <c r="W47" s="7">
        <f>+W46+W45</f>
        <v>0.003199142635327636</v>
      </c>
      <c r="X47" s="63" t="s">
        <v>30</v>
      </c>
      <c r="Z47" t="s">
        <v>346</v>
      </c>
      <c r="AA47" s="56"/>
    </row>
    <row r="48" spans="2:33" ht="12.75" customHeight="1">
      <c r="B48" t="str">
        <f>IF(AND(ISNUMBER(Qe),AND(ISNUMBER(G13),G13&gt;0)),CONCATENATE("The total electrical capacity is ",TEXT(Qe/G13,"##0.00")," times the average electrical demand."),"Incomplete Data")</f>
        <v>The total electrical capacity is 1.47 times the average electrical demand.</v>
      </c>
      <c r="J48" t="s">
        <v>452</v>
      </c>
      <c r="K48" s="36">
        <f>+AE34*$K$46</f>
        <v>4912.14736059825</v>
      </c>
      <c r="L48" t="s">
        <v>28</v>
      </c>
      <c r="W48">
        <f>(3048+7944)/(320*4000)</f>
        <v>0.0085875</v>
      </c>
      <c r="Z48" t="s">
        <v>358</v>
      </c>
      <c r="AD48" t="s">
        <v>492</v>
      </c>
      <c r="AE48" s="113">
        <f>+Qrecovered/(1000000*eta)</f>
        <v>0.006822426889719792</v>
      </c>
      <c r="AF48" s="7"/>
      <c r="AG48" s="69"/>
    </row>
    <row r="49" spans="10:33" ht="12.75" customHeight="1">
      <c r="J49" t="s">
        <v>453</v>
      </c>
      <c r="K49" s="36">
        <f>+AE35*$K$46</f>
        <v>0</v>
      </c>
      <c r="L49" t="s">
        <v>28</v>
      </c>
      <c r="Z49" t="s">
        <v>342</v>
      </c>
      <c r="AD49" t="s">
        <v>493</v>
      </c>
      <c r="AE49" s="113">
        <f>+gCOP*Qrecovered*ChillerEfficiency/12000</f>
        <v>0.41753252565085125</v>
      </c>
      <c r="AF49" s="7"/>
      <c r="AG49" s="69"/>
    </row>
    <row r="50" spans="2:33" ht="12.75" customHeight="1">
      <c r="B50" s="134" t="str">
        <f>IF(AE36&gt;1,+B63,IF(NOT(S33),+B64,IF(AND(eta&lt;=0.85,LOWER(W16)="electric"),+B65,IF(AND(eta&gt;0.9,LOWER(W16)="fossil"),+B66,+B62))))</f>
        <v>Synopsis: Paybacks are relative to fossil fuel-fired space heating and hot water. Energy costs are $0.060/kWh for electricity and $7.60/MMBtu for fuel for a spark spread of $10.12/MMBtu. Results are based on 1 gas turbine generator(s) totaling 5,200 kW at a cost of $1,427 / kW, total installed cost is $1,622 / kW including absorption chillers (if any) and cost adjustment factors. O&amp;M costs are $0.008 /kWh, standby charges of $24/kW and export rate of $0.025/kWh; 100% of generated power is used on site and the balance, if any, is exported. Net operating savings are -$0.011/kWh. Absorption chillers (2,500 tons) use 100% of recovered heat at a gCOP of 1.20 and cost of $405/ton in place of electric chilled water at 0.85 kW/ton. Other operating parameters include a generator heat rate of 11,378 Btu/kWh, heat recovery rate of 4,912 Btu/kWh and; boiler efficiency of 72%. There are 8,424 operating hours per year. Waste heat is used for space heating and hot water (0.0%), chilled water (100.0%), and desiccant regeneration (0.0%). Simple payback is -17.2 years with a financed payback at 6.00% of -12.2 years.</v>
      </c>
      <c r="Z50" t="s">
        <v>343</v>
      </c>
      <c r="AA50" s="56">
        <v>0</v>
      </c>
      <c r="AD50" t="s">
        <v>494</v>
      </c>
      <c r="AE50" s="36">
        <f>+Dehumidifiers!D29</f>
        <v>0</v>
      </c>
      <c r="AF50" s="7"/>
      <c r="AG50" s="69"/>
    </row>
    <row r="51" spans="26:27" ht="12.75">
      <c r="Z51" t="s">
        <v>344</v>
      </c>
      <c r="AA51" s="56"/>
    </row>
    <row r="52" spans="2:27" ht="12.75">
      <c r="B52" t="str">
        <f>CONCATENATE("Paybacks are relative to ",IF(LOWER(W16)="electric","electric resistance","fossil fuel-fired")," space heating and hot water. ","Energy costs are ",TEXT(Ce,"$0.000"),"/kWh for electricity and ",TEXT(Cfuel,"$#0.00"),"/MMBtu for fuel for a spark spread of ",TEXT(K9,"$#0.00"),"/MMBtu.")</f>
        <v>Paybacks are relative to fossil fuel-fired space heating and hot water. Energy costs are $0.060/kWh for electricity and $7.60/MMBtu for fuel for a spark spread of $10.12/MMBtu.</v>
      </c>
      <c r="C52" s="25"/>
      <c r="D52" s="25"/>
      <c r="E52" s="25"/>
      <c r="Z52" t="s">
        <v>346</v>
      </c>
      <c r="AA52" s="56"/>
    </row>
    <row r="53" spans="2:26" ht="12.75">
      <c r="B53" t="str">
        <f>CONCATENATE("Results are based on ",TEXT(NoGenerators,"0")," ",IF(G10="GT","gas turbine",IF(G10="IC","IC-engine",IF(G10="MT"," microturbine","fuel cell")))," generator(s) totaling ",TEXT(Qe,"##,##0")," kW at a cost of ",TEXT(W20,"$##,##0")," / kW, total installed cost is ",TEXT(W28,"$##,##0")," / kW including absorption chillers (if any) and cost adjustment factors.")</f>
        <v>Results are based on 1 gas turbine generator(s) totaling 5,200 kW at a cost of $1,427 / kW, total installed cost is $1,622 / kW including absorption chillers (if any) and cost adjustment factors.</v>
      </c>
      <c r="C53" s="25"/>
      <c r="D53" s="25"/>
      <c r="E53" s="25"/>
      <c r="Z53" t="s">
        <v>345</v>
      </c>
    </row>
    <row r="54" spans="2:32" ht="12.75">
      <c r="B54" s="319" t="str">
        <f>CONCATENATE("O&amp;M costs are ",TEXT(COM,"$0.000")," /kWh, standby charges of ",TEXT(Cstandby,"$#0"),"/kW and export rate of ",TEXT(Cexport,"$0.000"),"/kWh; ",TEXT(beta,"##0%")," of generated power is used on site and the balance, if any, is exported. Net operating savings are ",TEXT(O9,"$0.000"),"/kWh.")</f>
        <v>O&amp;M costs are $0.008 /kWh, standby charges of $24/kW and export rate of $0.025/kWh; 100% of generated power is used on site and the balance, if any, is exported. Net operating savings are -$0.011/kWh.</v>
      </c>
      <c r="C54" s="319"/>
      <c r="D54" s="319"/>
      <c r="E54" s="319"/>
      <c r="F54" s="319"/>
      <c r="G54" s="319"/>
      <c r="H54" s="319"/>
      <c r="Z54" t="s">
        <v>343</v>
      </c>
      <c r="AA54" s="56">
        <v>0</v>
      </c>
      <c r="AD54" s="288" t="s">
        <v>961</v>
      </c>
      <c r="AE54" s="308" t="s">
        <v>1043</v>
      </c>
      <c r="AF54" s="309" t="s">
        <v>1044</v>
      </c>
    </row>
    <row r="55" spans="2:33" ht="12.75">
      <c r="B55" s="319" t="str">
        <f>IF(beta2&gt;0,CONCATENATE("Absorption chillers (",TEXT(S24,"##,##0")," tons) use ",TEXT(beta2,"##0%")," of recovered heat at a gCOP of ",TEXT(gCOP,"0.00")," and cost of ",TEXT(S17,"$##0"),"/ton in place of electric chilled water at ",TEXT(ChillerEfficiency,"#0.00")," kW/ton."),"No waste heat is used for chilled water.")</f>
        <v>Absorption chillers (2,500 tons) use 100% of recovered heat at a gCOP of 1.20 and cost of $405/ton in place of electric chilled water at 0.85 kW/ton.</v>
      </c>
      <c r="C55" s="319"/>
      <c r="D55" s="319"/>
      <c r="E55" s="319"/>
      <c r="F55" s="319"/>
      <c r="G55" s="319"/>
      <c r="H55" s="319"/>
      <c r="Z55" t="s">
        <v>346</v>
      </c>
      <c r="AA55" s="56"/>
      <c r="AD55" s="289" t="s">
        <v>962</v>
      </c>
      <c r="AE55" s="292">
        <v>2.67</v>
      </c>
      <c r="AF55" s="294">
        <f>+Dehumidifiers!K31</f>
        <v>1</v>
      </c>
      <c r="AG55" t="s">
        <v>658</v>
      </c>
    </row>
    <row r="56" spans="2:33" ht="12.75">
      <c r="B56" s="315" t="str">
        <f>CONCATENATE("Other operating parameters include a generator heat rate of ",TEXT(alpha,"##,###")," Btu/kWh, heat recovery rate of ",TEXT(Qrecovered,"##,##0")," Btu/kWh and; boiler efficiency of ",TEXT(eta,"#00%"),".")</f>
        <v>Other operating parameters include a generator heat rate of 11,378 Btu/kWh, heat recovery rate of 4,912 Btu/kWh and; boiler efficiency of 72%.</v>
      </c>
      <c r="C56" s="319"/>
      <c r="D56" s="319"/>
      <c r="E56" s="319"/>
      <c r="F56" s="319"/>
      <c r="G56" s="319"/>
      <c r="H56" s="319"/>
      <c r="AD56" s="289" t="s">
        <v>963</v>
      </c>
      <c r="AE56" s="295">
        <f>24*8*AE43*AE6/(AE42*AE8)</f>
        <v>212.80913291655344</v>
      </c>
      <c r="AF56" s="296">
        <f>AE41*AE11/(60*AE13*rho*(AE16-AE17))</f>
        <v>85.28265107212475</v>
      </c>
      <c r="AG56" t="s">
        <v>967</v>
      </c>
    </row>
    <row r="57" spans="2:32" ht="12.75">
      <c r="B57" s="13" t="str">
        <f>CONCATENATE("There are ",TEXT(H,"#,###")," operating hours per year. Waste heat is used for space heating and hot water (",TEXT(beta1,"##0.0%"),"), chilled water (",TEXT(beta2,"##0.0%"),"), and desiccant regeneration (",TEXT(beta3,"##0.0%"),").")</f>
        <v>There are 8,424 operating hours per year. Waste heat is used for space heating and hot water (0.0%), chilled water (100.0%), and desiccant regeneration (0.0%).</v>
      </c>
      <c r="C57" s="25"/>
      <c r="D57" s="25"/>
      <c r="E57" s="25"/>
      <c r="AD57" s="289" t="s">
        <v>966</v>
      </c>
      <c r="AE57" s="291"/>
      <c r="AF57" s="290"/>
    </row>
    <row r="58" spans="2:33" ht="12.75">
      <c r="B58" t="str">
        <f>CONCATENATE("Simple payback is ",TEXT(O11,"###0.0")," years with a financed payback at ",TEXT(i,"#0.00%")," of ",TEXT(O19,"###0.0")," years.")</f>
        <v>Simple payback is -17.2 years with a financed payback at 6.00% of -12.2 years.</v>
      </c>
      <c r="D58" s="12"/>
      <c r="AD58" s="289" t="s">
        <v>964</v>
      </c>
      <c r="AE58" s="291"/>
      <c r="AF58" s="8">
        <f>+Dehumidifiers!K29</f>
        <v>79.19999999999999</v>
      </c>
      <c r="AG58" t="s">
        <v>927</v>
      </c>
    </row>
    <row r="59" spans="30:33" ht="12.75">
      <c r="AD59" s="289" t="s">
        <v>965</v>
      </c>
      <c r="AE59" s="289"/>
      <c r="AF59" s="8">
        <f>+AF58*eta*(1-AE21)</f>
        <v>38.49119999999999</v>
      </c>
      <c r="AG59" t="s">
        <v>927</v>
      </c>
    </row>
    <row r="60" spans="30:33" ht="12.75">
      <c r="AD60" s="289" t="s">
        <v>1042</v>
      </c>
      <c r="AF60" s="36">
        <f>+Dehumidifiers!D31</f>
        <v>1081.9146693589096</v>
      </c>
      <c r="AG60" t="s">
        <v>955</v>
      </c>
    </row>
    <row r="61" spans="2:30" ht="12.75">
      <c r="B61" s="1" t="s">
        <v>834</v>
      </c>
      <c r="AD61" s="289" t="s">
        <v>1053</v>
      </c>
    </row>
    <row r="62" spans="2:32" ht="15.75">
      <c r="B62" s="25" t="str">
        <f>CONCATENATE("Synopsis: ",B52," ",B53," ",B54," ",B55," ",B56," ",B57," ",B58)</f>
        <v>Synopsis: Paybacks are relative to fossil fuel-fired space heating and hot water. Energy costs are $0.060/kWh for electricity and $7.60/MMBtu for fuel for a spark spread of $10.12/MMBtu. Results are based on 1 gas turbine generator(s) totaling 5,200 kW at a cost of $1,427 / kW, total installed cost is $1,622 / kW including absorption chillers (if any) and cost adjustment factors. O&amp;M costs are $0.008 /kWh, standby charges of $24/kW and export rate of $0.025/kWh; 100% of generated power is used on site and the balance, if any, is exported. Net operating savings are -$0.011/kWh. Absorption chillers (2,500 tons) use 100% of recovered heat at a gCOP of 1.20 and cost of $405/ton in place of electric chilled water at 0.85 kW/ton. Other operating parameters include a generator heat rate of 11,378 Btu/kWh, heat recovery rate of 4,912 Btu/kWh and; boiler efficiency of 72%. There are 8,424 operating hours per year. Waste heat is used for space heating and hot water (0.0%), chilled water (100.0%), and desiccant regeneration (0.0%). Simple payback is -17.2 years with a financed payback at 6.00% of -12.2 years.</v>
      </c>
      <c r="AD62" s="310" t="s">
        <v>1054</v>
      </c>
      <c r="AE62" s="112">
        <f>+Dehumidifiers!D32</f>
        <v>0.19083130596073947</v>
      </c>
      <c r="AF62" t="s">
        <v>1050</v>
      </c>
    </row>
    <row r="63" spans="2:32" ht="15.75">
      <c r="B63" t="s">
        <v>845</v>
      </c>
      <c r="AD63" s="310" t="s">
        <v>1055</v>
      </c>
      <c r="AE63" s="7">
        <f>+Dehumidifiers!D33</f>
        <v>0.011542468907022511</v>
      </c>
      <c r="AF63" s="63" t="s">
        <v>1014</v>
      </c>
    </row>
    <row r="64" spans="2:32" ht="15.75">
      <c r="B64" t="str">
        <f>CONCATENATE("WARNING: an incomplete set of data is provided for the chiller plant: absorption chiller capacity is set at ",TEXT(S28,"##,###")," tons, fraction of recovered heat use is specified as ",TEXT(S30,"##0%"),", chiller cost at ",TEXT(S29,"$#,##0")," / ton, chiller efficiency at ",TEXT(S31,"0.00"),", and electric chiller efficiency as ",TEXT(S32,"0.00")," kW/ton. Change the fraction of waste heat used for cooling on the 'Cost &amp; Heat Use' page of the user interface, change the other parameters on the 'Chillers &amp; Fuel Cells' page of the user interface.")</f>
        <v>WARNING: an incomplete set of data is provided for the chiller plant: absorption chiller capacity is set at 2,500 tons, fraction of recovered heat use is specified as 100%, chiller cost at $405 / ton, chiller efficiency at 1.20, and electric chiller efficiency as 0.85 kW/ton. Change the fraction of waste heat used for cooling on the 'Cost &amp; Heat Use' page of the user interface, change the other parameters on the 'Chillers &amp; Fuel Cells' page of the user interface.</v>
      </c>
      <c r="AE64" s="4">
        <f>+Dehumidifiers!D34</f>
        <v>2.3497806681468845</v>
      </c>
      <c r="AF64" s="63" t="s">
        <v>1052</v>
      </c>
    </row>
    <row r="65" spans="2:31" ht="12.75">
      <c r="B65" t="str">
        <f>CONCATENATE("WARNING: the specified boiler efficiency of ",TEXT(eta,"##0%")," is too low for electric resistance heating and hot water; change boiler efficiency in 'Misc.' page of the user interface.")</f>
        <v>WARNING: the specified boiler efficiency of 72% is too low for electric resistance heating and hot water; change boiler efficiency in 'Misc.' page of the user interface.</v>
      </c>
      <c r="AD65" s="134" t="s">
        <v>1060</v>
      </c>
      <c r="AE65" s="56">
        <f>+Dehumidifiers!D37</f>
        <v>0.3046336379669713</v>
      </c>
    </row>
    <row r="66" ht="12.75">
      <c r="B66" t="str">
        <f>CONCATENATE("WARNING: the specified boiler efficiency of ",TEXT(eta,"##0%")," is too high for fossil-fuel fired heating and hot water; change boiler efficiency in 'Misc.' page of the user interface.")</f>
        <v>WARNING: the specified boiler efficiency of 72% is too high for fossil-fuel fired heating and hot water; change boiler efficiency in 'Misc.' page of the user interface.</v>
      </c>
    </row>
  </sheetData>
  <mergeCells count="7">
    <mergeCell ref="AI26:AP31"/>
    <mergeCell ref="AB33:AB38"/>
    <mergeCell ref="B56:H56"/>
    <mergeCell ref="F9:F10"/>
    <mergeCell ref="B54:H54"/>
    <mergeCell ref="B55:H55"/>
    <mergeCell ref="X13:X1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H94"/>
  <sheetViews>
    <sheetView zoomScale="75" zoomScaleNormal="75" workbookViewId="0" topLeftCell="A1">
      <selection activeCell="F29" sqref="F29"/>
    </sheetView>
  </sheetViews>
  <sheetFormatPr defaultColWidth="9.140625" defaultRowHeight="12.75"/>
  <cols>
    <col min="2" max="2" width="43.28125" style="0" bestFit="1" customWidth="1"/>
    <col min="3" max="3" width="10.140625" style="0" bestFit="1" customWidth="1"/>
    <col min="5" max="5" width="28.7109375" style="0" bestFit="1" customWidth="1"/>
  </cols>
  <sheetData>
    <row r="2" ht="15.75">
      <c r="B2" s="44" t="s">
        <v>222</v>
      </c>
    </row>
    <row r="4" spans="2:4" ht="12.75">
      <c r="B4" s="1" t="s">
        <v>585</v>
      </c>
      <c r="C4" t="s">
        <v>584</v>
      </c>
      <c r="D4" t="s">
        <v>583</v>
      </c>
    </row>
    <row r="6" ht="12.75">
      <c r="B6" s="1" t="s">
        <v>224</v>
      </c>
    </row>
    <row r="7" spans="2:4" ht="12.75">
      <c r="B7" t="s">
        <v>225</v>
      </c>
      <c r="C7" s="2">
        <v>550000</v>
      </c>
      <c r="D7" t="s">
        <v>573</v>
      </c>
    </row>
    <row r="8" spans="2:4" ht="12.75">
      <c r="B8" t="s">
        <v>226</v>
      </c>
      <c r="C8" s="36">
        <v>10000000</v>
      </c>
      <c r="D8" t="s">
        <v>574</v>
      </c>
    </row>
    <row r="9" spans="2:4" ht="12.75">
      <c r="B9" t="s">
        <v>227</v>
      </c>
      <c r="C9" s="36">
        <v>2000</v>
      </c>
      <c r="D9" t="s">
        <v>575</v>
      </c>
    </row>
    <row r="10" spans="2:4" ht="12.75">
      <c r="B10" t="s">
        <v>228</v>
      </c>
      <c r="C10" s="36">
        <v>2000</v>
      </c>
      <c r="D10" t="s">
        <v>576</v>
      </c>
    </row>
    <row r="12" ht="12.75">
      <c r="B12" s="1" t="s">
        <v>229</v>
      </c>
    </row>
    <row r="13" spans="2:4" ht="12.75">
      <c r="B13" t="s">
        <v>225</v>
      </c>
      <c r="C13" s="2">
        <v>500000</v>
      </c>
      <c r="D13" t="s">
        <v>577</v>
      </c>
    </row>
    <row r="14" spans="2:4" ht="12.75">
      <c r="B14" t="s">
        <v>226</v>
      </c>
      <c r="C14" s="36">
        <v>100000</v>
      </c>
      <c r="D14" t="s">
        <v>578</v>
      </c>
    </row>
    <row r="15" ht="12.75">
      <c r="B15" t="s">
        <v>230</v>
      </c>
    </row>
    <row r="16" spans="2:4" ht="12.75">
      <c r="B16" t="s">
        <v>231</v>
      </c>
      <c r="C16" s="6" t="s">
        <v>54</v>
      </c>
      <c r="D16" t="s">
        <v>579</v>
      </c>
    </row>
    <row r="17" spans="2:4" ht="12.75">
      <c r="B17" t="s">
        <v>232</v>
      </c>
      <c r="C17" s="6"/>
      <c r="D17" t="s">
        <v>580</v>
      </c>
    </row>
    <row r="18" spans="2:4" ht="12.75">
      <c r="B18" t="s">
        <v>233</v>
      </c>
      <c r="C18" s="6"/>
      <c r="D18" t="s">
        <v>581</v>
      </c>
    </row>
    <row r="21" ht="15.75">
      <c r="B21" s="44" t="s">
        <v>253</v>
      </c>
    </row>
    <row r="23" spans="2:5" ht="12.75">
      <c r="B23" s="1" t="s">
        <v>523</v>
      </c>
      <c r="C23">
        <v>1</v>
      </c>
      <c r="D23" t="s">
        <v>527</v>
      </c>
      <c r="E23" s="1" t="s">
        <v>586</v>
      </c>
    </row>
    <row r="24" spans="2:7" ht="12.75">
      <c r="B24" s="1" t="s">
        <v>524</v>
      </c>
      <c r="C24" s="36">
        <v>1210</v>
      </c>
      <c r="D24" t="s">
        <v>528</v>
      </c>
      <c r="E24" t="s">
        <v>587</v>
      </c>
      <c r="F24" s="36">
        <f>+Equipment!F40</f>
        <v>11378.400503778337</v>
      </c>
      <c r="G24" t="s">
        <v>596</v>
      </c>
    </row>
    <row r="25" spans="2:7" ht="12.75">
      <c r="B25" s="1" t="s">
        <v>525</v>
      </c>
      <c r="C25" s="6" t="s">
        <v>582</v>
      </c>
      <c r="D25" t="s">
        <v>529</v>
      </c>
      <c r="E25" t="s">
        <v>588</v>
      </c>
      <c r="F25" s="7">
        <f>+Equipment!F41</f>
        <v>0.0075604534005037785</v>
      </c>
      <c r="G25" t="s">
        <v>620</v>
      </c>
    </row>
    <row r="26" spans="5:7" ht="12.75">
      <c r="E26" t="s">
        <v>589</v>
      </c>
      <c r="F26" s="2">
        <f>+Equipment!F42</f>
        <v>1427.4307304785893</v>
      </c>
      <c r="G26" t="s">
        <v>597</v>
      </c>
    </row>
    <row r="27" spans="2:7" ht="12.75">
      <c r="B27" s="1" t="s">
        <v>526</v>
      </c>
      <c r="E27" t="s">
        <v>590</v>
      </c>
      <c r="F27">
        <f>+Equipment!F43</f>
        <v>2</v>
      </c>
      <c r="G27" t="s">
        <v>621</v>
      </c>
    </row>
    <row r="28" spans="2:7" ht="12.75">
      <c r="B28" t="s">
        <v>268</v>
      </c>
      <c r="C28" s="2">
        <v>0</v>
      </c>
      <c r="D28" t="s">
        <v>530</v>
      </c>
      <c r="E28" t="s">
        <v>591</v>
      </c>
      <c r="F28" s="108">
        <f>+Equipment!F45/1000000</f>
        <v>25.54316627511092</v>
      </c>
      <c r="G28" t="s">
        <v>622</v>
      </c>
    </row>
    <row r="29" spans="2:7" ht="12.75">
      <c r="B29" t="s">
        <v>269</v>
      </c>
      <c r="C29" s="2">
        <v>0</v>
      </c>
      <c r="D29" t="s">
        <v>531</v>
      </c>
      <c r="E29" t="s">
        <v>592</v>
      </c>
      <c r="F29" s="36">
        <f>+Equipment!F46</f>
        <v>2554.316627511092</v>
      </c>
      <c r="G29" t="s">
        <v>598</v>
      </c>
    </row>
    <row r="30" spans="5:7" ht="12.75">
      <c r="E30" t="s">
        <v>593</v>
      </c>
      <c r="F30" s="108">
        <f>+Equipment!F47</f>
        <v>0.62</v>
      </c>
      <c r="G30" t="s">
        <v>555</v>
      </c>
    </row>
    <row r="31" spans="5:7" ht="12.75">
      <c r="E31" t="s">
        <v>594</v>
      </c>
      <c r="F31">
        <f>+Equipment!F48</f>
        <v>0.05</v>
      </c>
      <c r="G31" t="s">
        <v>554</v>
      </c>
    </row>
    <row r="32" spans="2:7" ht="15.75">
      <c r="B32" s="44" t="s">
        <v>292</v>
      </c>
      <c r="E32" t="s">
        <v>595</v>
      </c>
      <c r="F32" s="2">
        <f>+Equipment!I51</f>
        <v>420</v>
      </c>
      <c r="G32" t="s">
        <v>542</v>
      </c>
    </row>
    <row r="34" ht="12.75">
      <c r="B34" s="1" t="s">
        <v>293</v>
      </c>
    </row>
    <row r="35" spans="2:4" ht="12.75">
      <c r="B35" t="s">
        <v>294</v>
      </c>
      <c r="C35" s="6" t="s">
        <v>54</v>
      </c>
      <c r="D35" t="s">
        <v>535</v>
      </c>
    </row>
    <row r="36" spans="2:4" ht="12.75">
      <c r="B36" t="s">
        <v>295</v>
      </c>
      <c r="C36" s="6"/>
      <c r="D36" t="s">
        <v>536</v>
      </c>
    </row>
    <row r="38" ht="12.75">
      <c r="B38" s="1" t="s">
        <v>296</v>
      </c>
    </row>
    <row r="39" spans="2:4" ht="12.75">
      <c r="B39" t="s">
        <v>532</v>
      </c>
      <c r="C39" s="6"/>
      <c r="D39" t="s">
        <v>537</v>
      </c>
    </row>
    <row r="40" spans="2:4" ht="12.75">
      <c r="B40" t="s">
        <v>533</v>
      </c>
      <c r="C40" s="6"/>
      <c r="D40" t="s">
        <v>538</v>
      </c>
    </row>
    <row r="42" ht="12.75">
      <c r="B42" s="1" t="s">
        <v>299</v>
      </c>
    </row>
    <row r="43" spans="2:4" ht="12.75">
      <c r="B43" t="s">
        <v>300</v>
      </c>
      <c r="C43" s="56">
        <v>0.85</v>
      </c>
      <c r="D43" t="s">
        <v>539</v>
      </c>
    </row>
    <row r="44" spans="2:4" ht="12.75">
      <c r="B44" t="s">
        <v>301</v>
      </c>
      <c r="C44" s="56">
        <v>0.7</v>
      </c>
      <c r="D44" t="s">
        <v>540</v>
      </c>
    </row>
    <row r="45" spans="2:4" ht="12.75">
      <c r="B45" t="s">
        <v>302</v>
      </c>
      <c r="C45" s="5">
        <v>0</v>
      </c>
      <c r="D45" t="s">
        <v>541</v>
      </c>
    </row>
    <row r="46" spans="2:4" ht="12.75">
      <c r="B46" t="s">
        <v>303</v>
      </c>
      <c r="C46" s="2">
        <v>450</v>
      </c>
      <c r="D46" t="s">
        <v>542</v>
      </c>
    </row>
    <row r="47" spans="2:4" ht="12.75">
      <c r="B47" t="s">
        <v>304</v>
      </c>
      <c r="C47" s="2">
        <f>3500/2</f>
        <v>1750</v>
      </c>
      <c r="D47" t="s">
        <v>543</v>
      </c>
    </row>
    <row r="48" spans="2:4" ht="12.75">
      <c r="B48" t="s">
        <v>305</v>
      </c>
      <c r="C48" s="56">
        <v>5</v>
      </c>
      <c r="D48" t="s">
        <v>544</v>
      </c>
    </row>
    <row r="49" spans="2:4" ht="12.75">
      <c r="B49" t="s">
        <v>306</v>
      </c>
      <c r="C49" s="56">
        <v>0.96</v>
      </c>
      <c r="D49" t="s">
        <v>545</v>
      </c>
    </row>
    <row r="50" spans="2:4" ht="12.75">
      <c r="B50" t="s">
        <v>534</v>
      </c>
      <c r="C50" s="36">
        <v>500</v>
      </c>
      <c r="D50" t="s">
        <v>546</v>
      </c>
    </row>
    <row r="53" ht="15.75">
      <c r="B53" s="44" t="s">
        <v>308</v>
      </c>
    </row>
    <row r="55" ht="12.75">
      <c r="B55" s="1" t="s">
        <v>309</v>
      </c>
    </row>
    <row r="56" spans="2:4" ht="12.75">
      <c r="B56" t="s">
        <v>310</v>
      </c>
      <c r="C56" s="2">
        <v>24</v>
      </c>
      <c r="D56" t="s">
        <v>547</v>
      </c>
    </row>
    <row r="57" spans="2:4" ht="12.75">
      <c r="B57" t="s">
        <v>312</v>
      </c>
      <c r="C57" s="3">
        <v>0.025</v>
      </c>
      <c r="D57" t="s">
        <v>548</v>
      </c>
    </row>
    <row r="58" spans="2:4" ht="12.75">
      <c r="B58" t="s">
        <v>313</v>
      </c>
      <c r="C58" s="5">
        <v>1</v>
      </c>
      <c r="D58" t="s">
        <v>549</v>
      </c>
    </row>
    <row r="59" spans="2:4" ht="12.75">
      <c r="B59" t="s">
        <v>314</v>
      </c>
      <c r="C59" s="55">
        <v>0.06</v>
      </c>
      <c r="D59" t="s">
        <v>550</v>
      </c>
    </row>
    <row r="60" spans="2:4" ht="12.75">
      <c r="B60" t="s">
        <v>315</v>
      </c>
      <c r="C60" s="5">
        <v>1</v>
      </c>
      <c r="D60" t="s">
        <v>551</v>
      </c>
    </row>
    <row r="61" spans="2:4" ht="12.75">
      <c r="B61" t="s">
        <v>363</v>
      </c>
      <c r="C61" s="5">
        <v>0.75</v>
      </c>
      <c r="D61" t="s">
        <v>552</v>
      </c>
    </row>
    <row r="62" spans="2:4" ht="12.75">
      <c r="B62" t="s">
        <v>316</v>
      </c>
      <c r="C62" s="5">
        <v>0.72</v>
      </c>
      <c r="D62" t="s">
        <v>553</v>
      </c>
    </row>
    <row r="63" spans="2:4" ht="12.75">
      <c r="B63" t="s">
        <v>317</v>
      </c>
      <c r="C63" s="56">
        <v>0.05</v>
      </c>
      <c r="D63" t="s">
        <v>554</v>
      </c>
    </row>
    <row r="64" spans="2:4" ht="12.75">
      <c r="B64" t="s">
        <v>318</v>
      </c>
      <c r="C64" s="56">
        <v>0.52</v>
      </c>
      <c r="D64" t="s">
        <v>555</v>
      </c>
    </row>
    <row r="65" spans="2:4" ht="12.75">
      <c r="B65" t="s">
        <v>319</v>
      </c>
      <c r="C65" s="4">
        <v>4.5</v>
      </c>
      <c r="D65" t="s">
        <v>556</v>
      </c>
    </row>
    <row r="66" spans="2:3" ht="12.75">
      <c r="B66" t="s">
        <v>824</v>
      </c>
      <c r="C66" s="6" t="s">
        <v>823</v>
      </c>
    </row>
    <row r="67" ht="12.75">
      <c r="B67" s="1" t="s">
        <v>347</v>
      </c>
    </row>
    <row r="68" spans="2:5" ht="12.75">
      <c r="B68" t="s">
        <v>348</v>
      </c>
      <c r="C68" s="194">
        <v>0</v>
      </c>
      <c r="D68" s="194">
        <v>0.25</v>
      </c>
      <c r="E68" t="s">
        <v>557</v>
      </c>
    </row>
    <row r="69" spans="2:5" ht="12.75">
      <c r="B69" t="s">
        <v>349</v>
      </c>
      <c r="C69" s="194">
        <v>0</v>
      </c>
      <c r="D69" s="194">
        <v>20</v>
      </c>
      <c r="E69" t="s">
        <v>558</v>
      </c>
    </row>
    <row r="70" spans="2:4" ht="12.75">
      <c r="B70" t="s">
        <v>559</v>
      </c>
      <c r="C70" s="195">
        <v>1</v>
      </c>
      <c r="D70" t="s">
        <v>560</v>
      </c>
    </row>
    <row r="73" ht="15.75">
      <c r="B73" s="44" t="s">
        <v>561</v>
      </c>
    </row>
    <row r="75" ht="12.75">
      <c r="B75" s="1" t="s">
        <v>471</v>
      </c>
    </row>
    <row r="76" spans="2:4" ht="12.75">
      <c r="B76" t="s">
        <v>483</v>
      </c>
      <c r="C76" s="114">
        <v>80</v>
      </c>
      <c r="D76" t="s">
        <v>562</v>
      </c>
    </row>
    <row r="77" spans="2:4" ht="12.75">
      <c r="B77" t="s">
        <v>484</v>
      </c>
      <c r="C77" s="114">
        <v>184</v>
      </c>
      <c r="D77" t="s">
        <v>563</v>
      </c>
    </row>
    <row r="78" spans="2:4" ht="12.75">
      <c r="B78" t="s">
        <v>480</v>
      </c>
      <c r="C78">
        <v>204</v>
      </c>
      <c r="D78" t="s">
        <v>564</v>
      </c>
    </row>
    <row r="79" spans="2:4" ht="12.75">
      <c r="B79" t="s">
        <v>472</v>
      </c>
      <c r="C79" s="36">
        <v>4000</v>
      </c>
      <c r="D79" t="s">
        <v>565</v>
      </c>
    </row>
    <row r="80" spans="2:4" ht="12.75">
      <c r="B80" t="s">
        <v>473</v>
      </c>
      <c r="C80" s="36">
        <v>2000</v>
      </c>
      <c r="D80" t="s">
        <v>566</v>
      </c>
    </row>
    <row r="81" spans="2:4" ht="12.75">
      <c r="B81" t="s">
        <v>481</v>
      </c>
      <c r="C81" s="112">
        <v>0.45</v>
      </c>
      <c r="D81" t="s">
        <v>567</v>
      </c>
    </row>
    <row r="82" spans="2:4" ht="12.75">
      <c r="B82" t="s">
        <v>482</v>
      </c>
      <c r="C82" s="56">
        <f>3.516/ChillerEfficiency</f>
        <v>4.136470588235294</v>
      </c>
      <c r="D82" t="s">
        <v>568</v>
      </c>
    </row>
    <row r="83" spans="2:4" ht="12.75">
      <c r="B83" t="s">
        <v>569</v>
      </c>
      <c r="C83" s="4">
        <f>(5+8)/2</f>
        <v>6.5</v>
      </c>
      <c r="D83" t="s">
        <v>571</v>
      </c>
    </row>
    <row r="84" spans="2:8" ht="15.75">
      <c r="B84" t="s">
        <v>570</v>
      </c>
      <c r="C84" s="36">
        <f>+G86*Qe</f>
        <v>507621.04834224633</v>
      </c>
      <c r="D84" t="s">
        <v>572</v>
      </c>
      <c r="E84" t="s">
        <v>629</v>
      </c>
      <c r="F84" t="s">
        <v>630</v>
      </c>
      <c r="G84" s="36">
        <f>+Qrecovered</f>
        <v>4912.14736059825</v>
      </c>
      <c r="H84" t="s">
        <v>631</v>
      </c>
    </row>
    <row r="85" spans="6:8" ht="15.75">
      <c r="F85" t="s">
        <v>632</v>
      </c>
      <c r="G85" s="112">
        <f>G87*G88*G89*(1-C64)</f>
        <v>0.8386560000000001</v>
      </c>
      <c r="H85" t="s">
        <v>635</v>
      </c>
    </row>
    <row r="86" spans="6:8" ht="15.75">
      <c r="F86" t="s">
        <v>636</v>
      </c>
      <c r="G86" s="8">
        <f>+G84/(60*G85)</f>
        <v>97.61943237350891</v>
      </c>
      <c r="H86" t="s">
        <v>637</v>
      </c>
    </row>
    <row r="87" spans="2:8" ht="12.75">
      <c r="B87" t="s">
        <v>617</v>
      </c>
      <c r="C87" s="2">
        <v>0</v>
      </c>
      <c r="D87" t="s">
        <v>616</v>
      </c>
      <c r="G87">
        <v>0.07</v>
      </c>
      <c r="H87" t="s">
        <v>633</v>
      </c>
    </row>
    <row r="88" spans="2:8" ht="12.75">
      <c r="B88" t="s">
        <v>618</v>
      </c>
      <c r="C88" s="56">
        <v>1</v>
      </c>
      <c r="D88" t="s">
        <v>619</v>
      </c>
      <c r="G88">
        <v>0.24</v>
      </c>
      <c r="H88" t="s">
        <v>634</v>
      </c>
    </row>
    <row r="89" spans="7:8" ht="12.75">
      <c r="G89" s="114">
        <f>+C77-C76</f>
        <v>104</v>
      </c>
      <c r="H89" t="s">
        <v>465</v>
      </c>
    </row>
    <row r="91" ht="12.75">
      <c r="B91" s="1" t="s">
        <v>623</v>
      </c>
    </row>
    <row r="92" spans="2:4" ht="12.75">
      <c r="B92" t="s">
        <v>624</v>
      </c>
      <c r="C92" s="5">
        <v>1</v>
      </c>
      <c r="D92" t="s">
        <v>627</v>
      </c>
    </row>
    <row r="93" spans="2:4" ht="12.75">
      <c r="B93" t="s">
        <v>625</v>
      </c>
      <c r="C93" s="5">
        <v>0</v>
      </c>
      <c r="D93" t="s">
        <v>541</v>
      </c>
    </row>
    <row r="94" spans="2:4" ht="12.75">
      <c r="B94" t="s">
        <v>626</v>
      </c>
      <c r="C94" s="5">
        <v>0</v>
      </c>
      <c r="D94" t="s">
        <v>628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2:Y212"/>
  <sheetViews>
    <sheetView zoomScale="75" zoomScaleNormal="75" workbookViewId="0" topLeftCell="A12">
      <selection activeCell="F46" sqref="F46"/>
    </sheetView>
  </sheetViews>
  <sheetFormatPr defaultColWidth="9.140625" defaultRowHeight="12.75"/>
  <cols>
    <col min="4" max="4" width="10.421875" style="0" bestFit="1" customWidth="1"/>
    <col min="5" max="7" width="10.140625" style="0" bestFit="1" customWidth="1"/>
    <col min="8" max="8" width="10.140625" style="0" customWidth="1"/>
    <col min="15" max="15" width="10.140625" style="0" bestFit="1" customWidth="1"/>
    <col min="18" max="18" width="9.421875" style="0" bestFit="1" customWidth="1"/>
  </cols>
  <sheetData>
    <row r="2" spans="2:5" ht="12.75">
      <c r="B2" t="s">
        <v>364</v>
      </c>
      <c r="D2" s="36">
        <f>+Data!G7</f>
        <v>5200</v>
      </c>
      <c r="E2" t="s">
        <v>0</v>
      </c>
    </row>
    <row r="3" spans="2:4" ht="12.75">
      <c r="B3" t="s">
        <v>365</v>
      </c>
      <c r="D3" s="6" t="str">
        <f>+Data!G10</f>
        <v>GT</v>
      </c>
    </row>
    <row r="4" spans="2:8" ht="12.75">
      <c r="B4" s="17"/>
      <c r="C4" s="17"/>
      <c r="D4" s="32"/>
      <c r="E4" s="32" t="s">
        <v>14</v>
      </c>
      <c r="F4" s="32" t="s">
        <v>17</v>
      </c>
      <c r="G4" s="32"/>
      <c r="H4" s="32"/>
    </row>
    <row r="5" spans="2:18" ht="12.75">
      <c r="B5" s="17"/>
      <c r="C5" s="17"/>
      <c r="D5" s="32" t="s">
        <v>25</v>
      </c>
      <c r="E5" s="32" t="s">
        <v>18</v>
      </c>
      <c r="F5" s="32" t="s">
        <v>18</v>
      </c>
      <c r="G5" s="32" t="s">
        <v>42</v>
      </c>
      <c r="H5" s="32"/>
      <c r="R5" s="1" t="s">
        <v>409</v>
      </c>
    </row>
    <row r="6" spans="2:8" ht="12.75">
      <c r="B6" s="376" t="s">
        <v>15</v>
      </c>
      <c r="C6" s="376"/>
      <c r="D6" s="32" t="s">
        <v>12</v>
      </c>
      <c r="E6" s="32" t="s">
        <v>13</v>
      </c>
      <c r="F6" s="32" t="s">
        <v>19</v>
      </c>
      <c r="G6" s="32" t="s">
        <v>12</v>
      </c>
      <c r="H6" s="32"/>
    </row>
    <row r="7" spans="2:21" ht="12.75">
      <c r="B7" s="373" t="s">
        <v>11</v>
      </c>
      <c r="C7" s="370"/>
      <c r="D7" s="17"/>
      <c r="E7" s="22"/>
      <c r="F7" s="30"/>
      <c r="G7" s="12"/>
      <c r="H7" s="12"/>
      <c r="R7" s="374" t="s">
        <v>381</v>
      </c>
      <c r="S7" s="375"/>
      <c r="T7" s="375"/>
      <c r="U7" s="375"/>
    </row>
    <row r="8" spans="2:21" ht="12.75">
      <c r="B8" s="28">
        <v>1000</v>
      </c>
      <c r="C8" s="29" t="s">
        <v>0</v>
      </c>
      <c r="D8" s="26">
        <v>22750</v>
      </c>
      <c r="E8" s="27">
        <v>0.0025</v>
      </c>
      <c r="F8" s="30">
        <v>500</v>
      </c>
      <c r="G8" s="38" t="s">
        <v>51</v>
      </c>
      <c r="H8" s="38"/>
      <c r="I8" s="35" t="s">
        <v>28</v>
      </c>
      <c r="R8" s="375" t="s">
        <v>382</v>
      </c>
      <c r="S8" s="375"/>
      <c r="T8" s="375"/>
      <c r="U8" s="375"/>
    </row>
    <row r="9" spans="2:21" ht="12.75">
      <c r="B9" s="28">
        <v>5000</v>
      </c>
      <c r="C9" s="29" t="s">
        <v>0</v>
      </c>
      <c r="D9" s="26">
        <f>(D8+D10)/2</f>
        <v>18200</v>
      </c>
      <c r="E9" s="27">
        <f>+(E8+E10)/2</f>
        <v>0.00175</v>
      </c>
      <c r="F9" s="30">
        <v>400</v>
      </c>
      <c r="G9" s="38" t="s">
        <v>51</v>
      </c>
      <c r="H9" s="38"/>
      <c r="I9" s="35" t="s">
        <v>28</v>
      </c>
      <c r="R9" s="375" t="s">
        <v>383</v>
      </c>
      <c r="S9" s="375"/>
      <c r="T9" s="375"/>
      <c r="U9" s="375"/>
    </row>
    <row r="10" spans="2:21" ht="12.75">
      <c r="B10" s="28">
        <v>10000</v>
      </c>
      <c r="C10" s="29" t="s">
        <v>0</v>
      </c>
      <c r="D10" s="26">
        <v>13650</v>
      </c>
      <c r="E10" s="27">
        <v>0.001</v>
      </c>
      <c r="F10" s="30">
        <v>300</v>
      </c>
      <c r="G10" s="38" t="s">
        <v>51</v>
      </c>
      <c r="H10" s="38"/>
      <c r="I10" s="35" t="s">
        <v>28</v>
      </c>
      <c r="R10" s="375" t="s">
        <v>384</v>
      </c>
      <c r="S10" s="375"/>
      <c r="T10" s="375"/>
      <c r="U10" s="375"/>
    </row>
    <row r="11" spans="2:25" ht="12.75">
      <c r="B11" s="373" t="s">
        <v>10</v>
      </c>
      <c r="C11" s="370"/>
      <c r="D11" s="312" t="s">
        <v>1065</v>
      </c>
      <c r="E11" s="27"/>
      <c r="F11" s="30"/>
      <c r="G11" s="12"/>
      <c r="H11" s="12"/>
      <c r="S11" s="368" t="s">
        <v>385</v>
      </c>
      <c r="T11" s="368"/>
      <c r="U11" s="368"/>
      <c r="W11" s="368" t="s">
        <v>386</v>
      </c>
      <c r="X11" s="368"/>
      <c r="Y11" s="368"/>
    </row>
    <row r="12" spans="2:25" ht="12.75">
      <c r="B12" s="28">
        <v>1210</v>
      </c>
      <c r="C12" s="29" t="s">
        <v>0</v>
      </c>
      <c r="D12" s="26">
        <v>14025</v>
      </c>
      <c r="E12" s="27">
        <v>0.01</v>
      </c>
      <c r="F12" s="30">
        <v>3500</v>
      </c>
      <c r="G12" s="34">
        <f>51900*0.24*(940-300)/B12</f>
        <v>6588.297520661157</v>
      </c>
      <c r="H12" s="34"/>
      <c r="I12" s="35" t="s">
        <v>28</v>
      </c>
      <c r="K12" t="s">
        <v>52</v>
      </c>
      <c r="R12" t="s">
        <v>387</v>
      </c>
      <c r="S12" s="64" t="s">
        <v>69</v>
      </c>
      <c r="T12" s="127" t="s">
        <v>70</v>
      </c>
      <c r="U12" s="127" t="s">
        <v>388</v>
      </c>
      <c r="W12" s="64" t="s">
        <v>69</v>
      </c>
      <c r="X12" s="127" t="s">
        <v>70</v>
      </c>
      <c r="Y12" s="127" t="s">
        <v>388</v>
      </c>
    </row>
    <row r="13" spans="2:25" ht="12.75">
      <c r="B13" s="28">
        <v>3515</v>
      </c>
      <c r="C13" s="29" t="s">
        <v>0</v>
      </c>
      <c r="D13" s="26">
        <v>12240</v>
      </c>
      <c r="E13" s="27">
        <v>0.0079</v>
      </c>
      <c r="F13" s="30">
        <v>1750</v>
      </c>
      <c r="G13" s="116">
        <f>147720*0.24*(820-300)/B13</f>
        <v>5244.795448079658</v>
      </c>
      <c r="H13" s="116"/>
      <c r="I13" s="35" t="s">
        <v>28</v>
      </c>
      <c r="K13" t="s">
        <v>46</v>
      </c>
      <c r="N13" s="2">
        <v>350000</v>
      </c>
      <c r="R13">
        <v>250</v>
      </c>
      <c r="S13" s="127">
        <v>330</v>
      </c>
      <c r="T13" s="127">
        <v>660</v>
      </c>
      <c r="U13" s="127">
        <f>+(S13+T13)/2</f>
        <v>495</v>
      </c>
      <c r="V13" s="6"/>
      <c r="W13" s="127">
        <v>460</v>
      </c>
      <c r="X13" s="127">
        <v>920</v>
      </c>
      <c r="Y13" s="127">
        <f>+(W13+X13)/2</f>
        <v>690</v>
      </c>
    </row>
    <row r="14" spans="2:25" ht="12.75">
      <c r="B14" s="28">
        <v>5500</v>
      </c>
      <c r="C14" s="29" t="s">
        <v>0</v>
      </c>
      <c r="D14" s="26">
        <v>11225</v>
      </c>
      <c r="E14" s="27">
        <v>0.0075</v>
      </c>
      <c r="F14" s="30">
        <v>1370</v>
      </c>
      <c r="G14" s="34">
        <f>173770*0.24*(940-300)/B14</f>
        <v>4852.922181818181</v>
      </c>
      <c r="H14" s="34"/>
      <c r="I14" s="35" t="s">
        <v>28</v>
      </c>
      <c r="K14" t="s">
        <v>47</v>
      </c>
      <c r="N14">
        <v>5</v>
      </c>
      <c r="O14" t="s">
        <v>16</v>
      </c>
      <c r="R14">
        <v>500</v>
      </c>
      <c r="S14" s="127">
        <v>220</v>
      </c>
      <c r="T14" s="127">
        <v>490</v>
      </c>
      <c r="U14" s="127">
        <f>+(S14+T14)/2</f>
        <v>355</v>
      </c>
      <c r="V14" s="6"/>
      <c r="W14" s="127">
        <v>310</v>
      </c>
      <c r="X14" s="127">
        <v>690</v>
      </c>
      <c r="Y14" s="127">
        <f>+(W14+X14)/2</f>
        <v>500</v>
      </c>
    </row>
    <row r="15" spans="2:25" ht="12.75">
      <c r="B15" s="28">
        <v>10690</v>
      </c>
      <c r="C15" s="29" t="s">
        <v>0</v>
      </c>
      <c r="D15" s="26">
        <v>10520</v>
      </c>
      <c r="E15" s="27">
        <v>0.0075</v>
      </c>
      <c r="F15" s="30">
        <v>1025</v>
      </c>
      <c r="G15" s="34">
        <f>331550*0.24*(940-300)/B15</f>
        <v>4763.8989710009355</v>
      </c>
      <c r="H15" s="34"/>
      <c r="I15" s="35" t="s">
        <v>28</v>
      </c>
      <c r="K15" t="s">
        <v>48</v>
      </c>
      <c r="N15" s="56">
        <v>0.96</v>
      </c>
      <c r="R15">
        <v>1000</v>
      </c>
      <c r="S15" s="127">
        <v>210</v>
      </c>
      <c r="T15" s="127">
        <v>390</v>
      </c>
      <c r="U15" s="127">
        <f>+(S15+T15)/2</f>
        <v>300</v>
      </c>
      <c r="V15" s="6"/>
      <c r="W15" s="127">
        <v>290</v>
      </c>
      <c r="X15" s="127">
        <v>550</v>
      </c>
      <c r="Y15" s="127">
        <f>+(W15+X15)/2</f>
        <v>420</v>
      </c>
    </row>
    <row r="16" spans="2:25" ht="12.75">
      <c r="B16" s="373" t="s">
        <v>9</v>
      </c>
      <c r="C16" s="370"/>
      <c r="D16" s="312" t="str">
        <f>+J95</f>
        <v>The Market and Technical Potential for Combined Heat and Power in the Commercial / Institutional Sector: Revision 1, Onsite Sycom Energy, January 2000, pp. 22-23, 24-25, and 26-27</v>
      </c>
      <c r="E16" s="27"/>
      <c r="F16" s="30"/>
      <c r="G16" s="12"/>
      <c r="H16" s="12"/>
      <c r="K16" s="39" t="s">
        <v>49</v>
      </c>
      <c r="L16" s="40"/>
      <c r="N16" s="41">
        <f>+N13/(N15*N14*8760*200)</f>
        <v>0.04161910197869102</v>
      </c>
      <c r="O16" s="42" t="s">
        <v>30</v>
      </c>
      <c r="S16" s="127">
        <v>200</v>
      </c>
      <c r="T16" s="127">
        <v>280</v>
      </c>
      <c r="U16" s="127">
        <f>+(S16+T16)/2</f>
        <v>240</v>
      </c>
      <c r="V16" s="6"/>
      <c r="W16" s="127">
        <v>280</v>
      </c>
      <c r="X16" s="127">
        <v>530</v>
      </c>
      <c r="Y16" s="127">
        <f>+(W16+X16)/2</f>
        <v>405</v>
      </c>
    </row>
    <row r="17" spans="2:21" ht="12.75">
      <c r="B17" s="28">
        <f>+O74</f>
        <v>100</v>
      </c>
      <c r="C17" s="29" t="s">
        <v>0</v>
      </c>
      <c r="D17" s="26">
        <f>+O89*L20/L19</f>
        <v>10980.701071080817</v>
      </c>
      <c r="E17" s="27">
        <f>+O88</f>
        <v>0.01589413847730873</v>
      </c>
      <c r="F17" s="30">
        <f>+O84</f>
        <v>1390</v>
      </c>
      <c r="G17" s="34">
        <f>+O93</f>
        <v>5683</v>
      </c>
      <c r="H17" s="34"/>
      <c r="I17" s="35" t="s">
        <v>28</v>
      </c>
      <c r="S17" s="36"/>
      <c r="T17" s="2"/>
      <c r="U17" s="2"/>
    </row>
    <row r="18" spans="2:21" ht="12.75">
      <c r="B18" s="28">
        <f>+P74</f>
        <v>800</v>
      </c>
      <c r="C18" s="29" t="s">
        <v>0</v>
      </c>
      <c r="D18" s="26">
        <f>+P89*L20/L19</f>
        <v>10006.32911392405</v>
      </c>
      <c r="E18" s="27">
        <f>+P88</f>
        <v>0.010321498462398658</v>
      </c>
      <c r="F18" s="30">
        <f>+P84</f>
        <v>975</v>
      </c>
      <c r="G18" s="34">
        <f>+P93</f>
        <v>4323</v>
      </c>
      <c r="H18" s="34"/>
      <c r="I18" s="35" t="s">
        <v>28</v>
      </c>
      <c r="K18" t="s">
        <v>905</v>
      </c>
      <c r="S18" s="36"/>
      <c r="T18" s="2"/>
      <c r="U18" s="2"/>
    </row>
    <row r="19" spans="2:21" ht="12.75">
      <c r="B19" s="28">
        <f>+Q74</f>
        <v>3000</v>
      </c>
      <c r="C19" s="29" t="s">
        <v>0</v>
      </c>
      <c r="D19" s="26">
        <f>+Q89*L20/L19</f>
        <v>9198.578383641674</v>
      </c>
      <c r="E19" s="27">
        <f>+Q88</f>
        <v>0.010018637592023111</v>
      </c>
      <c r="F19" s="30">
        <f>+Q84</f>
        <v>850</v>
      </c>
      <c r="G19" s="34">
        <f>+Q93</f>
        <v>2909</v>
      </c>
      <c r="H19" s="34"/>
      <c r="I19" s="35" t="s">
        <v>28</v>
      </c>
      <c r="K19" t="s">
        <v>906</v>
      </c>
      <c r="L19">
        <v>1027</v>
      </c>
      <c r="S19" s="36"/>
      <c r="T19" s="2"/>
      <c r="U19" s="2"/>
    </row>
    <row r="20" spans="2:24" ht="12.75">
      <c r="B20" s="373" t="s">
        <v>43</v>
      </c>
      <c r="C20" s="370"/>
      <c r="D20" s="312" t="str">
        <f>+J95</f>
        <v>The Market and Technical Potential for Combined Heat and Power in the Commercial / Institutional Sector: Revision 1, Onsite Sycom Energy, January 2000, pp. 22-23, 24-25, and 26-27</v>
      </c>
      <c r="E20" s="27"/>
      <c r="F20" s="30"/>
      <c r="G20" s="12"/>
      <c r="H20" s="12"/>
      <c r="K20" t="s">
        <v>907</v>
      </c>
      <c r="L20">
        <v>930</v>
      </c>
      <c r="S20" s="36"/>
      <c r="T20" s="2"/>
      <c r="U20" s="2"/>
      <c r="W20" t="s">
        <v>389</v>
      </c>
      <c r="X20" s="2"/>
    </row>
    <row r="21" spans="2:24" ht="12.75">
      <c r="B21" s="28">
        <v>30</v>
      </c>
      <c r="C21" s="29" t="s">
        <v>0</v>
      </c>
      <c r="D21" s="26">
        <f>+S89*L20/L19</f>
        <v>12049.25024342746</v>
      </c>
      <c r="E21" s="27">
        <f>+S88</f>
        <v>0.01090299133351971</v>
      </c>
      <c r="F21" s="30">
        <f>+S84</f>
        <v>1870</v>
      </c>
      <c r="G21" s="34">
        <f>+S93</f>
        <v>4498</v>
      </c>
      <c r="H21" s="34"/>
      <c r="I21" s="35" t="s">
        <v>28</v>
      </c>
      <c r="S21" s="64" t="s">
        <v>390</v>
      </c>
      <c r="T21" s="127" t="s">
        <v>17</v>
      </c>
      <c r="U21" s="2" t="s">
        <v>27</v>
      </c>
      <c r="W21">
        <v>100</v>
      </c>
      <c r="X21" s="2">
        <v>285</v>
      </c>
    </row>
    <row r="22" spans="2:24" ht="12.75">
      <c r="B22" s="28">
        <v>60</v>
      </c>
      <c r="C22" s="29" t="s">
        <v>0</v>
      </c>
      <c r="D22" s="26">
        <f>+D21</f>
        <v>12049.25024342746</v>
      </c>
      <c r="E22" s="27">
        <f>+E21</f>
        <v>0.01090299133351971</v>
      </c>
      <c r="F22" s="30">
        <f>+F21</f>
        <v>1870</v>
      </c>
      <c r="G22" s="34">
        <f>+G21</f>
        <v>4498</v>
      </c>
      <c r="H22" s="34"/>
      <c r="I22" s="35" t="s">
        <v>28</v>
      </c>
      <c r="R22" s="128" t="s">
        <v>391</v>
      </c>
      <c r="S22" s="64" t="s">
        <v>392</v>
      </c>
      <c r="T22" s="127" t="s">
        <v>18</v>
      </c>
      <c r="U22" s="127" t="s">
        <v>68</v>
      </c>
      <c r="V22" s="6"/>
      <c r="W22">
        <v>500</v>
      </c>
      <c r="X22" s="2">
        <v>210</v>
      </c>
    </row>
    <row r="23" spans="2:24" ht="12.75">
      <c r="B23" s="28">
        <v>200</v>
      </c>
      <c r="C23" s="29" t="s">
        <v>0</v>
      </c>
      <c r="D23" s="26">
        <f>+D22</f>
        <v>12049.25024342746</v>
      </c>
      <c r="E23" s="27">
        <f>+E21</f>
        <v>0.01090299133351971</v>
      </c>
      <c r="F23" s="30">
        <f>+F21</f>
        <v>1870</v>
      </c>
      <c r="G23" s="34">
        <f>+G22</f>
        <v>4498</v>
      </c>
      <c r="H23" s="34"/>
      <c r="I23" s="35" t="s">
        <v>28</v>
      </c>
      <c r="R23" t="s">
        <v>393</v>
      </c>
      <c r="S23" s="129">
        <v>750</v>
      </c>
      <c r="T23" s="130">
        <v>434500</v>
      </c>
      <c r="U23" s="130">
        <f>+T23/S23</f>
        <v>579.3333333333334</v>
      </c>
      <c r="V23" s="131"/>
      <c r="W23">
        <v>1000</v>
      </c>
      <c r="X23" s="2">
        <v>195</v>
      </c>
    </row>
    <row r="24" spans="2:24" ht="12.75">
      <c r="B24" s="373" t="s">
        <v>45</v>
      </c>
      <c r="C24" s="370"/>
      <c r="D24" s="312" t="s">
        <v>1066</v>
      </c>
      <c r="E24" s="27"/>
      <c r="F24" s="30"/>
      <c r="G24" s="12"/>
      <c r="H24" s="12"/>
      <c r="R24" t="s">
        <v>394</v>
      </c>
      <c r="S24" s="129">
        <v>955</v>
      </c>
      <c r="T24" s="130">
        <v>506500</v>
      </c>
      <c r="U24" s="130">
        <f>+T24/S24</f>
        <v>530.3664921465969</v>
      </c>
      <c r="V24" s="36"/>
      <c r="W24">
        <v>1500</v>
      </c>
      <c r="X24" s="2">
        <v>195</v>
      </c>
    </row>
    <row r="25" spans="2:24" ht="12.75">
      <c r="B25" s="28">
        <v>100</v>
      </c>
      <c r="C25" s="29" t="s">
        <v>0</v>
      </c>
      <c r="D25" s="26">
        <f>+D26</f>
        <v>8532.5</v>
      </c>
      <c r="E25" s="27">
        <f>+E26</f>
        <v>0.05661910197869102</v>
      </c>
      <c r="F25" s="30">
        <f>+F26</f>
        <v>3500</v>
      </c>
      <c r="G25" s="34">
        <f>+G26</f>
        <v>2250</v>
      </c>
      <c r="H25" s="34"/>
      <c r="I25" s="35" t="s">
        <v>28</v>
      </c>
      <c r="S25" s="129">
        <v>1465</v>
      </c>
      <c r="T25" s="130">
        <v>713000</v>
      </c>
      <c r="U25" s="130">
        <f>+T25/S25</f>
        <v>486.68941979522185</v>
      </c>
      <c r="V25" s="36"/>
      <c r="W25" s="7"/>
      <c r="X25" s="4"/>
    </row>
    <row r="26" spans="2:24" ht="12.75">
      <c r="B26" s="28">
        <v>200</v>
      </c>
      <c r="C26" s="29" t="s">
        <v>0</v>
      </c>
      <c r="D26" s="26">
        <f>3413/0.4</f>
        <v>8532.5</v>
      </c>
      <c r="E26" s="27">
        <f>0.015+N16</f>
        <v>0.05661910197869102</v>
      </c>
      <c r="F26" s="30">
        <v>3500</v>
      </c>
      <c r="G26" s="34">
        <f>450000/B26</f>
        <v>2250</v>
      </c>
      <c r="H26" s="34"/>
      <c r="I26" s="35" t="s">
        <v>28</v>
      </c>
      <c r="S26" s="129">
        <v>1660</v>
      </c>
      <c r="T26" s="130">
        <v>848000</v>
      </c>
      <c r="U26" s="130">
        <f>+T26/S26</f>
        <v>510.8433734939759</v>
      </c>
      <c r="V26" s="36"/>
      <c r="W26" s="7"/>
      <c r="X26" s="4"/>
    </row>
    <row r="27" spans="2:25" ht="12.75">
      <c r="B27" s="28">
        <v>500</v>
      </c>
      <c r="C27" s="29" t="s">
        <v>0</v>
      </c>
      <c r="D27" s="26">
        <f>+D26</f>
        <v>8532.5</v>
      </c>
      <c r="E27" s="27">
        <f>+E26</f>
        <v>0.05661910197869102</v>
      </c>
      <c r="F27" s="30">
        <f>+F26</f>
        <v>3500</v>
      </c>
      <c r="G27" s="34">
        <f>+G26</f>
        <v>2250</v>
      </c>
      <c r="H27" s="34"/>
      <c r="I27" s="35" t="s">
        <v>28</v>
      </c>
      <c r="S27" s="36"/>
      <c r="T27" s="2"/>
      <c r="U27" s="2"/>
      <c r="V27" s="36"/>
      <c r="W27" t="s">
        <v>395</v>
      </c>
      <c r="X27" s="2"/>
      <c r="Y27" s="2"/>
    </row>
    <row r="28" spans="2:25" ht="12.75">
      <c r="B28" t="s">
        <v>1064</v>
      </c>
      <c r="S28" s="36"/>
      <c r="T28" s="2"/>
      <c r="U28" s="2"/>
      <c r="V28" s="36"/>
      <c r="W28">
        <v>100</v>
      </c>
      <c r="X28" s="2">
        <v>550</v>
      </c>
      <c r="Y28" s="2"/>
    </row>
    <row r="29" spans="2:25" ht="12.75">
      <c r="B29" s="28"/>
      <c r="C29" s="29"/>
      <c r="D29" s="26"/>
      <c r="E29" s="27"/>
      <c r="F29" s="30"/>
      <c r="G29" s="12"/>
      <c r="H29" s="12"/>
      <c r="R29" s="128" t="s">
        <v>396</v>
      </c>
      <c r="S29" s="36"/>
      <c r="T29" s="2"/>
      <c r="U29" s="2"/>
      <c r="V29" s="36"/>
      <c r="W29">
        <v>200</v>
      </c>
      <c r="X29" s="2">
        <v>550</v>
      </c>
      <c r="Y29" s="2"/>
    </row>
    <row r="30" spans="2:25" ht="12.75">
      <c r="B30" s="377" t="s">
        <v>39</v>
      </c>
      <c r="C30" s="378"/>
      <c r="D30" s="372" t="s">
        <v>31</v>
      </c>
      <c r="E30" s="372" t="s">
        <v>44</v>
      </c>
      <c r="F30" s="372" t="s">
        <v>32</v>
      </c>
      <c r="G30" s="372" t="s">
        <v>45</v>
      </c>
      <c r="H30" s="238"/>
      <c r="R30" t="s">
        <v>397</v>
      </c>
      <c r="S30" s="36"/>
      <c r="T30" s="2"/>
      <c r="U30" s="2"/>
      <c r="V30" s="36"/>
      <c r="W30">
        <v>500</v>
      </c>
      <c r="X30" s="2">
        <v>500</v>
      </c>
      <c r="Y30" s="2">
        <v>475</v>
      </c>
    </row>
    <row r="31" spans="2:25" ht="12.75">
      <c r="B31" s="378"/>
      <c r="C31" s="378"/>
      <c r="D31" s="371"/>
      <c r="E31" s="371"/>
      <c r="F31" s="371"/>
      <c r="G31" s="371"/>
      <c r="H31" s="237"/>
      <c r="R31" t="s">
        <v>398</v>
      </c>
      <c r="S31" s="36"/>
      <c r="T31" s="2"/>
      <c r="U31" s="130">
        <v>500</v>
      </c>
      <c r="V31" s="36"/>
      <c r="W31">
        <v>1000</v>
      </c>
      <c r="X31" s="2">
        <v>450</v>
      </c>
      <c r="Y31" s="2">
        <v>425</v>
      </c>
    </row>
    <row r="32" spans="2:25" ht="12.75">
      <c r="B32" s="370" t="s">
        <v>25</v>
      </c>
      <c r="C32" s="371"/>
      <c r="D32" s="39">
        <f>IF(ISNUMBER(D2),IF(D2&lt;=B12,D12,IF(D2&lt;=B13,D12+(D2-B12)/(B13-B12)*(D13-D12),IF(D2&lt;=B14,D13+(D2-B13)/(B14-B13)*(D14-D13),IF(D2&gt;=B15,D15,D14+(D2-B14)/(B15-B14)*(D15-D14))))),"")</f>
        <v>11378.400503778337</v>
      </c>
      <c r="E32" s="36">
        <f>IF(ISNUMBER(D2),IF(D2&lt;=B21,D21,IF(D2&lt;=B22,D21+(D2-B21)/(B22-B21)*(D22-D21),IF(D2&gt;=B23,D23,D22+(D2-D22)/(B23-B22)*(D23-D22)))),"")</f>
        <v>12049.25024342746</v>
      </c>
      <c r="F32" s="20">
        <f>IF(ISNUMBER(D2),IF(D2&lt;=B17,D17,IF(D2&lt;=B18,+D17+(D2-B17)/(B18-B17)*(D18-D17),IF(D2&gt;=B19,D19,D18+(D2-B18)/(B19-B18)*(D19-D18)))),"")</f>
        <v>9198.578383641674</v>
      </c>
      <c r="G32" s="36">
        <f>IF(ISNUMBER(D2),IF(D2&lt;=B25,D25,IF(D2&lt;=B26,+D25+(D2-B25)/(B26-B25)*(D26-D25),IF(D2&gt;=B27,D27,D26+(D2-B26)/(B27-B26)*(D27-D26)))),"")</f>
        <v>8532.5</v>
      </c>
      <c r="H32" s="36"/>
      <c r="I32" s="17" t="s">
        <v>28</v>
      </c>
      <c r="R32" t="s">
        <v>399</v>
      </c>
      <c r="S32" s="36"/>
      <c r="T32" s="2"/>
      <c r="U32" s="130">
        <v>700</v>
      </c>
      <c r="V32" s="36"/>
      <c r="W32">
        <v>1500</v>
      </c>
      <c r="X32" s="2">
        <v>450</v>
      </c>
      <c r="Y32" s="2">
        <v>425</v>
      </c>
    </row>
    <row r="33" spans="2:22" ht="12.75">
      <c r="B33" s="370" t="s">
        <v>27</v>
      </c>
      <c r="C33" s="371"/>
      <c r="D33" s="65">
        <f>IF(ISNUMBER(D2),IF(D2&lt;=B12,F12,IF(D2&lt;=B13,+F12+(D2-B12)/(B13-B12)*(F13-F12),IF(D2&lt;=B14,F13+(D2-B13)/(B14-B13)*(F14-F13),IF(D2&gt;=B15,F15,F14+(D2-B14)/(B15-B14)*(F15-F14))))),"")</f>
        <v>1427.4307304785893</v>
      </c>
      <c r="E33" s="37">
        <f>IF(ISNUMBER(D2),IF(D2&lt;=B21,F21,IF(D2&lt;=B22,+F21+(D2-B21)/(B22-B21)*(F22-F21),IF(D2&gt;=B23,F23,F22+(D2-B22)/(B23-B22)*(F23-F22)))),"")</f>
        <v>1870</v>
      </c>
      <c r="F33" s="21">
        <f>IF(ISNUMBER(D2),IF(D2&lt;=B17,F17,IF(D2&lt;=B18,F17+(D2-B17)/(B18-B17)*(F18-F17),IF(D2&gt;=B19,F19,F18+(D2-B18)/(B19-B18)*(F19-F18)))),"")</f>
        <v>850</v>
      </c>
      <c r="G33" s="2">
        <f>IF(ISNUMBER(D2),IF(D2&lt;=B25,F25,IF(D2&lt;=B26,F25+(D2-B25)/(B26-B25)*(F26-F25),IF(D2&gt;=B27,F27,F26+(D2-B26)/(B27-B26)*(F27-F26)))),"")</f>
        <v>3500</v>
      </c>
      <c r="H33" s="2"/>
      <c r="I33" s="33" t="s">
        <v>29</v>
      </c>
      <c r="R33" t="s">
        <v>400</v>
      </c>
      <c r="S33" s="36"/>
      <c r="T33" s="2"/>
      <c r="U33" s="130" t="s">
        <v>401</v>
      </c>
      <c r="V33" s="36"/>
    </row>
    <row r="34" spans="2:24" ht="12.75">
      <c r="B34" s="370" t="s">
        <v>26</v>
      </c>
      <c r="C34" s="371"/>
      <c r="D34" s="66">
        <f>IF(ISNUMBER(D2),IF(D2&lt;=B12,E12,IF(D2&lt;=B13,E12+(D2-B12)/(B13-B12)*(E13-E12),IF(D2&lt;=B14,E13+(D2-B13)/(B14-B13)*(E14-E13),IF(D2&gt;=B15,E15,E14+(D2-B14)/(B15-B14)*(E15-E14))))),"")</f>
        <v>0.0075604534005037785</v>
      </c>
      <c r="E34" s="7">
        <f>IF(ISNUMBER(D2),IF(D2&lt;=B21,E21,IF(D2&lt;=B22,E21+(D2-B21)/(B22-B21)*(E22-E21),IF(D2&gt;=B23,E23,E22+(D2-B22)/(B23-B22)*(E23-E22)))),"")</f>
        <v>0.01090299133351971</v>
      </c>
      <c r="F34" s="22">
        <f>IF(ISNUMBER(D2),IF(D2&lt;=B17,E17,IF(D2&lt;=B18,E17+(D2-B17)/(B18-B17)*(E18-E17),IF(D2&gt;=B19,E19,E18+(D2-B18)/(B19-B18)*(E19-E18)))),"")</f>
        <v>0.010018637592023111</v>
      </c>
      <c r="G34" s="7">
        <f>IF(ISNUMBER(D2),IF(D2&lt;=B25,E25,IF(D2&lt;=B26,E25+(D2-B25)/(B26-B25)*(E26-E25),IF(D2&gt;=B27,E27,E26+(D2-B26)/(B27-B26)*(E27-E26)))),"")</f>
        <v>0.05661910197869102</v>
      </c>
      <c r="H34" s="7"/>
      <c r="I34" s="33" t="s">
        <v>30</v>
      </c>
      <c r="S34" s="36"/>
      <c r="T34" s="2"/>
      <c r="U34" s="2"/>
      <c r="V34" s="36"/>
      <c r="W34" t="s">
        <v>400</v>
      </c>
      <c r="X34" s="2"/>
    </row>
    <row r="35" spans="2:24" ht="12.75">
      <c r="B35" s="370" t="s">
        <v>37</v>
      </c>
      <c r="C35" s="371"/>
      <c r="D35" s="17">
        <v>2</v>
      </c>
      <c r="E35">
        <v>2</v>
      </c>
      <c r="F35" s="17">
        <v>3</v>
      </c>
      <c r="G35">
        <v>2</v>
      </c>
      <c r="I35" s="17" t="s">
        <v>38</v>
      </c>
      <c r="R35" s="369" t="s">
        <v>402</v>
      </c>
      <c r="S35" s="36"/>
      <c r="T35" s="2"/>
      <c r="U35" s="2"/>
      <c r="V35" s="36"/>
      <c r="W35">
        <v>200</v>
      </c>
      <c r="X35" s="2">
        <v>450</v>
      </c>
    </row>
    <row r="36" spans="2:24" ht="12.75">
      <c r="B36" s="39" t="s">
        <v>50</v>
      </c>
      <c r="C36" s="29"/>
      <c r="D36" s="43">
        <f>IF(ISNUMBER(D2),IF(D2&lt;=B12,G12,IF(D2&lt;=B13,G12+(D2-B12)/(B13-B12)*(G13-G12),IF(D2&lt;=B14,G13+(D2-B13)/(B14-B13)*(G14-G13),IF(D2&gt;=B15,G15,G14+(D2-B14)/(B15-B14)*(G15-G14))))),"")</f>
        <v>4912.147360598254</v>
      </c>
      <c r="E36" s="43">
        <f>IF(ISNUMBER(D2),IF(D2&lt;=B21,G21,IF(D2&lt;=B22,G21+(D2-B21)/(B22-B21)*(G22-G21),IF(D2&gt;=B23,G23,G22+(D2-G22)/(B23-B22)*(G23-G22)))),"")</f>
        <v>4498</v>
      </c>
      <c r="F36" s="43">
        <f>IF(ISNUMBER(D2),IF(D2&lt;=B17,G17,IF(D2&lt;=B18,+G17+(D2-B17)/(B18-B17)*(G18-G17),IF(D2&gt;=B19,G19,G18+(D2-B18)/(B19-B18)*(G19-G18)))),"")</f>
        <v>2909</v>
      </c>
      <c r="G36" s="16">
        <f>IF(ISNUMBER(D2),IF(D2&lt;=B25,G25,IF(D2&lt;=B26,+G25+(D2-B25)/(B26-B25)*(G26-G25),IF(D2&gt;=B27,G27,G26+(D2-B26)/(B27-B26)*(G27-G26)))),"")</f>
        <v>2250</v>
      </c>
      <c r="H36" s="16"/>
      <c r="I36" s="17" t="s">
        <v>28</v>
      </c>
      <c r="R36" s="369"/>
      <c r="S36" s="36"/>
      <c r="T36" s="2"/>
      <c r="U36" s="2"/>
      <c r="W36">
        <v>300</v>
      </c>
      <c r="X36" s="2">
        <v>330</v>
      </c>
    </row>
    <row r="37" spans="2:24" ht="12.75">
      <c r="B37" s="39" t="s">
        <v>74</v>
      </c>
      <c r="C37" s="29"/>
      <c r="D37" s="67">
        <v>0.62</v>
      </c>
      <c r="E37" s="67">
        <v>0.67</v>
      </c>
      <c r="F37" s="67">
        <v>0.52</v>
      </c>
      <c r="G37" s="68">
        <v>0.5</v>
      </c>
      <c r="H37" s="68"/>
      <c r="I37" s="17"/>
      <c r="R37" s="319" t="s">
        <v>403</v>
      </c>
      <c r="S37" s="36"/>
      <c r="T37" s="2"/>
      <c r="U37" s="2"/>
      <c r="W37">
        <v>350</v>
      </c>
      <c r="X37" s="2">
        <v>308</v>
      </c>
    </row>
    <row r="38" spans="2:24" ht="12.75">
      <c r="B38" t="s">
        <v>75</v>
      </c>
      <c r="D38" s="45">
        <v>0.05</v>
      </c>
      <c r="E38" s="45">
        <f>+D38</f>
        <v>0.05</v>
      </c>
      <c r="F38" s="45">
        <f>+D38</f>
        <v>0.05</v>
      </c>
      <c r="G38" s="45">
        <f>+D38</f>
        <v>0.05</v>
      </c>
      <c r="H38" s="45"/>
      <c r="I38" s="12"/>
      <c r="R38" s="319"/>
      <c r="S38" s="36"/>
      <c r="T38" s="2"/>
      <c r="U38" s="2"/>
      <c r="W38">
        <v>500</v>
      </c>
      <c r="X38" s="2">
        <v>325</v>
      </c>
    </row>
    <row r="39" spans="2:24" ht="12.75">
      <c r="B39" s="14" t="s">
        <v>33</v>
      </c>
      <c r="C39" s="12"/>
      <c r="D39" s="13"/>
      <c r="E39" s="19"/>
      <c r="F39" s="12"/>
      <c r="G39" s="12"/>
      <c r="H39" s="12"/>
      <c r="I39" s="12"/>
      <c r="R39" t="s">
        <v>404</v>
      </c>
      <c r="S39" s="36">
        <v>200</v>
      </c>
      <c r="T39" s="2">
        <f>346*S39</f>
        <v>69200</v>
      </c>
      <c r="U39" s="2">
        <f>+T39/S39</f>
        <v>346</v>
      </c>
      <c r="W39">
        <v>600</v>
      </c>
      <c r="X39" s="2">
        <v>310</v>
      </c>
    </row>
    <row r="40" spans="2:24" ht="12.75">
      <c r="B40" s="18" t="s">
        <v>4</v>
      </c>
      <c r="F40" s="24">
        <f>IF(ISBLANK(D3),"",IF(UPPER(D3)="IC",F32,IF(UPPER(D3)="GT",D32,IF(UPPER(D3)="MT",E32,IF(UPPER(D3)="FC",G32,"prime mover not recognized")))))</f>
        <v>11378.400503778337</v>
      </c>
      <c r="G40" s="13" t="s">
        <v>5</v>
      </c>
      <c r="H40" s="13"/>
      <c r="I40" s="12"/>
      <c r="R40" t="s">
        <v>405</v>
      </c>
      <c r="S40" s="36">
        <v>200</v>
      </c>
      <c r="T40" s="2">
        <f>595*S40</f>
        <v>119000</v>
      </c>
      <c r="U40" s="2">
        <f>+T40/S40</f>
        <v>595</v>
      </c>
      <c r="W40">
        <v>700</v>
      </c>
      <c r="X40" s="2">
        <v>300</v>
      </c>
    </row>
    <row r="41" spans="2:24" ht="12.75">
      <c r="B41" s="18" t="s">
        <v>6</v>
      </c>
      <c r="F41" s="31">
        <f>IF(ISBLANK(D3),"",IF(UPPER(D3)="IC",F34,IF(UPPER(D3)="GT",D34,IF(UPPER(D3)="MT",E34,IF(UPPER(D3)="FC",G34,"prime mover not recognized")))))</f>
        <v>0.0075604534005037785</v>
      </c>
      <c r="G41" s="15" t="s">
        <v>2</v>
      </c>
      <c r="H41" s="15"/>
      <c r="I41" s="12"/>
      <c r="R41" t="s">
        <v>405</v>
      </c>
      <c r="S41" s="36">
        <v>60</v>
      </c>
      <c r="T41" s="2">
        <f>1100*S41</f>
        <v>66000</v>
      </c>
      <c r="U41" s="2">
        <f>+T41/S41</f>
        <v>1100</v>
      </c>
      <c r="W41">
        <v>800</v>
      </c>
      <c r="X41" s="2">
        <v>278</v>
      </c>
    </row>
    <row r="42" spans="2:24" ht="12.75">
      <c r="B42" s="18" t="s">
        <v>20</v>
      </c>
      <c r="F42" s="23">
        <f>IF(ISBLANK(D3),"",IF(UPPER(D3)="IC",F33/1,IF(UPPER(D3)="GT",D33/1,IF(UPPER(D3)="MT",E33/1,IF(UPPER(D3)="FC",G33/1,"prime mover not recognized")))))</f>
        <v>1427.4307304785893</v>
      </c>
      <c r="G42" s="15" t="s">
        <v>7</v>
      </c>
      <c r="H42" s="15"/>
      <c r="I42" s="12"/>
      <c r="S42" s="36"/>
      <c r="T42" s="2"/>
      <c r="U42" s="2"/>
      <c r="W42">
        <v>900</v>
      </c>
      <c r="X42" s="2">
        <v>278</v>
      </c>
    </row>
    <row r="43" spans="2:24" ht="12.75">
      <c r="B43" s="18" t="s">
        <v>34</v>
      </c>
      <c r="F43" s="13">
        <f>IF(ISBLANK(D3),"",IF(UPPER(D3)="IC",F35,IF(UPPER(D3)="GT",D35,IF(UPPER(D3)="MT",E35,IF(UPPER(D3)="FC",G35,"prime mover not recognized")))))</f>
        <v>2</v>
      </c>
      <c r="G43" s="13" t="s">
        <v>35</v>
      </c>
      <c r="H43" s="13"/>
      <c r="I43" s="12"/>
      <c r="S43" s="36"/>
      <c r="T43" s="2"/>
      <c r="U43" s="2"/>
      <c r="W43">
        <v>1000</v>
      </c>
      <c r="X43" s="2">
        <v>350</v>
      </c>
    </row>
    <row r="44" spans="2:9" ht="12.75">
      <c r="B44" s="18" t="s">
        <v>53</v>
      </c>
      <c r="F44" s="16">
        <f>IF(ISBLANK(D3),"",IF(UPPER(D3)="IC",F36,IF(UPPER(D3)="GT",D36,IF(UPPER(D3)="MT",E36,IF(UPPER(D3)="FC",G36,"prime mover not recognized")))))</f>
        <v>4912.147360598254</v>
      </c>
      <c r="G44" s="13" t="s">
        <v>28</v>
      </c>
      <c r="H44" s="13"/>
      <c r="I44" s="12"/>
    </row>
    <row r="45" spans="6:23" ht="12.75">
      <c r="F45" s="16">
        <f>+F44*Data!G7</f>
        <v>25543166.27511092</v>
      </c>
      <c r="G45" s="12" t="s">
        <v>414</v>
      </c>
      <c r="H45" s="12"/>
      <c r="I45" s="12"/>
      <c r="W45" s="2" t="s">
        <v>406</v>
      </c>
    </row>
    <row r="46" spans="2:23" ht="12.75">
      <c r="B46" s="18" t="s">
        <v>146</v>
      </c>
      <c r="F46" s="16">
        <f>F45*Data!S15/12000</f>
        <v>2554.316627511092</v>
      </c>
      <c r="G46" s="12" t="s">
        <v>415</v>
      </c>
      <c r="H46" s="12"/>
      <c r="I46" s="12"/>
      <c r="W46" s="2" t="s">
        <v>407</v>
      </c>
    </row>
    <row r="47" spans="2:23" ht="12.75">
      <c r="B47" s="18" t="s">
        <v>8</v>
      </c>
      <c r="F47" s="46">
        <f>IF(ISBLANK(D3),"",IF(UPPER(D3)="IC",F37,IF(UPPER(D3)="GT",D37,IF(UPPER(D3)="MT",E37,IF(UPPER(D3)="FC",G37,"prime mover not recognized")))))</f>
        <v>0.62</v>
      </c>
      <c r="G47" s="12"/>
      <c r="H47" s="12"/>
      <c r="I47" s="12"/>
      <c r="W47" s="2" t="s">
        <v>408</v>
      </c>
    </row>
    <row r="48" spans="2:9" ht="12.75">
      <c r="B48" s="18" t="s">
        <v>366</v>
      </c>
      <c r="F48" s="12">
        <f>IF(ISBLANK(D3),"",IF(UPPER(D3)="IC",F38,IF(UPPER(D3)="GT",D38,IF(UPPER(D3)="MT",E38,IF(UPPER(D3)="FC",G38,"prime mover not recognized")))))</f>
        <v>0.05</v>
      </c>
      <c r="I48" s="12"/>
    </row>
    <row r="49" spans="2:22" ht="12.75">
      <c r="B49" s="14" t="s">
        <v>419</v>
      </c>
      <c r="F49" s="12"/>
      <c r="G49" s="12"/>
      <c r="H49" s="12"/>
      <c r="I49" s="12"/>
      <c r="V49" s="124"/>
    </row>
    <row r="50" spans="2:9" ht="12.75">
      <c r="B50" s="18" t="s">
        <v>1068</v>
      </c>
      <c r="F50" s="2">
        <f>+F42</f>
        <v>1427.4307304785893</v>
      </c>
      <c r="G50" s="63" t="s">
        <v>29</v>
      </c>
      <c r="H50" s="63"/>
      <c r="I50" s="12"/>
    </row>
    <row r="51" spans="2:10" ht="12.75">
      <c r="B51" s="18" t="s">
        <v>55</v>
      </c>
      <c r="F51" s="11">
        <f>+gCOP*F44/12000*I51</f>
        <v>206.31018914512666</v>
      </c>
      <c r="G51" s="19" t="s">
        <v>29</v>
      </c>
      <c r="H51" s="19"/>
      <c r="I51" s="2">
        <v>420</v>
      </c>
      <c r="J51" s="19" t="s">
        <v>66</v>
      </c>
    </row>
    <row r="52" spans="2:9" ht="12.75">
      <c r="B52" s="18" t="s">
        <v>56</v>
      </c>
      <c r="F52" s="11">
        <f>+F50+F51</f>
        <v>1633.740919623716</v>
      </c>
      <c r="G52" s="19" t="s">
        <v>29</v>
      </c>
      <c r="H52" s="19"/>
      <c r="I52" s="12"/>
    </row>
    <row r="53" spans="4:9" ht="12.75">
      <c r="D53" s="12"/>
      <c r="E53" s="12"/>
      <c r="F53" s="12"/>
      <c r="G53" s="12"/>
      <c r="H53" s="12"/>
      <c r="I53" s="12"/>
    </row>
    <row r="54" spans="2:9" ht="12.75">
      <c r="B54" s="18" t="s">
        <v>71</v>
      </c>
      <c r="D54" s="12"/>
      <c r="E54" s="12"/>
      <c r="F54" s="12"/>
      <c r="G54" s="12"/>
      <c r="H54" s="12"/>
      <c r="I54" s="12"/>
    </row>
    <row r="55" spans="3:9" ht="12.75">
      <c r="C55" t="s">
        <v>72</v>
      </c>
      <c r="D55" s="12" t="s">
        <v>73</v>
      </c>
      <c r="E55" s="12"/>
      <c r="F55" s="12"/>
      <c r="G55" s="12"/>
      <c r="H55" s="12"/>
      <c r="I55" s="12"/>
    </row>
    <row r="56" spans="2:9" ht="12.75">
      <c r="B56" s="18" t="s">
        <v>57</v>
      </c>
      <c r="C56" s="6" t="s">
        <v>68</v>
      </c>
      <c r="D56" s="6" t="s">
        <v>68</v>
      </c>
      <c r="E56" s="12"/>
      <c r="F56" s="12"/>
      <c r="G56" s="12"/>
      <c r="H56" s="12"/>
      <c r="I56" s="12"/>
    </row>
    <row r="57" spans="2:9" ht="12.75">
      <c r="B57">
        <v>0</v>
      </c>
      <c r="C57" s="2">
        <f>+C58</f>
        <v>495</v>
      </c>
      <c r="D57" s="2">
        <f>+D58</f>
        <v>690</v>
      </c>
      <c r="E57" s="12"/>
      <c r="F57" s="12"/>
      <c r="G57" s="12"/>
      <c r="H57" s="12"/>
      <c r="I57" s="12"/>
    </row>
    <row r="58" spans="2:9" ht="12.75">
      <c r="B58" s="36">
        <f>+R13</f>
        <v>250</v>
      </c>
      <c r="C58" s="2">
        <f>+U13</f>
        <v>495</v>
      </c>
      <c r="D58" s="11">
        <f>+Y13</f>
        <v>690</v>
      </c>
      <c r="E58" s="12"/>
      <c r="F58" s="12"/>
      <c r="G58" s="12"/>
      <c r="H58" s="12"/>
      <c r="I58" s="12"/>
    </row>
    <row r="59" spans="2:9" ht="12.75">
      <c r="B59" s="36">
        <f>+R14</f>
        <v>500</v>
      </c>
      <c r="C59" s="2">
        <f>+U14</f>
        <v>355</v>
      </c>
      <c r="D59" s="11">
        <f>+Y14</f>
        <v>500</v>
      </c>
      <c r="E59" s="12"/>
      <c r="F59" s="12"/>
      <c r="G59" s="12"/>
      <c r="H59" s="12"/>
      <c r="I59" s="12"/>
    </row>
    <row r="60" spans="2:9" ht="12.75">
      <c r="B60" s="36">
        <f>+R15</f>
        <v>1000</v>
      </c>
      <c r="C60" s="2">
        <f>+U15</f>
        <v>300</v>
      </c>
      <c r="D60" s="11">
        <f>+Y15</f>
        <v>420</v>
      </c>
      <c r="E60" s="12"/>
      <c r="F60" s="12"/>
      <c r="G60" s="12"/>
      <c r="H60" s="12"/>
      <c r="I60" s="12"/>
    </row>
    <row r="61" spans="2:9" ht="12.75">
      <c r="B61" s="36">
        <f>+R16</f>
        <v>0</v>
      </c>
      <c r="C61" s="2">
        <f>+U16</f>
        <v>240</v>
      </c>
      <c r="D61" s="11">
        <f>+Y16</f>
        <v>405</v>
      </c>
      <c r="E61" s="12"/>
      <c r="F61" s="12"/>
      <c r="G61" s="12"/>
      <c r="H61" s="12"/>
      <c r="I61" s="12"/>
    </row>
    <row r="62" spans="2:9" ht="12.75">
      <c r="B62" s="36">
        <v>10000</v>
      </c>
      <c r="C62" s="11">
        <f>+C61</f>
        <v>240</v>
      </c>
      <c r="D62" s="11">
        <f>+D61</f>
        <v>405</v>
      </c>
      <c r="E62" s="12"/>
      <c r="F62" s="12"/>
      <c r="G62" s="12"/>
      <c r="H62" s="12"/>
      <c r="I62" s="12"/>
    </row>
    <row r="63" spans="1:9" ht="12.75">
      <c r="A63" t="s">
        <v>369</v>
      </c>
      <c r="B63" s="12"/>
      <c r="C63" s="12"/>
      <c r="D63" s="12"/>
      <c r="E63" s="12"/>
      <c r="F63" s="12"/>
      <c r="G63" s="12"/>
      <c r="H63" s="12"/>
      <c r="I63" s="12"/>
    </row>
    <row r="64" spans="2:9" ht="12.75">
      <c r="B64" s="12" t="s">
        <v>57</v>
      </c>
      <c r="C64" s="12" t="s">
        <v>72</v>
      </c>
      <c r="D64" s="12" t="s">
        <v>73</v>
      </c>
      <c r="E64" s="12"/>
      <c r="F64" s="12"/>
      <c r="G64" s="12"/>
      <c r="H64" s="12"/>
      <c r="I64" s="12"/>
    </row>
    <row r="65" spans="2:9" ht="12.75">
      <c r="B65" s="36">
        <f>HLOOKUP(0,$B$57:$D$62,MATCH($F$46,$B$57:$B$62,TRUE),FALSE)</f>
        <v>0</v>
      </c>
      <c r="C65" s="11">
        <f>HLOOKUP($C$57,$B$57:$D$62,MATCH($F$46,$B$57:$B$62,TRUE),FALSE)</f>
        <v>240</v>
      </c>
      <c r="D65" s="11">
        <f>HLOOKUP($D$57,$B$57:$D$62,MATCH($F$46,$B$57:$B$62,TRUE),FALSE)</f>
        <v>405</v>
      </c>
      <c r="E65" s="12"/>
      <c r="F65" s="12"/>
      <c r="G65" s="12"/>
      <c r="H65" s="12"/>
      <c r="I65" s="12"/>
    </row>
    <row r="66" spans="2:9" ht="12.75">
      <c r="B66" s="16">
        <f>+F46</f>
        <v>2554.316627511092</v>
      </c>
      <c r="C66" s="11">
        <f>+C65+($B$66-$B$65)/($B$67-$B$65)*(C67-C65)</f>
        <v>240</v>
      </c>
      <c r="D66" s="11">
        <f>+D65+($B$66-$B$65)/($B$67-$B$65)*(D67-D65)</f>
        <v>405</v>
      </c>
      <c r="E66" s="12"/>
      <c r="F66" s="12"/>
      <c r="G66" s="12"/>
      <c r="H66" s="12"/>
      <c r="I66" s="12"/>
    </row>
    <row r="67" spans="2:9" ht="12.75">
      <c r="B67" s="36">
        <f>HLOOKUP(0,$B$57:$D$62,MATCH($F$46,$B$57:$B$62,TRUE)+1,FALSE)</f>
        <v>10000</v>
      </c>
      <c r="C67" s="11">
        <f>HLOOKUP($C$57,$B$57:$D$62,MATCH($F$46,$B$57:$B$62,TRUE)+1,FALSE)</f>
        <v>240</v>
      </c>
      <c r="D67" s="11">
        <f>HLOOKUP($D$57,$B$57:$D$62,MATCH($F$46,$B$57:$B$62,TRUE)+1,FALSE)</f>
        <v>405</v>
      </c>
      <c r="E67" s="12"/>
      <c r="F67" s="12"/>
      <c r="G67" s="12"/>
      <c r="H67" s="12"/>
      <c r="I67" s="12"/>
    </row>
    <row r="68" spans="2:9" ht="12.75">
      <c r="B68" s="12"/>
      <c r="C68" s="12"/>
      <c r="D68" s="12"/>
      <c r="E68" s="12"/>
      <c r="F68" s="12"/>
      <c r="G68" s="12"/>
      <c r="H68" s="12"/>
      <c r="I68" s="12"/>
    </row>
    <row r="69" spans="2:9" ht="12.75">
      <c r="B69" s="12"/>
      <c r="C69" s="12"/>
      <c r="D69" s="12"/>
      <c r="E69" s="12"/>
      <c r="F69" s="12"/>
      <c r="G69" s="12"/>
      <c r="H69" s="12"/>
      <c r="I69" s="12"/>
    </row>
    <row r="71" ht="13.5" thickBot="1"/>
    <row r="72" spans="10:19" ht="13.5" thickBot="1">
      <c r="J72" s="340"/>
      <c r="K72" s="341"/>
      <c r="L72" s="341"/>
      <c r="M72" s="341"/>
      <c r="N72" s="349"/>
      <c r="O72" s="340"/>
      <c r="P72" s="341"/>
      <c r="Q72" s="349"/>
      <c r="R72" s="365" t="s">
        <v>45</v>
      </c>
      <c r="S72" s="360" t="s">
        <v>44</v>
      </c>
    </row>
    <row r="73" spans="2:19" ht="13.5" thickBot="1">
      <c r="B73" s="317" t="s">
        <v>864</v>
      </c>
      <c r="C73" s="318"/>
      <c r="D73" s="318"/>
      <c r="E73" s="318"/>
      <c r="F73" s="318"/>
      <c r="G73" s="318"/>
      <c r="H73" s="313"/>
      <c r="J73" s="270" t="s">
        <v>893</v>
      </c>
      <c r="K73" s="267"/>
      <c r="L73" s="267"/>
      <c r="M73" s="267"/>
      <c r="N73" s="269"/>
      <c r="O73" s="362" t="s">
        <v>876</v>
      </c>
      <c r="P73" s="363"/>
      <c r="Q73" s="364"/>
      <c r="R73" s="364"/>
      <c r="S73" s="361"/>
    </row>
    <row r="74" spans="2:19" ht="12.75">
      <c r="B74" s="340" t="s">
        <v>847</v>
      </c>
      <c r="C74" s="341"/>
      <c r="D74" s="341"/>
      <c r="E74" s="239" t="s">
        <v>0</v>
      </c>
      <c r="F74" s="254">
        <v>1000</v>
      </c>
      <c r="G74" s="254">
        <v>5000</v>
      </c>
      <c r="H74" s="255">
        <v>10000</v>
      </c>
      <c r="J74" s="329" t="s">
        <v>390</v>
      </c>
      <c r="K74" s="330"/>
      <c r="L74" s="330"/>
      <c r="M74" s="330"/>
      <c r="N74" s="83" t="s">
        <v>0</v>
      </c>
      <c r="O74" s="258">
        <v>100</v>
      </c>
      <c r="P74" s="254">
        <v>800</v>
      </c>
      <c r="Q74" s="255">
        <v>3000</v>
      </c>
      <c r="R74" s="268">
        <v>200</v>
      </c>
      <c r="S74" s="268">
        <v>100</v>
      </c>
    </row>
    <row r="75" spans="2:19" ht="12.75">
      <c r="B75" s="329" t="s">
        <v>848</v>
      </c>
      <c r="C75" s="330"/>
      <c r="D75" s="330"/>
      <c r="E75" s="240" t="s">
        <v>885</v>
      </c>
      <c r="F75" s="73">
        <v>550000</v>
      </c>
      <c r="G75" s="73">
        <v>2102940</v>
      </c>
      <c r="H75" s="172">
        <v>4319200</v>
      </c>
      <c r="J75" s="329" t="s">
        <v>865</v>
      </c>
      <c r="K75" s="330"/>
      <c r="L75" s="330"/>
      <c r="M75" s="330"/>
      <c r="N75" s="83" t="s">
        <v>866</v>
      </c>
      <c r="O75" s="259">
        <v>550</v>
      </c>
      <c r="P75" s="73">
        <v>430</v>
      </c>
      <c r="Q75" s="172">
        <v>380</v>
      </c>
      <c r="R75" s="266">
        <v>2425</v>
      </c>
      <c r="S75" s="266">
        <v>800</v>
      </c>
    </row>
    <row r="76" spans="2:19" ht="12.75">
      <c r="B76" s="329" t="s">
        <v>849</v>
      </c>
      <c r="C76" s="330"/>
      <c r="D76" s="330"/>
      <c r="E76" s="240" t="s">
        <v>885</v>
      </c>
      <c r="F76" s="73">
        <v>250000</v>
      </c>
      <c r="G76" s="73">
        <v>350000</v>
      </c>
      <c r="H76" s="172">
        <v>590000</v>
      </c>
      <c r="J76" s="329" t="s">
        <v>867</v>
      </c>
      <c r="K76" s="330"/>
      <c r="L76" s="330"/>
      <c r="M76" s="330"/>
      <c r="N76" s="83" t="s">
        <v>866</v>
      </c>
      <c r="O76" s="259">
        <v>100</v>
      </c>
      <c r="P76" s="73">
        <v>75</v>
      </c>
      <c r="Q76" s="172">
        <v>65</v>
      </c>
      <c r="R76" s="266">
        <v>75</v>
      </c>
      <c r="S76" s="266">
        <v>150</v>
      </c>
    </row>
    <row r="77" spans="2:19" ht="12.75">
      <c r="B77" s="329" t="s">
        <v>850</v>
      </c>
      <c r="C77" s="330"/>
      <c r="D77" s="330"/>
      <c r="E77" s="240" t="s">
        <v>885</v>
      </c>
      <c r="F77" s="73">
        <v>30000</v>
      </c>
      <c r="G77" s="73">
        <v>100000</v>
      </c>
      <c r="H77" s="172">
        <v>150000</v>
      </c>
      <c r="J77" s="329" t="s">
        <v>868</v>
      </c>
      <c r="K77" s="330"/>
      <c r="L77" s="330"/>
      <c r="M77" s="330"/>
      <c r="N77" s="83" t="s">
        <v>866</v>
      </c>
      <c r="O77" s="259">
        <v>150</v>
      </c>
      <c r="P77" s="73">
        <v>60</v>
      </c>
      <c r="Q77" s="172">
        <v>35</v>
      </c>
      <c r="R77" s="266">
        <v>75</v>
      </c>
      <c r="S77" s="266">
        <v>100</v>
      </c>
    </row>
    <row r="78" spans="2:19" ht="12.75">
      <c r="B78" s="329" t="s">
        <v>851</v>
      </c>
      <c r="C78" s="330"/>
      <c r="D78" s="330"/>
      <c r="E78" s="240" t="s">
        <v>885</v>
      </c>
      <c r="F78" s="73">
        <v>150000</v>
      </c>
      <c r="G78" s="73">
        <v>375000</v>
      </c>
      <c r="H78" s="172">
        <v>625000</v>
      </c>
      <c r="J78" s="329" t="s">
        <v>869</v>
      </c>
      <c r="K78" s="330"/>
      <c r="L78" s="330"/>
      <c r="M78" s="330"/>
      <c r="N78" s="83" t="s">
        <v>866</v>
      </c>
      <c r="O78" s="259">
        <v>70</v>
      </c>
      <c r="P78" s="73">
        <v>50</v>
      </c>
      <c r="Q78" s="172">
        <v>50</v>
      </c>
      <c r="R78" s="266">
        <v>0</v>
      </c>
      <c r="S78" s="266">
        <v>135</v>
      </c>
    </row>
    <row r="79" spans="2:19" ht="12.75">
      <c r="B79" s="329" t="s">
        <v>852</v>
      </c>
      <c r="C79" s="330"/>
      <c r="D79" s="330"/>
      <c r="E79" s="240" t="s">
        <v>885</v>
      </c>
      <c r="F79" s="73">
        <v>145000</v>
      </c>
      <c r="G79" s="73">
        <v>315000</v>
      </c>
      <c r="H79" s="172">
        <v>575000</v>
      </c>
      <c r="J79" s="329" t="s">
        <v>870</v>
      </c>
      <c r="K79" s="330"/>
      <c r="L79" s="330"/>
      <c r="M79" s="330"/>
      <c r="N79" s="83" t="s">
        <v>866</v>
      </c>
      <c r="O79" s="259">
        <v>150</v>
      </c>
      <c r="P79" s="73">
        <v>105</v>
      </c>
      <c r="Q79" s="172">
        <v>90</v>
      </c>
      <c r="R79" s="266">
        <v>285</v>
      </c>
      <c r="S79" s="266">
        <v>210</v>
      </c>
    </row>
    <row r="80" spans="2:19" ht="12.75">
      <c r="B80" s="329" t="s">
        <v>853</v>
      </c>
      <c r="C80" s="330"/>
      <c r="D80" s="330"/>
      <c r="E80" s="240" t="s">
        <v>885</v>
      </c>
      <c r="F80" s="73">
        <f>SUM(F75:F79)</f>
        <v>1125000</v>
      </c>
      <c r="G80" s="73">
        <f>SUM(G75:G79)</f>
        <v>3242940</v>
      </c>
      <c r="H80" s="172">
        <f>SUM(H75:H79)</f>
        <v>6259200</v>
      </c>
      <c r="J80" s="329" t="s">
        <v>871</v>
      </c>
      <c r="K80" s="330"/>
      <c r="L80" s="330"/>
      <c r="M80" s="330"/>
      <c r="N80" s="83" t="s">
        <v>866</v>
      </c>
      <c r="O80" s="259">
        <v>90</v>
      </c>
      <c r="P80" s="73">
        <v>60</v>
      </c>
      <c r="Q80" s="172">
        <v>60</v>
      </c>
      <c r="R80" s="266">
        <v>180</v>
      </c>
      <c r="S80" s="266">
        <v>130</v>
      </c>
    </row>
    <row r="81" spans="2:19" ht="12.75">
      <c r="B81" s="329"/>
      <c r="C81" s="330"/>
      <c r="D81" s="330"/>
      <c r="E81" s="240"/>
      <c r="F81" s="62"/>
      <c r="G81" s="62"/>
      <c r="H81" s="70"/>
      <c r="J81" s="329" t="s">
        <v>872</v>
      </c>
      <c r="K81" s="330"/>
      <c r="L81" s="330"/>
      <c r="M81" s="330"/>
      <c r="N81" s="83" t="s">
        <v>866</v>
      </c>
      <c r="O81" s="259">
        <v>150</v>
      </c>
      <c r="P81" s="73">
        <v>105</v>
      </c>
      <c r="Q81" s="172">
        <v>90</v>
      </c>
      <c r="R81" s="266">
        <v>310</v>
      </c>
      <c r="S81" s="266">
        <v>150</v>
      </c>
    </row>
    <row r="82" spans="2:19" ht="12.75">
      <c r="B82" s="329" t="s">
        <v>854</v>
      </c>
      <c r="C82" s="330"/>
      <c r="D82" s="330"/>
      <c r="E82" s="240" t="s">
        <v>885</v>
      </c>
      <c r="F82" s="73">
        <v>143952</v>
      </c>
      <c r="G82" s="73">
        <v>356723</v>
      </c>
      <c r="H82" s="172">
        <v>688512</v>
      </c>
      <c r="J82" s="329" t="s">
        <v>873</v>
      </c>
      <c r="K82" s="330"/>
      <c r="L82" s="330"/>
      <c r="M82" s="330"/>
      <c r="N82" s="83" t="s">
        <v>866</v>
      </c>
      <c r="O82" s="259">
        <v>60</v>
      </c>
      <c r="P82" s="73">
        <v>40</v>
      </c>
      <c r="Q82" s="172">
        <v>35</v>
      </c>
      <c r="R82" s="266">
        <v>105</v>
      </c>
      <c r="S82" s="266">
        <v>95</v>
      </c>
    </row>
    <row r="83" spans="2:19" ht="12.75">
      <c r="B83" s="329" t="s">
        <v>855</v>
      </c>
      <c r="C83" s="330"/>
      <c r="D83" s="330"/>
      <c r="E83" s="240" t="s">
        <v>885</v>
      </c>
      <c r="F83" s="73">
        <v>347509</v>
      </c>
      <c r="G83" s="73">
        <v>908023</v>
      </c>
      <c r="H83" s="172">
        <v>1752576</v>
      </c>
      <c r="J83" s="329" t="s">
        <v>874</v>
      </c>
      <c r="K83" s="330"/>
      <c r="L83" s="330"/>
      <c r="M83" s="330"/>
      <c r="N83" s="83" t="s">
        <v>866</v>
      </c>
      <c r="O83" s="259">
        <v>70</v>
      </c>
      <c r="P83" s="73">
        <v>50</v>
      </c>
      <c r="Q83" s="172">
        <v>45</v>
      </c>
      <c r="R83" s="266">
        <v>220</v>
      </c>
      <c r="S83" s="266">
        <v>100</v>
      </c>
    </row>
    <row r="84" spans="2:19" ht="12.75">
      <c r="B84" s="329"/>
      <c r="C84" s="330"/>
      <c r="D84" s="330"/>
      <c r="E84" s="240"/>
      <c r="F84" s="62"/>
      <c r="G84" s="62"/>
      <c r="H84" s="70"/>
      <c r="J84" s="329" t="s">
        <v>875</v>
      </c>
      <c r="K84" s="330"/>
      <c r="L84" s="330"/>
      <c r="M84" s="330"/>
      <c r="N84" s="83" t="s">
        <v>866</v>
      </c>
      <c r="O84" s="259">
        <f>SUM(O75:O83)</f>
        <v>1390</v>
      </c>
      <c r="P84" s="73">
        <f>SUM(P75:P83)</f>
        <v>975</v>
      </c>
      <c r="Q84" s="172">
        <f>SUM(Q75:Q83)</f>
        <v>850</v>
      </c>
      <c r="R84" s="172">
        <f>SUM(R75:R83)</f>
        <v>3675</v>
      </c>
      <c r="S84" s="172">
        <f>SUM(S75:S83)</f>
        <v>1870</v>
      </c>
    </row>
    <row r="85" spans="2:19" ht="12.75">
      <c r="B85" s="329" t="s">
        <v>856</v>
      </c>
      <c r="C85" s="330"/>
      <c r="D85" s="330"/>
      <c r="E85" s="240" t="s">
        <v>885</v>
      </c>
      <c r="F85" s="73">
        <f>+F80+F83+F82</f>
        <v>1616461</v>
      </c>
      <c r="G85" s="73">
        <f>+G80+G83+G82</f>
        <v>4507686</v>
      </c>
      <c r="H85" s="172">
        <f>+H80+H83+H82</f>
        <v>8700288</v>
      </c>
      <c r="J85" s="329"/>
      <c r="K85" s="330"/>
      <c r="L85" s="330"/>
      <c r="M85" s="330"/>
      <c r="N85" s="83"/>
      <c r="O85" s="245"/>
      <c r="P85" s="62"/>
      <c r="Q85" s="70"/>
      <c r="R85" s="70"/>
      <c r="S85" s="70"/>
    </row>
    <row r="86" spans="2:19" ht="12.75">
      <c r="B86" s="329"/>
      <c r="C86" s="330"/>
      <c r="D86" s="330"/>
      <c r="E86" s="240"/>
      <c r="F86" s="62"/>
      <c r="G86" s="62"/>
      <c r="H86" s="70"/>
      <c r="J86" s="329" t="s">
        <v>877</v>
      </c>
      <c r="K86" s="330"/>
      <c r="L86" s="330"/>
      <c r="M86" s="330"/>
      <c r="N86" s="83" t="s">
        <v>881</v>
      </c>
      <c r="O86" s="138">
        <v>131.2</v>
      </c>
      <c r="P86" s="48">
        <v>85.2</v>
      </c>
      <c r="Q86" s="49">
        <v>82.7</v>
      </c>
      <c r="R86" s="271">
        <v>87</v>
      </c>
      <c r="S86" s="266">
        <v>90</v>
      </c>
    </row>
    <row r="87" spans="2:19" ht="12.75">
      <c r="B87" s="329" t="s">
        <v>857</v>
      </c>
      <c r="C87" s="330"/>
      <c r="D87" s="330"/>
      <c r="E87" s="240" t="s">
        <v>885</v>
      </c>
      <c r="F87" s="73">
        <v>48483</v>
      </c>
      <c r="G87" s="73">
        <v>135231</v>
      </c>
      <c r="H87" s="172">
        <v>261009</v>
      </c>
      <c r="J87" s="329"/>
      <c r="K87" s="330"/>
      <c r="L87" s="330"/>
      <c r="M87" s="330"/>
      <c r="N87" s="83" t="s">
        <v>882</v>
      </c>
      <c r="O87" s="259">
        <f>+O86*O74</f>
        <v>13119.999999999998</v>
      </c>
      <c r="P87" s="73">
        <f>+P86*P74</f>
        <v>68160</v>
      </c>
      <c r="Q87" s="172">
        <f>+Q86*Q74</f>
        <v>248100</v>
      </c>
      <c r="R87" s="172">
        <f>+R86*R74</f>
        <v>17400</v>
      </c>
      <c r="S87" s="172">
        <f>+S86*S74</f>
        <v>9000</v>
      </c>
    </row>
    <row r="88" spans="2:19" ht="12.75">
      <c r="B88" s="329" t="s">
        <v>858</v>
      </c>
      <c r="C88" s="330"/>
      <c r="D88" s="330"/>
      <c r="E88" s="240" t="s">
        <v>885</v>
      </c>
      <c r="F88" s="73">
        <v>48483</v>
      </c>
      <c r="G88" s="73">
        <v>135231</v>
      </c>
      <c r="H88" s="172">
        <v>261009</v>
      </c>
      <c r="J88" s="58"/>
      <c r="K88" s="263">
        <f>(52-3)/52</f>
        <v>0.9423076923076923</v>
      </c>
      <c r="L88" s="264">
        <f>K88*8760</f>
        <v>8254.615384615385</v>
      </c>
      <c r="M88" s="251" t="s">
        <v>884</v>
      </c>
      <c r="N88" s="83" t="s">
        <v>883</v>
      </c>
      <c r="O88" s="168">
        <f>+O86/$L$88</f>
        <v>0.01589413847730873</v>
      </c>
      <c r="P88" s="75">
        <f>+P86/$L$88</f>
        <v>0.010321498462398658</v>
      </c>
      <c r="Q88" s="169">
        <f>+Q86/$L$88</f>
        <v>0.010018637592023111</v>
      </c>
      <c r="R88" s="169">
        <f>+R86/$L$88+K103</f>
        <v>0.03991706271549716</v>
      </c>
      <c r="S88" s="169">
        <f>+S86/$L$88</f>
        <v>0.01090299133351971</v>
      </c>
    </row>
    <row r="89" spans="2:19" ht="12.75">
      <c r="B89" s="329" t="s">
        <v>859</v>
      </c>
      <c r="C89" s="330"/>
      <c r="D89" s="330"/>
      <c r="E89" s="240" t="s">
        <v>885</v>
      </c>
      <c r="F89" s="73">
        <v>48483</v>
      </c>
      <c r="G89" s="73">
        <v>135231</v>
      </c>
      <c r="H89" s="172">
        <v>261009</v>
      </c>
      <c r="J89" s="329" t="s">
        <v>878</v>
      </c>
      <c r="K89" s="330"/>
      <c r="L89" s="330"/>
      <c r="M89" s="330"/>
      <c r="N89" s="83" t="s">
        <v>28</v>
      </c>
      <c r="O89" s="260">
        <v>12126</v>
      </c>
      <c r="P89" s="71">
        <v>11050</v>
      </c>
      <c r="Q89" s="244">
        <v>10158</v>
      </c>
      <c r="R89" s="247">
        <v>9481</v>
      </c>
      <c r="S89" s="247">
        <v>13306</v>
      </c>
    </row>
    <row r="90" spans="2:19" ht="12.75">
      <c r="B90" s="329" t="s">
        <v>860</v>
      </c>
      <c r="C90" s="330"/>
      <c r="D90" s="330"/>
      <c r="E90" s="240" t="s">
        <v>885</v>
      </c>
      <c r="F90" s="73">
        <v>171305</v>
      </c>
      <c r="G90" s="73">
        <v>477815</v>
      </c>
      <c r="H90" s="172">
        <v>922231</v>
      </c>
      <c r="J90" s="329" t="s">
        <v>867</v>
      </c>
      <c r="K90" s="330"/>
      <c r="L90" s="330"/>
      <c r="M90" s="330"/>
      <c r="N90" s="83"/>
      <c r="O90" s="261"/>
      <c r="P90" s="242"/>
      <c r="Q90" s="247"/>
      <c r="R90" s="272"/>
      <c r="S90" s="70"/>
    </row>
    <row r="91" spans="2:19" ht="12.75">
      <c r="B91" s="58"/>
      <c r="C91" s="251"/>
      <c r="D91" s="251"/>
      <c r="E91" s="240"/>
      <c r="F91" s="62"/>
      <c r="G91" s="62"/>
      <c r="H91" s="70"/>
      <c r="J91" s="366" t="s">
        <v>879</v>
      </c>
      <c r="K91" s="367"/>
      <c r="L91" s="367"/>
      <c r="M91" s="367"/>
      <c r="N91" s="83" t="s">
        <v>28</v>
      </c>
      <c r="O91" s="261">
        <v>2273</v>
      </c>
      <c r="P91" s="242">
        <v>1491</v>
      </c>
      <c r="Q91" s="247">
        <v>1934</v>
      </c>
      <c r="R91" s="70"/>
      <c r="S91" s="247">
        <v>4498</v>
      </c>
    </row>
    <row r="92" spans="2:19" ht="12.75">
      <c r="B92" s="329" t="s">
        <v>862</v>
      </c>
      <c r="C92" s="330"/>
      <c r="D92" s="330"/>
      <c r="E92" s="240" t="s">
        <v>885</v>
      </c>
      <c r="F92" s="73">
        <f>+F85+SUM(F87:F90)</f>
        <v>1933215</v>
      </c>
      <c r="G92" s="73">
        <f>+G85+SUM(G87:G90)</f>
        <v>5391194</v>
      </c>
      <c r="H92" s="172">
        <f>+H85+SUM(H87:H90)</f>
        <v>10405546</v>
      </c>
      <c r="J92" s="366" t="s">
        <v>880</v>
      </c>
      <c r="K92" s="367"/>
      <c r="L92" s="367"/>
      <c r="M92" s="367"/>
      <c r="N92" s="83" t="s">
        <v>28</v>
      </c>
      <c r="O92" s="261">
        <v>3410</v>
      </c>
      <c r="P92" s="242">
        <v>2832</v>
      </c>
      <c r="Q92" s="247">
        <v>975</v>
      </c>
      <c r="R92" s="247">
        <v>3500</v>
      </c>
      <c r="S92" s="70"/>
    </row>
    <row r="93" spans="2:19" ht="12.75">
      <c r="B93" s="329" t="s">
        <v>861</v>
      </c>
      <c r="C93" s="330"/>
      <c r="D93" s="330"/>
      <c r="E93" s="240" t="s">
        <v>0</v>
      </c>
      <c r="F93" s="71">
        <v>1205</v>
      </c>
      <c r="G93" s="71">
        <v>5007</v>
      </c>
      <c r="H93" s="244">
        <v>10798</v>
      </c>
      <c r="J93" s="366" t="s">
        <v>56</v>
      </c>
      <c r="K93" s="367"/>
      <c r="L93" s="367"/>
      <c r="M93" s="367"/>
      <c r="N93" s="83" t="s">
        <v>28</v>
      </c>
      <c r="O93" s="260">
        <f>+O92+O91</f>
        <v>5683</v>
      </c>
      <c r="P93" s="71">
        <f>+P92+P91</f>
        <v>4323</v>
      </c>
      <c r="Q93" s="244">
        <f>+Q92+Q91</f>
        <v>2909</v>
      </c>
      <c r="R93" s="244">
        <f>+R92+R91</f>
        <v>3500</v>
      </c>
      <c r="S93" s="244">
        <f>+S92+S91</f>
        <v>4498</v>
      </c>
    </row>
    <row r="94" spans="2:19" ht="13.5" thickBot="1">
      <c r="B94" s="329" t="s">
        <v>863</v>
      </c>
      <c r="C94" s="330"/>
      <c r="D94" s="330"/>
      <c r="E94" s="240" t="s">
        <v>866</v>
      </c>
      <c r="F94" s="73">
        <f>+F92/F93</f>
        <v>1604.3278008298755</v>
      </c>
      <c r="G94" s="73">
        <f>+G92/G93</f>
        <v>1076.7313760734971</v>
      </c>
      <c r="H94" s="172">
        <f>+H92/H93</f>
        <v>963.6549360992776</v>
      </c>
      <c r="J94" s="59"/>
      <c r="K94" s="265"/>
      <c r="L94" s="265"/>
      <c r="M94" s="265"/>
      <c r="N94" s="61"/>
      <c r="O94" s="262"/>
      <c r="P94" s="249"/>
      <c r="Q94" s="80"/>
      <c r="R94" s="80"/>
      <c r="S94" s="80"/>
    </row>
    <row r="95" spans="2:19" ht="12.75">
      <c r="B95" s="58"/>
      <c r="C95" s="251"/>
      <c r="D95" s="251"/>
      <c r="E95" s="240"/>
      <c r="F95" s="62"/>
      <c r="G95" s="62"/>
      <c r="H95" s="70"/>
      <c r="J95" s="350" t="s">
        <v>892</v>
      </c>
      <c r="K95" s="351"/>
      <c r="L95" s="351"/>
      <c r="M95" s="351"/>
      <c r="N95" s="351"/>
      <c r="O95" s="351"/>
      <c r="P95" s="351"/>
      <c r="Q95" s="354"/>
      <c r="R95" s="354"/>
      <c r="S95" s="355"/>
    </row>
    <row r="96" spans="2:19" ht="13.5" thickBot="1">
      <c r="B96" s="329" t="s">
        <v>877</v>
      </c>
      <c r="C96" s="330"/>
      <c r="D96" s="330"/>
      <c r="E96" s="240" t="s">
        <v>881</v>
      </c>
      <c r="F96" s="48">
        <v>76.8</v>
      </c>
      <c r="G96" s="48">
        <v>46.8</v>
      </c>
      <c r="H96" s="49">
        <v>44.3</v>
      </c>
      <c r="J96" s="356"/>
      <c r="K96" s="357"/>
      <c r="L96" s="357"/>
      <c r="M96" s="357"/>
      <c r="N96" s="357"/>
      <c r="O96" s="357"/>
      <c r="P96" s="357"/>
      <c r="Q96" s="358"/>
      <c r="R96" s="358"/>
      <c r="S96" s="359"/>
    </row>
    <row r="97" spans="2:17" ht="12.75">
      <c r="B97" s="329"/>
      <c r="C97" s="330"/>
      <c r="D97" s="330"/>
      <c r="E97" s="240" t="s">
        <v>882</v>
      </c>
      <c r="F97" s="73">
        <f>+F96*F74</f>
        <v>76800</v>
      </c>
      <c r="G97" s="73">
        <f>+G96*G74</f>
        <v>234000</v>
      </c>
      <c r="H97" s="172">
        <f>+H96*H74</f>
        <v>443000</v>
      </c>
      <c r="J97" s="246"/>
      <c r="K97" s="246"/>
      <c r="L97" s="246"/>
      <c r="M97" s="246"/>
      <c r="N97" s="246"/>
      <c r="O97" s="246"/>
      <c r="P97" s="246"/>
      <c r="Q97" s="62"/>
    </row>
    <row r="98" spans="2:10" ht="12.75">
      <c r="B98" s="252">
        <f>(52-2)/52</f>
        <v>0.9615384615384616</v>
      </c>
      <c r="C98" s="253">
        <f>B98*8760</f>
        <v>8423.076923076924</v>
      </c>
      <c r="D98" s="250" t="s">
        <v>884</v>
      </c>
      <c r="E98" s="240" t="s">
        <v>883</v>
      </c>
      <c r="F98" s="75">
        <f>+F96/$C$98</f>
        <v>0.009117808219178082</v>
      </c>
      <c r="G98" s="75">
        <f>+G96/$C$98</f>
        <v>0.005556164383561643</v>
      </c>
      <c r="H98" s="169">
        <f>+H96/$C$98</f>
        <v>0.005259360730593607</v>
      </c>
      <c r="J98" s="243"/>
    </row>
    <row r="99" spans="2:10" ht="12.75">
      <c r="B99" s="329" t="s">
        <v>878</v>
      </c>
      <c r="C99" s="330"/>
      <c r="D99" s="330"/>
      <c r="E99" s="240" t="s">
        <v>28</v>
      </c>
      <c r="F99" s="71">
        <v>15600</v>
      </c>
      <c r="G99" s="71">
        <v>12375</v>
      </c>
      <c r="H99" s="244">
        <v>11750</v>
      </c>
      <c r="J99" s="241" t="s">
        <v>888</v>
      </c>
    </row>
    <row r="100" spans="2:12" ht="13.5" thickBot="1">
      <c r="B100" s="336" t="s">
        <v>867</v>
      </c>
      <c r="C100" s="337"/>
      <c r="D100" s="337"/>
      <c r="E100" s="91" t="s">
        <v>28</v>
      </c>
      <c r="F100" s="256">
        <v>7820</v>
      </c>
      <c r="G100" s="256">
        <v>5622</v>
      </c>
      <c r="H100" s="257">
        <v>5283</v>
      </c>
      <c r="J100" t="s">
        <v>889</v>
      </c>
      <c r="K100" s="242">
        <v>3</v>
      </c>
      <c r="L100" t="s">
        <v>16</v>
      </c>
    </row>
    <row r="101" spans="2:12" ht="12.75">
      <c r="B101" s="350" t="s">
        <v>886</v>
      </c>
      <c r="C101" s="351"/>
      <c r="D101" s="351"/>
      <c r="E101" s="351"/>
      <c r="F101" s="351"/>
      <c r="G101" s="351"/>
      <c r="H101" s="352"/>
      <c r="J101" t="s">
        <v>890</v>
      </c>
      <c r="K101">
        <v>7</v>
      </c>
      <c r="L101" t="s">
        <v>16</v>
      </c>
    </row>
    <row r="102" spans="2:12" ht="12.75">
      <c r="B102" s="353"/>
      <c r="C102" s="351"/>
      <c r="D102" s="351"/>
      <c r="E102" s="351"/>
      <c r="F102" s="351"/>
      <c r="G102" s="351"/>
      <c r="H102" s="352"/>
      <c r="J102" t="s">
        <v>86</v>
      </c>
      <c r="K102" s="5">
        <v>0.5</v>
      </c>
      <c r="L102" t="s">
        <v>891</v>
      </c>
    </row>
    <row r="103" spans="2:12" ht="13.5" thickBot="1">
      <c r="B103" s="248" t="s">
        <v>887</v>
      </c>
      <c r="C103" s="249"/>
      <c r="D103" s="249"/>
      <c r="E103" s="249"/>
      <c r="F103" s="249"/>
      <c r="G103" s="249"/>
      <c r="H103" s="80"/>
      <c r="K103" s="124">
        <f>+K102*R75/(AVERAGE(K100:K101)*L88)</f>
        <v>0.029377504426428107</v>
      </c>
      <c r="L103" s="63" t="s">
        <v>30</v>
      </c>
    </row>
    <row r="105" spans="11:12" ht="12.75">
      <c r="K105" s="4"/>
      <c r="L105" s="63"/>
    </row>
    <row r="107" ht="13.5" thickBot="1"/>
    <row r="108" spans="2:16" ht="13.5" thickBot="1">
      <c r="B108" s="1" t="s">
        <v>928</v>
      </c>
      <c r="G108" s="317" t="s">
        <v>922</v>
      </c>
      <c r="H108" s="318"/>
      <c r="I108" s="318"/>
      <c r="J108" s="318"/>
      <c r="K108" s="318"/>
      <c r="L108" s="318"/>
      <c r="M108" s="318"/>
      <c r="N108" s="318"/>
      <c r="O108" s="318"/>
      <c r="P108" s="313"/>
    </row>
    <row r="109" spans="2:16" ht="13.5" thickBot="1">
      <c r="B109" t="s">
        <v>929</v>
      </c>
      <c r="G109" s="340" t="s">
        <v>909</v>
      </c>
      <c r="H109" s="349"/>
      <c r="I109" s="343" t="s">
        <v>914</v>
      </c>
      <c r="J109" s="346"/>
      <c r="K109" s="333" t="s">
        <v>920</v>
      </c>
      <c r="L109" s="334"/>
      <c r="M109" s="335"/>
      <c r="N109" s="334" t="s">
        <v>921</v>
      </c>
      <c r="O109" s="334"/>
      <c r="P109" s="335"/>
    </row>
    <row r="110" spans="2:16" ht="12.75">
      <c r="B110" s="224" t="s">
        <v>930</v>
      </c>
      <c r="D110" s="36" t="e">
        <f>+Data!#REF!</f>
        <v>#REF!</v>
      </c>
      <c r="E110" t="s">
        <v>474</v>
      </c>
      <c r="G110" s="329" t="s">
        <v>910</v>
      </c>
      <c r="H110" s="344"/>
      <c r="I110" s="332" t="s">
        <v>915</v>
      </c>
      <c r="J110" s="347"/>
      <c r="K110" s="260">
        <v>2000</v>
      </c>
      <c r="L110" s="71">
        <v>7000</v>
      </c>
      <c r="M110" s="244">
        <v>12000</v>
      </c>
      <c r="N110" s="71">
        <v>10000</v>
      </c>
      <c r="O110" s="71">
        <v>50000</v>
      </c>
      <c r="P110" s="244">
        <v>84000</v>
      </c>
    </row>
    <row r="111" spans="2:16" ht="12.75">
      <c r="B111" s="224" t="s">
        <v>952</v>
      </c>
      <c r="D111" s="36">
        <v>3500</v>
      </c>
      <c r="E111" t="s">
        <v>474</v>
      </c>
      <c r="G111" s="329" t="s">
        <v>27</v>
      </c>
      <c r="H111" s="344"/>
      <c r="I111" s="332" t="s">
        <v>916</v>
      </c>
      <c r="J111" s="347"/>
      <c r="K111" s="138">
        <v>7.5</v>
      </c>
      <c r="L111" s="48">
        <v>5.5</v>
      </c>
      <c r="M111" s="49">
        <v>4.3</v>
      </c>
      <c r="N111" s="48">
        <v>6.9</v>
      </c>
      <c r="O111" s="48">
        <v>5.63</v>
      </c>
      <c r="P111" s="49">
        <v>4.95</v>
      </c>
    </row>
    <row r="112" spans="2:16" ht="12.75">
      <c r="B112" s="224" t="s">
        <v>931</v>
      </c>
      <c r="D112" s="36" t="e">
        <f>+D111+D110</f>
        <v>#REF!</v>
      </c>
      <c r="E112" t="s">
        <v>474</v>
      </c>
      <c r="G112" s="329" t="s">
        <v>877</v>
      </c>
      <c r="H112" s="344"/>
      <c r="I112" s="332" t="s">
        <v>917</v>
      </c>
      <c r="J112" s="347"/>
      <c r="K112" s="53">
        <v>0.09</v>
      </c>
      <c r="L112" s="47">
        <v>0.075</v>
      </c>
      <c r="M112" s="275">
        <v>0.06</v>
      </c>
      <c r="N112" s="47">
        <v>0.15</v>
      </c>
      <c r="O112" s="47">
        <v>0.125</v>
      </c>
      <c r="P112" s="275">
        <v>0.113</v>
      </c>
    </row>
    <row r="113" spans="2:16" ht="12.75">
      <c r="B113" s="224" t="s">
        <v>941</v>
      </c>
      <c r="D113" s="36">
        <f>+H</f>
        <v>8424</v>
      </c>
      <c r="E113" s="63" t="s">
        <v>24</v>
      </c>
      <c r="G113" s="329" t="s">
        <v>911</v>
      </c>
      <c r="H113" s="344"/>
      <c r="I113" s="332" t="s">
        <v>918</v>
      </c>
      <c r="J113" s="347"/>
      <c r="K113" s="245">
        <v>45</v>
      </c>
      <c r="L113" s="62">
        <v>45</v>
      </c>
      <c r="M113" s="70">
        <v>45</v>
      </c>
      <c r="N113" s="62">
        <v>35</v>
      </c>
      <c r="O113" s="62">
        <v>35</v>
      </c>
      <c r="P113" s="70">
        <v>35</v>
      </c>
    </row>
    <row r="114" spans="2:16" ht="12.75">
      <c r="B114" s="134" t="s">
        <v>937</v>
      </c>
      <c r="G114" s="329" t="s">
        <v>912</v>
      </c>
      <c r="H114" s="344"/>
      <c r="I114" s="332" t="s">
        <v>918</v>
      </c>
      <c r="J114" s="347"/>
      <c r="K114" s="245">
        <v>45</v>
      </c>
      <c r="L114" s="62">
        <v>45</v>
      </c>
      <c r="M114" s="70">
        <v>45</v>
      </c>
      <c r="N114" s="62">
        <v>30</v>
      </c>
      <c r="O114" s="62">
        <v>30</v>
      </c>
      <c r="P114" s="70">
        <v>30</v>
      </c>
    </row>
    <row r="115" spans="2:16" ht="13.5" thickBot="1">
      <c r="B115" s="224" t="s">
        <v>932</v>
      </c>
      <c r="D115" s="114">
        <f>+Data!AE7</f>
        <v>0</v>
      </c>
      <c r="E115" t="s">
        <v>465</v>
      </c>
      <c r="G115" s="336" t="s">
        <v>913</v>
      </c>
      <c r="H115" s="345"/>
      <c r="I115" s="339" t="s">
        <v>919</v>
      </c>
      <c r="J115" s="348"/>
      <c r="K115" s="278">
        <v>0.8</v>
      </c>
      <c r="L115" s="276">
        <v>0.8</v>
      </c>
      <c r="M115" s="277">
        <v>0.8</v>
      </c>
      <c r="N115" s="276">
        <v>1.3</v>
      </c>
      <c r="O115" s="276">
        <v>1.3</v>
      </c>
      <c r="P115" s="277">
        <v>1.3</v>
      </c>
    </row>
    <row r="116" spans="2:5" ht="12.75">
      <c r="B116" s="224" t="s">
        <v>933</v>
      </c>
      <c r="D116" s="114">
        <f>+Data!AE6</f>
        <v>17990</v>
      </c>
      <c r="E116" t="s">
        <v>465</v>
      </c>
    </row>
    <row r="117" spans="2:5" ht="13.5" thickBot="1">
      <c r="B117" s="273" t="s">
        <v>934</v>
      </c>
      <c r="D117" s="114">
        <f>+D115-D116</f>
        <v>-17990</v>
      </c>
      <c r="E117" t="s">
        <v>465</v>
      </c>
    </row>
    <row r="118" spans="2:17" ht="16.5" thickBot="1">
      <c r="B118" s="273" t="s">
        <v>936</v>
      </c>
      <c r="D118">
        <f>+eta</f>
        <v>0.72</v>
      </c>
      <c r="G118" s="317" t="s">
        <v>923</v>
      </c>
      <c r="H118" s="318"/>
      <c r="I118" s="318"/>
      <c r="J118" s="318"/>
      <c r="K118" s="318"/>
      <c r="L118" s="318"/>
      <c r="M118" s="318"/>
      <c r="N118" s="318"/>
      <c r="O118" s="318"/>
      <c r="P118" s="318"/>
      <c r="Q118" s="313"/>
    </row>
    <row r="119" spans="2:17" ht="16.5" thickBot="1">
      <c r="B119" s="273" t="s">
        <v>938</v>
      </c>
      <c r="D119" s="56">
        <f>+Data!AE11</f>
        <v>4000</v>
      </c>
      <c r="G119" s="340" t="s">
        <v>909</v>
      </c>
      <c r="H119" s="341"/>
      <c r="I119" s="342" t="s">
        <v>914</v>
      </c>
      <c r="J119" s="343"/>
      <c r="K119" s="333" t="s">
        <v>920</v>
      </c>
      <c r="L119" s="334"/>
      <c r="M119" s="334"/>
      <c r="N119" s="335"/>
      <c r="O119" s="334" t="s">
        <v>921</v>
      </c>
      <c r="P119" s="334"/>
      <c r="Q119" s="335"/>
    </row>
    <row r="120" spans="2:17" ht="12.75">
      <c r="B120" s="134" t="s">
        <v>935</v>
      </c>
      <c r="G120" s="329" t="s">
        <v>910</v>
      </c>
      <c r="H120" s="330"/>
      <c r="I120" s="331" t="s">
        <v>915</v>
      </c>
      <c r="J120" s="332"/>
      <c r="K120" s="260">
        <v>600</v>
      </c>
      <c r="L120" s="71">
        <v>4500</v>
      </c>
      <c r="M120" s="71">
        <v>20000</v>
      </c>
      <c r="N120" s="244">
        <v>40000</v>
      </c>
      <c r="O120" s="71">
        <v>3000</v>
      </c>
      <c r="P120" s="71">
        <v>7500</v>
      </c>
      <c r="Q120" s="244">
        <v>84000</v>
      </c>
    </row>
    <row r="121" spans="2:17" ht="12.75">
      <c r="B121" s="273" t="s">
        <v>939</v>
      </c>
      <c r="D121">
        <f>+Cp</f>
        <v>0.24</v>
      </c>
      <c r="E121" t="str">
        <f>+Data!AF40</f>
        <v>Btu / lb°F</v>
      </c>
      <c r="G121" s="329" t="s">
        <v>27</v>
      </c>
      <c r="H121" s="330"/>
      <c r="I121" s="331" t="s">
        <v>916</v>
      </c>
      <c r="J121" s="332"/>
      <c r="K121" s="138">
        <v>20.4</v>
      </c>
      <c r="L121" s="48">
        <v>9.2</v>
      </c>
      <c r="M121" s="48">
        <v>5.6</v>
      </c>
      <c r="N121" s="49">
        <v>4.4</v>
      </c>
      <c r="O121" s="48">
        <v>18</v>
      </c>
      <c r="P121" s="48">
        <v>9.78</v>
      </c>
      <c r="Q121" s="49">
        <v>5.04</v>
      </c>
    </row>
    <row r="122" spans="2:17" ht="14.25">
      <c r="B122" s="273" t="s">
        <v>940</v>
      </c>
      <c r="D122">
        <f>+rho</f>
        <v>0.072</v>
      </c>
      <c r="E122" t="s">
        <v>467</v>
      </c>
      <c r="G122" s="329" t="s">
        <v>877</v>
      </c>
      <c r="H122" s="330"/>
      <c r="I122" s="331" t="s">
        <v>917</v>
      </c>
      <c r="J122" s="332"/>
      <c r="K122" s="53">
        <v>0.255</v>
      </c>
      <c r="L122" s="47">
        <v>0.12</v>
      </c>
      <c r="M122" s="47">
        <v>0.075</v>
      </c>
      <c r="N122" s="275">
        <v>0.06</v>
      </c>
      <c r="O122" s="47">
        <v>0.375</v>
      </c>
      <c r="P122" s="47">
        <v>0.213</v>
      </c>
      <c r="Q122" s="275">
        <v>0.113</v>
      </c>
    </row>
    <row r="123" spans="7:17" ht="12.75">
      <c r="G123" s="329" t="s">
        <v>911</v>
      </c>
      <c r="H123" s="330"/>
      <c r="I123" s="331" t="s">
        <v>918</v>
      </c>
      <c r="J123" s="332"/>
      <c r="K123" s="245">
        <v>55</v>
      </c>
      <c r="L123" s="62">
        <v>55</v>
      </c>
      <c r="M123" s="62">
        <v>55</v>
      </c>
      <c r="N123" s="70">
        <v>55</v>
      </c>
      <c r="O123" s="62">
        <v>45</v>
      </c>
      <c r="P123" s="62">
        <v>45</v>
      </c>
      <c r="Q123" s="70">
        <v>45</v>
      </c>
    </row>
    <row r="124" spans="2:17" ht="12.75">
      <c r="B124" s="279" t="s">
        <v>942</v>
      </c>
      <c r="G124" s="329" t="s">
        <v>912</v>
      </c>
      <c r="H124" s="330"/>
      <c r="I124" s="331" t="s">
        <v>918</v>
      </c>
      <c r="J124" s="332"/>
      <c r="K124" s="245">
        <v>35</v>
      </c>
      <c r="L124" s="62">
        <v>35</v>
      </c>
      <c r="M124" s="62">
        <v>35</v>
      </c>
      <c r="N124" s="70">
        <v>35</v>
      </c>
      <c r="O124" s="62">
        <v>30</v>
      </c>
      <c r="P124" s="62">
        <v>30</v>
      </c>
      <c r="Q124" s="70">
        <v>30</v>
      </c>
    </row>
    <row r="125" spans="2:17" ht="13.5" thickBot="1">
      <c r="B125" s="279" t="s">
        <v>490</v>
      </c>
      <c r="D125" s="4" t="e">
        <f>IF($D$110&lt;=$K$110,$K111,IF($D$110&lt;=$L$110,$K111+($D$110-$K$110)/($L$110-$K$110)*($L111-$K111),0))</f>
        <v>#REF!</v>
      </c>
      <c r="E125" s="63" t="s">
        <v>491</v>
      </c>
      <c r="G125" s="336" t="s">
        <v>913</v>
      </c>
      <c r="H125" s="337"/>
      <c r="I125" s="338" t="s">
        <v>919</v>
      </c>
      <c r="J125" s="339"/>
      <c r="K125" s="278">
        <v>1.1</v>
      </c>
      <c r="L125" s="276">
        <v>1.1</v>
      </c>
      <c r="M125" s="276">
        <v>1.1</v>
      </c>
      <c r="N125" s="277">
        <v>1.1</v>
      </c>
      <c r="O125" s="276">
        <v>1.3</v>
      </c>
      <c r="P125" s="276">
        <v>1.3</v>
      </c>
      <c r="Q125" s="277">
        <v>1.3</v>
      </c>
    </row>
    <row r="126" spans="2:5" ht="12.75">
      <c r="B126" s="279" t="s">
        <v>943</v>
      </c>
      <c r="D126" s="7" t="e">
        <f>IF($D$110&lt;=$K$110,$K112,IF($D$110&lt;=$L$110,$K112+($D$110-$K$110)/($L$110-$K$110)*($L112-$K112),0))</f>
        <v>#REF!</v>
      </c>
      <c r="E126" s="63" t="s">
        <v>926</v>
      </c>
    </row>
    <row r="127" spans="2:7" ht="12.75">
      <c r="B127" s="279" t="s">
        <v>944</v>
      </c>
      <c r="D127" s="57" t="e">
        <f>IF($D$110&lt;=$K$110,$K115,IF($D$110&lt;=$L$110,$K115+($D$110-$K$110)/($L$110-$K$110)*($L115-$K115),0))</f>
        <v>#REF!</v>
      </c>
      <c r="E127" t="s">
        <v>658</v>
      </c>
      <c r="G127" t="s">
        <v>924</v>
      </c>
    </row>
    <row r="128" ht="12.75">
      <c r="G128" s="128" t="s">
        <v>925</v>
      </c>
    </row>
    <row r="129" ht="12.75">
      <c r="B129" t="s">
        <v>945</v>
      </c>
    </row>
    <row r="130" spans="2:5" ht="12.75">
      <c r="B130" t="s">
        <v>946</v>
      </c>
      <c r="D130" s="2" t="e">
        <f>+D125*D110</f>
        <v>#REF!</v>
      </c>
      <c r="E130" s="2" t="e">
        <f>+D130</f>
        <v>#REF!</v>
      </c>
    </row>
    <row r="131" spans="2:6" ht="12.75">
      <c r="B131" t="s">
        <v>588</v>
      </c>
      <c r="D131" s="4" t="e">
        <f>+D126*D110</f>
        <v>#REF!</v>
      </c>
      <c r="E131" s="4" t="e">
        <f>+D131</f>
        <v>#REF!</v>
      </c>
      <c r="F131" s="63" t="s">
        <v>24</v>
      </c>
    </row>
    <row r="132" spans="2:6" ht="12.75">
      <c r="B132" t="s">
        <v>947</v>
      </c>
      <c r="D132" s="8">
        <f>+D122*D121*D117*(1-D119)/D118*60</f>
        <v>103596494.39999999</v>
      </c>
      <c r="E132" s="36" t="e">
        <f>IF($D$110&lt;=$K$110,$K113,IF($D$110&lt;=$L$110,$K113+($D$110-$K$110)/($L$110-$K$110)*($L113-$K113),0))</f>
        <v>#REF!</v>
      </c>
      <c r="F132" t="s">
        <v>927</v>
      </c>
    </row>
    <row r="133" spans="2:6" ht="12.75">
      <c r="B133" t="s">
        <v>951</v>
      </c>
      <c r="D133" s="108" t="e">
        <f>+Data!AE9/Data!AE10</f>
        <v>#DIV/0!</v>
      </c>
      <c r="E133" s="108" t="e">
        <f>+D127</f>
        <v>#REF!</v>
      </c>
      <c r="F133" t="s">
        <v>658</v>
      </c>
    </row>
    <row r="134" spans="2:6" ht="12.75">
      <c r="B134" t="s">
        <v>948</v>
      </c>
      <c r="D134" s="108" t="e">
        <f>+D133*D112/1000</f>
        <v>#DIV/0!</v>
      </c>
      <c r="E134" s="56" t="e">
        <f>+E133*D110/1000</f>
        <v>#REF!</v>
      </c>
      <c r="F134" t="s">
        <v>0</v>
      </c>
    </row>
    <row r="135" spans="2:10" ht="12.75">
      <c r="B135" t="s">
        <v>949</v>
      </c>
      <c r="D135" s="36" t="e">
        <f>+D134*D113</f>
        <v>#DIV/0!</v>
      </c>
      <c r="E135" s="36" t="e">
        <f>+E134*D113</f>
        <v>#REF!</v>
      </c>
      <c r="F135" t="s">
        <v>950</v>
      </c>
      <c r="J135" s="2"/>
    </row>
    <row r="137" spans="10:11" ht="12.75">
      <c r="J137" s="2"/>
      <c r="K137" s="63"/>
    </row>
    <row r="138" ht="12.75">
      <c r="B138" t="s">
        <v>953</v>
      </c>
    </row>
    <row r="139" spans="2:10" ht="15.75">
      <c r="B139" s="6" t="s">
        <v>954</v>
      </c>
      <c r="C139" s="6" t="s">
        <v>0</v>
      </c>
      <c r="D139" s="6" t="s">
        <v>955</v>
      </c>
      <c r="E139" s="6" t="s">
        <v>956</v>
      </c>
      <c r="F139" s="6" t="s">
        <v>658</v>
      </c>
      <c r="G139" s="6" t="s">
        <v>475</v>
      </c>
      <c r="J139" s="36"/>
    </row>
    <row r="140" spans="2:7" ht="12.75">
      <c r="B140">
        <v>400</v>
      </c>
      <c r="C140">
        <v>0.85</v>
      </c>
      <c r="D140">
        <v>65</v>
      </c>
      <c r="E140" s="8">
        <f>+D140/8/24*8.3</f>
        <v>2.809895833333334</v>
      </c>
      <c r="F140" s="56">
        <f>1000*C140/B140</f>
        <v>2.125</v>
      </c>
      <c r="G140" s="114">
        <f>1000*C140/E140</f>
        <v>302.5023169601482</v>
      </c>
    </row>
    <row r="141" spans="2:7" ht="12.75">
      <c r="B141">
        <v>400</v>
      </c>
      <c r="C141">
        <v>1.48</v>
      </c>
      <c r="D141">
        <v>121</v>
      </c>
      <c r="E141" s="8">
        <f>+D141/8/24*8.3</f>
        <v>5.230729166666667</v>
      </c>
      <c r="F141" s="56">
        <f aca="true" t="shared" si="0" ref="F141:F150">1000*C141/B141</f>
        <v>3.7</v>
      </c>
      <c r="G141" s="114">
        <f aca="true" t="shared" si="1" ref="G141:G150">1000*C141/E141</f>
        <v>282.9433436224235</v>
      </c>
    </row>
    <row r="142" spans="2:7" ht="12.75">
      <c r="B142">
        <v>400</v>
      </c>
      <c r="C142">
        <v>1.55</v>
      </c>
      <c r="D142">
        <v>165</v>
      </c>
      <c r="E142" s="8">
        <f>+D142/8/24*8.3</f>
        <v>7.132812500000001</v>
      </c>
      <c r="F142" s="56">
        <f t="shared" si="0"/>
        <v>3.875</v>
      </c>
      <c r="G142" s="114">
        <f t="shared" si="1"/>
        <v>217.30558598028475</v>
      </c>
    </row>
    <row r="143" spans="2:7" ht="12.75">
      <c r="B143">
        <v>540</v>
      </c>
      <c r="C143">
        <v>1.63</v>
      </c>
      <c r="D143" s="114">
        <f>+E143*24/8.3*8</f>
        <v>161.9277108433735</v>
      </c>
      <c r="E143" s="8">
        <v>7</v>
      </c>
      <c r="F143" s="56">
        <f t="shared" si="0"/>
        <v>3.0185185185185186</v>
      </c>
      <c r="G143" s="114">
        <f t="shared" si="1"/>
        <v>232.85714285714286</v>
      </c>
    </row>
    <row r="144" spans="2:7" ht="12.75">
      <c r="B144">
        <v>950</v>
      </c>
      <c r="C144">
        <v>2.24</v>
      </c>
      <c r="D144" s="114">
        <f aca="true" t="shared" si="2" ref="D144:D150">+E144*24/8.3*8</f>
        <v>259.0843373493975</v>
      </c>
      <c r="E144" s="8">
        <v>11.2</v>
      </c>
      <c r="F144" s="56">
        <f t="shared" si="0"/>
        <v>2.357894736842105</v>
      </c>
      <c r="G144" s="114">
        <f t="shared" si="1"/>
        <v>200</v>
      </c>
    </row>
    <row r="145" spans="2:7" ht="12.75">
      <c r="B145">
        <v>1400</v>
      </c>
      <c r="C145">
        <v>3.5</v>
      </c>
      <c r="D145" s="114">
        <f t="shared" si="2"/>
        <v>425.6385542168674</v>
      </c>
      <c r="E145" s="8">
        <v>18.4</v>
      </c>
      <c r="F145" s="56">
        <f t="shared" si="0"/>
        <v>2.5</v>
      </c>
      <c r="G145" s="114">
        <f t="shared" si="1"/>
        <v>190.21739130434784</v>
      </c>
    </row>
    <row r="146" spans="2:7" ht="12.75">
      <c r="B146">
        <v>2300</v>
      </c>
      <c r="C146">
        <v>6.12</v>
      </c>
      <c r="D146" s="114">
        <f t="shared" si="2"/>
        <v>730.9879518072289</v>
      </c>
      <c r="E146" s="8">
        <v>31.6</v>
      </c>
      <c r="F146" s="56">
        <f t="shared" si="0"/>
        <v>2.6608695652173915</v>
      </c>
      <c r="G146" s="114">
        <f t="shared" si="1"/>
        <v>193.67088607594937</v>
      </c>
    </row>
    <row r="147" spans="2:7" ht="12.75">
      <c r="B147">
        <v>3500</v>
      </c>
      <c r="C147">
        <v>8.85</v>
      </c>
      <c r="D147" s="114">
        <f t="shared" si="2"/>
        <v>1022.4578313253013</v>
      </c>
      <c r="E147" s="8">
        <v>44.2</v>
      </c>
      <c r="F147" s="56">
        <f t="shared" si="0"/>
        <v>2.5285714285714285</v>
      </c>
      <c r="G147" s="114">
        <f t="shared" si="1"/>
        <v>200.22624434389138</v>
      </c>
    </row>
    <row r="148" spans="2:7" ht="12.75">
      <c r="B148">
        <v>4100</v>
      </c>
      <c r="C148">
        <v>11.23</v>
      </c>
      <c r="D148" s="114">
        <f t="shared" si="2"/>
        <v>1381.012048192771</v>
      </c>
      <c r="E148" s="8">
        <v>59.7</v>
      </c>
      <c r="F148" s="56">
        <f t="shared" si="0"/>
        <v>2.7390243902439027</v>
      </c>
      <c r="G148" s="114">
        <f t="shared" si="1"/>
        <v>188.107202680067</v>
      </c>
    </row>
    <row r="149" spans="2:7" ht="12.75">
      <c r="B149">
        <v>5500</v>
      </c>
      <c r="C149">
        <v>15.01</v>
      </c>
      <c r="D149" s="114">
        <f t="shared" si="2"/>
        <v>1600.7710843373495</v>
      </c>
      <c r="E149" s="8">
        <v>69.2</v>
      </c>
      <c r="F149" s="56">
        <f t="shared" si="0"/>
        <v>2.729090909090909</v>
      </c>
      <c r="G149" s="114">
        <f t="shared" si="1"/>
        <v>216.90751445086704</v>
      </c>
    </row>
    <row r="150" spans="2:7" ht="12.75">
      <c r="B150">
        <v>6900</v>
      </c>
      <c r="C150">
        <v>17.99</v>
      </c>
      <c r="D150" s="114">
        <f t="shared" si="2"/>
        <v>1950.072289156626</v>
      </c>
      <c r="E150" s="8">
        <v>84.3</v>
      </c>
      <c r="F150" s="56">
        <f t="shared" si="0"/>
        <v>2.6072463768115943</v>
      </c>
      <c r="G150" s="114">
        <f t="shared" si="1"/>
        <v>213.40450771055754</v>
      </c>
    </row>
    <row r="151" spans="4:5" ht="12.75">
      <c r="D151" s="114"/>
      <c r="E151" s="8"/>
    </row>
    <row r="152" spans="4:5" ht="12.75">
      <c r="D152" s="114"/>
      <c r="E152" s="8"/>
    </row>
    <row r="153" spans="4:5" ht="12.75">
      <c r="D153" s="114"/>
      <c r="E153" s="8"/>
    </row>
    <row r="154" spans="4:5" ht="12.75">
      <c r="D154" s="114"/>
      <c r="E154" s="8"/>
    </row>
    <row r="155" spans="4:5" ht="12.75">
      <c r="D155" s="114"/>
      <c r="E155" s="8"/>
    </row>
    <row r="156" spans="4:5" ht="12.75">
      <c r="D156" s="114"/>
      <c r="E156" s="8"/>
    </row>
    <row r="190" ht="12.75">
      <c r="D190" t="s">
        <v>1063</v>
      </c>
    </row>
    <row r="192" spans="4:10" ht="12.75">
      <c r="D192" s="6" t="s">
        <v>12</v>
      </c>
      <c r="E192" s="6" t="s">
        <v>13</v>
      </c>
      <c r="F192" s="6" t="s">
        <v>1061</v>
      </c>
      <c r="G192" s="6" t="s">
        <v>12</v>
      </c>
      <c r="H192" s="6" t="s">
        <v>392</v>
      </c>
      <c r="I192" s="6" t="s">
        <v>1062</v>
      </c>
      <c r="J192" s="6" t="s">
        <v>1061</v>
      </c>
    </row>
    <row r="193" ht="12.75">
      <c r="B193" s="36" t="str">
        <f>+B11</f>
        <v>Gas Turbine-Generator</v>
      </c>
    </row>
    <row r="194" spans="2:18" ht="12.75">
      <c r="B194" s="36">
        <f>+B12</f>
        <v>1210</v>
      </c>
      <c r="C194" s="36" t="str">
        <f>+C12</f>
        <v>kW</v>
      </c>
      <c r="D194" s="36">
        <f>+D12</f>
        <v>14025</v>
      </c>
      <c r="E194" s="7">
        <f>+E12</f>
        <v>0.01</v>
      </c>
      <c r="F194" s="2">
        <f>+F12</f>
        <v>3500</v>
      </c>
      <c r="G194" s="36">
        <f>+G12</f>
        <v>6588.297520661157</v>
      </c>
      <c r="H194" s="36">
        <f>1.2*G194*B194/12000</f>
        <v>797.184</v>
      </c>
      <c r="I194" s="2">
        <f>IF(H194&lt;=$O$203,$R$203,IF(H194&lt;=$O$204,$R$203+(H194-$O$203)/($O$204-$O$203)*($R$204-$R$203),IF(H194&lt;=$O$205,$R$204+(H194-$O$204)/($O$205-$O$204)*($R$205-$R$204),IF(H194&lt;$O$206,$R$205+(H194-$O$205)/($O$206-$O$205)*($R$206-$R$205),$R$206))))</f>
        <v>452.45056</v>
      </c>
      <c r="J194" s="2">
        <f>+I194*H194/B194</f>
        <v>298.0878902669752</v>
      </c>
      <c r="P194" s="368" t="s">
        <v>385</v>
      </c>
      <c r="Q194" s="368"/>
      <c r="R194" s="368"/>
    </row>
    <row r="195" spans="2:18" ht="12.75">
      <c r="B195" s="36">
        <f aca="true" t="shared" si="3" ref="B195:C209">+B13</f>
        <v>3515</v>
      </c>
      <c r="C195" s="36" t="str">
        <f t="shared" si="3"/>
        <v>kW</v>
      </c>
      <c r="D195" s="36">
        <f aca="true" t="shared" si="4" ref="D195:G197">+D13</f>
        <v>12240</v>
      </c>
      <c r="E195" s="7">
        <f t="shared" si="4"/>
        <v>0.0079</v>
      </c>
      <c r="F195" s="2">
        <f t="shared" si="4"/>
        <v>1750</v>
      </c>
      <c r="G195" s="36">
        <f t="shared" si="4"/>
        <v>5244.795448079658</v>
      </c>
      <c r="H195" s="36">
        <f>1.2*G195*B195/12000</f>
        <v>1843.5455999999997</v>
      </c>
      <c r="I195" s="2">
        <f>IF(H195&lt;=$O$203,$R$203,IF(H195&lt;=$O$204,$R$203+(H195-$O$203)/($O$204-$O$203)*($R$204-$R$203),IF(H195&lt;=$O$205,$R$204+(H195-$O$204)/($O$205-$O$204)*($R$205-$R$204),IF(H195&lt;$O$206,$R$205+(H195-$O$205)/($O$206-$O$205)*($R$206-$R$205),$R$206))))</f>
        <v>405</v>
      </c>
      <c r="J195" s="2">
        <f>+I195*H195/B195</f>
        <v>212.41421564722614</v>
      </c>
      <c r="O195" s="212" t="str">
        <f aca="true" t="shared" si="5" ref="O195:R199">+R12</f>
        <v>Nominal Size</v>
      </c>
      <c r="P195" t="str">
        <f t="shared" si="5"/>
        <v>low</v>
      </c>
      <c r="Q195" t="str">
        <f t="shared" si="5"/>
        <v>high</v>
      </c>
      <c r="R195" t="str">
        <f t="shared" si="5"/>
        <v>average</v>
      </c>
    </row>
    <row r="196" spans="2:19" ht="12.75">
      <c r="B196" s="36">
        <f t="shared" si="3"/>
        <v>5500</v>
      </c>
      <c r="C196" s="36" t="str">
        <f t="shared" si="3"/>
        <v>kW</v>
      </c>
      <c r="D196" s="36">
        <f t="shared" si="4"/>
        <v>11225</v>
      </c>
      <c r="E196" s="7">
        <f t="shared" si="4"/>
        <v>0.0075</v>
      </c>
      <c r="F196" s="2">
        <f t="shared" si="4"/>
        <v>1370</v>
      </c>
      <c r="G196" s="36">
        <f t="shared" si="4"/>
        <v>4852.922181818181</v>
      </c>
      <c r="H196" s="36">
        <f>1.2*G196*B196/12000</f>
        <v>2669.1071999999995</v>
      </c>
      <c r="I196" s="2">
        <f>IF(H196&lt;=$O$203,$R$203,IF(H196&lt;=$O$204,$R$203+(H196-$O$203)/($O$204-$O$203)*($R$204-$R$203),IF(H196&lt;=$O$205,$R$204+(H196-$O$204)/($O$205-$O$204)*($R$205-$R$204),IF(H196&lt;$O$206,$R$205+(H196-$O$205)/($O$206-$O$205)*($R$206-$R$205),$R$206))))</f>
        <v>405</v>
      </c>
      <c r="J196" s="2">
        <f>+I196*H196/B196</f>
        <v>196.5433483636363</v>
      </c>
      <c r="O196" s="36">
        <f t="shared" si="5"/>
        <v>250</v>
      </c>
      <c r="P196" s="2">
        <f t="shared" si="5"/>
        <v>330</v>
      </c>
      <c r="Q196" s="2">
        <f t="shared" si="5"/>
        <v>660</v>
      </c>
      <c r="R196" s="2">
        <f t="shared" si="5"/>
        <v>495</v>
      </c>
      <c r="S196" s="2"/>
    </row>
    <row r="197" spans="2:19" ht="12.75">
      <c r="B197" s="36">
        <f t="shared" si="3"/>
        <v>10690</v>
      </c>
      <c r="C197" s="36" t="str">
        <f t="shared" si="3"/>
        <v>kW</v>
      </c>
      <c r="D197" s="36">
        <f t="shared" si="4"/>
        <v>10520</v>
      </c>
      <c r="E197" s="7">
        <f t="shared" si="4"/>
        <v>0.0075</v>
      </c>
      <c r="F197" s="2">
        <f t="shared" si="4"/>
        <v>1025</v>
      </c>
      <c r="G197" s="36">
        <f t="shared" si="4"/>
        <v>4763.8989710009355</v>
      </c>
      <c r="H197" s="36">
        <f>1.2*G197*B197/12000</f>
        <v>5092.608</v>
      </c>
      <c r="I197" s="2">
        <f>IF(H197&lt;=$O$203,$R$203,IF(H197&lt;=$O$204,$R$203+(H197-$O$203)/($O$204-$O$203)*($R$204-$R$203),IF(H197&lt;=$O$205,$R$204+(H197-$O$204)/($O$205-$O$204)*($R$205-$R$204),IF(H197&lt;$O$206,$R$205+(H197-$O$205)/($O$206-$O$205)*($R$206-$R$205),$R$206))))</f>
        <v>405</v>
      </c>
      <c r="J197" s="2">
        <f>+I197*H197/B197</f>
        <v>192.93790832553788</v>
      </c>
      <c r="O197" s="36">
        <f t="shared" si="5"/>
        <v>500</v>
      </c>
      <c r="P197" s="2">
        <f t="shared" si="5"/>
        <v>220</v>
      </c>
      <c r="Q197" s="2">
        <f t="shared" si="5"/>
        <v>490</v>
      </c>
      <c r="R197" s="2">
        <f t="shared" si="5"/>
        <v>355</v>
      </c>
      <c r="S197" s="2"/>
    </row>
    <row r="198" spans="2:19" ht="12.75">
      <c r="B198" s="36" t="str">
        <f t="shared" si="3"/>
        <v>IC-Engine Generator</v>
      </c>
      <c r="C198" s="36"/>
      <c r="D198" s="36"/>
      <c r="E198" s="7"/>
      <c r="F198" s="2"/>
      <c r="G198" s="36"/>
      <c r="O198" s="36">
        <f t="shared" si="5"/>
        <v>1000</v>
      </c>
      <c r="P198" s="2">
        <f t="shared" si="5"/>
        <v>210</v>
      </c>
      <c r="Q198" s="2">
        <f t="shared" si="5"/>
        <v>390</v>
      </c>
      <c r="R198" s="2">
        <f t="shared" si="5"/>
        <v>300</v>
      </c>
      <c r="S198" s="2"/>
    </row>
    <row r="199" spans="2:19" ht="12.75">
      <c r="B199" s="36">
        <f t="shared" si="3"/>
        <v>100</v>
      </c>
      <c r="C199" s="36" t="str">
        <f t="shared" si="3"/>
        <v>kW</v>
      </c>
      <c r="D199" s="36">
        <f aca="true" t="shared" si="6" ref="D199:G201">+D17</f>
        <v>10980.701071080817</v>
      </c>
      <c r="E199" s="7">
        <f t="shared" si="6"/>
        <v>0.01589413847730873</v>
      </c>
      <c r="F199" s="2">
        <f t="shared" si="6"/>
        <v>1390</v>
      </c>
      <c r="G199" s="36">
        <f t="shared" si="6"/>
        <v>5683</v>
      </c>
      <c r="H199" s="36">
        <f>0.7*G199*B199/12000</f>
        <v>33.15083333333333</v>
      </c>
      <c r="I199" s="2">
        <f>IF(H199&lt;=$O$196,$R$196,IF(H199&lt;=$O$197,$R$196+(H199-$O$196)/($O$197-$O$196)*($R$197-$R$196),IF(H199&lt;=$O$198,$R$197+(H199-$O$197)/($O$198-$O$197)*($R$198-$R$197),IF(H199&lt;$O$199,$R$198+(H199-$O$198)/($O$199-$O$198)*($R$199-$R$198),$R$199))))</f>
        <v>495</v>
      </c>
      <c r="J199" s="2">
        <f>+I199*H199/B199</f>
        <v>164.096625</v>
      </c>
      <c r="O199" s="36">
        <f t="shared" si="5"/>
        <v>0</v>
      </c>
      <c r="P199" s="2">
        <f t="shared" si="5"/>
        <v>200</v>
      </c>
      <c r="Q199" s="2">
        <f t="shared" si="5"/>
        <v>280</v>
      </c>
      <c r="R199" s="2">
        <f t="shared" si="5"/>
        <v>240</v>
      </c>
      <c r="S199" s="2"/>
    </row>
    <row r="200" spans="2:10" ht="12.75">
      <c r="B200" s="36">
        <f t="shared" si="3"/>
        <v>800</v>
      </c>
      <c r="C200" s="36" t="str">
        <f t="shared" si="3"/>
        <v>kW</v>
      </c>
      <c r="D200" s="36">
        <f t="shared" si="6"/>
        <v>10006.32911392405</v>
      </c>
      <c r="E200" s="7">
        <f t="shared" si="6"/>
        <v>0.010321498462398658</v>
      </c>
      <c r="F200" s="2">
        <f t="shared" si="6"/>
        <v>975</v>
      </c>
      <c r="G200" s="36">
        <f t="shared" si="6"/>
        <v>4323</v>
      </c>
      <c r="H200" s="36">
        <f>0.7*G200*B200/12000</f>
        <v>201.74</v>
      </c>
      <c r="I200" s="2">
        <f>IF(H200&lt;=$O$196,$R$196,IF(H200&lt;=$O$197,$R$196+(H200-$O$196)/($O$197-$O$196)*($R$197-$R$196),IF(H200&lt;=$O$198,$R$197+(H200-$O$197)/($O$198-$O$197)*($R$198-$R$197),IF(H200&lt;$O$199,$R$198+(H200-$O$198)/($O$199-$O$198)*($R$199-$R$198),$R$199))))</f>
        <v>495</v>
      </c>
      <c r="J200" s="2">
        <f>+I200*H200/B200</f>
        <v>124.826625</v>
      </c>
    </row>
    <row r="201" spans="2:18" ht="12.75">
      <c r="B201" s="36">
        <f t="shared" si="3"/>
        <v>3000</v>
      </c>
      <c r="C201" s="36" t="str">
        <f t="shared" si="3"/>
        <v>kW</v>
      </c>
      <c r="D201" s="36">
        <f t="shared" si="6"/>
        <v>9198.578383641674</v>
      </c>
      <c r="E201" s="7">
        <f t="shared" si="6"/>
        <v>0.010018637592023111</v>
      </c>
      <c r="F201" s="2">
        <f t="shared" si="6"/>
        <v>850</v>
      </c>
      <c r="G201" s="36">
        <f t="shared" si="6"/>
        <v>2909</v>
      </c>
      <c r="H201" s="36">
        <f>0.7*G201*B201/12000</f>
        <v>509.075</v>
      </c>
      <c r="I201" s="2">
        <f>IF(H201&lt;=$O$196,$R$196,IF(H201&lt;=$O$197,$R$196+(H201-$O$196)/($O$197-$O$196)*($R$197-$R$196),IF(H201&lt;=$O$198,$R$197+(H201-$O$197)/($O$198-$O$197)*($R$198-$R$197),IF(H201&lt;$O$199,$R$198+(H201-$O$198)/($O$199-$O$198)*($R$199-$R$198),$R$199))))</f>
        <v>354.00175</v>
      </c>
      <c r="J201" s="2">
        <f>+I201*H201/B201</f>
        <v>60.07114696041666</v>
      </c>
      <c r="P201" s="368" t="s">
        <v>386</v>
      </c>
      <c r="Q201" s="368"/>
      <c r="R201" s="368"/>
    </row>
    <row r="202" spans="2:18" ht="12.75">
      <c r="B202" s="36" t="str">
        <f t="shared" si="3"/>
        <v>Microturbine</v>
      </c>
      <c r="C202" s="36"/>
      <c r="D202" s="36"/>
      <c r="E202" s="7"/>
      <c r="F202" s="2"/>
      <c r="G202" s="36"/>
      <c r="H202" s="36"/>
      <c r="I202" s="36"/>
      <c r="J202" s="2"/>
      <c r="P202" t="str">
        <f aca="true" t="shared" si="7" ref="P202:R206">+W12</f>
        <v>low</v>
      </c>
      <c r="Q202" t="str">
        <f t="shared" si="7"/>
        <v>high</v>
      </c>
      <c r="R202" t="str">
        <f t="shared" si="7"/>
        <v>average</v>
      </c>
    </row>
    <row r="203" spans="2:18" ht="12.75">
      <c r="B203" s="36">
        <f t="shared" si="3"/>
        <v>30</v>
      </c>
      <c r="C203" s="36" t="str">
        <f t="shared" si="3"/>
        <v>kW</v>
      </c>
      <c r="D203" s="36">
        <f aca="true" t="shared" si="8" ref="D203:G205">+D21</f>
        <v>12049.25024342746</v>
      </c>
      <c r="E203" s="7">
        <f t="shared" si="8"/>
        <v>0.01090299133351971</v>
      </c>
      <c r="F203" s="2">
        <f t="shared" si="8"/>
        <v>1870</v>
      </c>
      <c r="G203" s="36">
        <f t="shared" si="8"/>
        <v>4498</v>
      </c>
      <c r="H203" s="36">
        <f>0.7*G203*B203/12000</f>
        <v>7.8715</v>
      </c>
      <c r="I203" s="2">
        <f>IF(H203&lt;=$O$196,$R$196,IF(H203&lt;=$O$197,$R$196+(H203-$O$196)/($O$197-$O$196)*($R$197-$R$196),IF(H203&lt;=$O$198,$R$197+(H203-$O$197)/($O$198-$O$197)*($R$198-$R$197),IF(H203&lt;$O$199,$R$198+(H203-$O$198)/($O$199-$O$198)*($R$199-$R$198),$R$199))))</f>
        <v>495</v>
      </c>
      <c r="J203" s="2">
        <f>+I203*H203/B203</f>
        <v>129.87975</v>
      </c>
      <c r="O203" s="36">
        <f>+O196</f>
        <v>250</v>
      </c>
      <c r="P203" s="2">
        <f t="shared" si="7"/>
        <v>460</v>
      </c>
      <c r="Q203" s="2">
        <f t="shared" si="7"/>
        <v>920</v>
      </c>
      <c r="R203" s="2">
        <f t="shared" si="7"/>
        <v>690</v>
      </c>
    </row>
    <row r="204" spans="2:18" ht="12.75">
      <c r="B204" s="36">
        <f t="shared" si="3"/>
        <v>60</v>
      </c>
      <c r="C204" s="36" t="str">
        <f t="shared" si="3"/>
        <v>kW</v>
      </c>
      <c r="D204" s="36">
        <f t="shared" si="8"/>
        <v>12049.25024342746</v>
      </c>
      <c r="E204" s="7">
        <f t="shared" si="8"/>
        <v>0.01090299133351971</v>
      </c>
      <c r="F204" s="2">
        <f t="shared" si="8"/>
        <v>1870</v>
      </c>
      <c r="G204" s="36">
        <f t="shared" si="8"/>
        <v>4498</v>
      </c>
      <c r="H204" s="36">
        <f>0.7*G204*B204/12000</f>
        <v>15.743</v>
      </c>
      <c r="I204" s="2">
        <f>IF(H204&lt;=$O$196,$R$196,IF(H204&lt;=$O$197,$R$196+(H204-$O$196)/($O$197-$O$196)*($R$197-$R$196),IF(H204&lt;=$O$198,$R$197+(H204-$O$197)/($O$198-$O$197)*($R$198-$R$197),IF(H204&lt;$O$199,$R$198+(H204-$O$198)/($O$199-$O$198)*($R$199-$R$198),$R$199))))</f>
        <v>495</v>
      </c>
      <c r="J204" s="2">
        <f>+I204*H204/B204</f>
        <v>129.87975</v>
      </c>
      <c r="O204" s="36">
        <f>+O197</f>
        <v>500</v>
      </c>
      <c r="P204" s="2">
        <f t="shared" si="7"/>
        <v>310</v>
      </c>
      <c r="Q204" s="2">
        <f t="shared" si="7"/>
        <v>690</v>
      </c>
      <c r="R204" s="2">
        <f t="shared" si="7"/>
        <v>500</v>
      </c>
    </row>
    <row r="205" spans="2:18" ht="12.75">
      <c r="B205" s="36">
        <f t="shared" si="3"/>
        <v>200</v>
      </c>
      <c r="C205" s="36" t="str">
        <f t="shared" si="3"/>
        <v>kW</v>
      </c>
      <c r="D205" s="36">
        <f t="shared" si="8"/>
        <v>12049.25024342746</v>
      </c>
      <c r="E205" s="7">
        <f t="shared" si="8"/>
        <v>0.01090299133351971</v>
      </c>
      <c r="F205" s="2">
        <f t="shared" si="8"/>
        <v>1870</v>
      </c>
      <c r="G205" s="36">
        <f t="shared" si="8"/>
        <v>4498</v>
      </c>
      <c r="H205" s="36">
        <f>0.7*G205*B205/12000</f>
        <v>52.47666666666667</v>
      </c>
      <c r="I205" s="2">
        <f>IF(H205&lt;=$O$196,$R$196,IF(H205&lt;=$O$197,$R$196+(H205-$O$196)/($O$197-$O$196)*($R$197-$R$196),IF(H205&lt;=$O$198,$R$197+(H205-$O$197)/($O$198-$O$197)*($R$198-$R$197),IF(H205&lt;$O$199,$R$198+(H205-$O$198)/($O$199-$O$198)*($R$199-$R$198),$R$199))))</f>
        <v>495</v>
      </c>
      <c r="J205" s="2">
        <f>+I205*H205/B205</f>
        <v>129.87975</v>
      </c>
      <c r="O205" s="36">
        <f>+O198</f>
        <v>1000</v>
      </c>
      <c r="P205" s="2">
        <f t="shared" si="7"/>
        <v>290</v>
      </c>
      <c r="Q205" s="2">
        <f t="shared" si="7"/>
        <v>550</v>
      </c>
      <c r="R205" s="2">
        <f t="shared" si="7"/>
        <v>420</v>
      </c>
    </row>
    <row r="206" spans="2:18" ht="12.75">
      <c r="B206" s="36" t="str">
        <f t="shared" si="3"/>
        <v>Fuel Cell</v>
      </c>
      <c r="C206" s="36"/>
      <c r="D206" s="36"/>
      <c r="E206" s="7"/>
      <c r="F206" s="2"/>
      <c r="G206" s="36"/>
      <c r="O206" s="36">
        <f>+O199</f>
        <v>0</v>
      </c>
      <c r="P206" s="2">
        <f t="shared" si="7"/>
        <v>280</v>
      </c>
      <c r="Q206" s="2">
        <f t="shared" si="7"/>
        <v>530</v>
      </c>
      <c r="R206" s="2">
        <f t="shared" si="7"/>
        <v>405</v>
      </c>
    </row>
    <row r="207" spans="2:10" ht="12.75">
      <c r="B207" s="36">
        <f t="shared" si="3"/>
        <v>100</v>
      </c>
      <c r="C207" s="36" t="str">
        <f t="shared" si="3"/>
        <v>kW</v>
      </c>
      <c r="D207" s="36">
        <f aca="true" t="shared" si="9" ref="D207:G209">+D25</f>
        <v>8532.5</v>
      </c>
      <c r="E207" s="7">
        <f t="shared" si="9"/>
        <v>0.05661910197869102</v>
      </c>
      <c r="F207" s="2">
        <f t="shared" si="9"/>
        <v>3500</v>
      </c>
      <c r="G207" s="36">
        <f t="shared" si="9"/>
        <v>2250</v>
      </c>
      <c r="H207" s="36">
        <f>0.7*G207*B207/12000</f>
        <v>13.125</v>
      </c>
      <c r="I207" s="2">
        <f>IF(H207&lt;=$O$196,$R$196,IF(H207&lt;=$O$197,$R$196+(H207-$O$196)/($O$197-$O$196)*($R$197-$R$196),IF(H207&lt;=$O$198,$R$197+(H207-$O$197)/($O$198-$O$197)*($R$198-$R$197),IF(H207&lt;$O$199,$R$198+(H207-$O$198)/($O$199-$O$198)*($R$199-$R$198),$R$199))))</f>
        <v>495</v>
      </c>
      <c r="J207" s="2">
        <f>+I207*H207/B207</f>
        <v>64.96875</v>
      </c>
    </row>
    <row r="208" spans="2:10" ht="12.75">
      <c r="B208" s="36">
        <f t="shared" si="3"/>
        <v>200</v>
      </c>
      <c r="C208" s="36" t="str">
        <f t="shared" si="3"/>
        <v>kW</v>
      </c>
      <c r="D208" s="36">
        <f t="shared" si="9"/>
        <v>8532.5</v>
      </c>
      <c r="E208" s="7">
        <f t="shared" si="9"/>
        <v>0.05661910197869102</v>
      </c>
      <c r="F208" s="2">
        <f t="shared" si="9"/>
        <v>3500</v>
      </c>
      <c r="G208" s="36">
        <f t="shared" si="9"/>
        <v>2250</v>
      </c>
      <c r="H208" s="36">
        <f>0.7*G208*B208/12000</f>
        <v>26.25</v>
      </c>
      <c r="I208" s="2">
        <f>IF(H208&lt;=$O$196,$R$196,IF(H208&lt;=$O$197,$R$196+(H208-$O$196)/($O$197-$O$196)*($R$197-$R$196),IF(H208&lt;=$O$198,$R$197+(H208-$O$197)/($O$198-$O$197)*($R$198-$R$197),IF(H208&lt;$O$199,$R$198+(H208-$O$198)/($O$199-$O$198)*($R$199-$R$198),$R$199))))</f>
        <v>495</v>
      </c>
      <c r="J208" s="2">
        <f>+I208*H208/B208</f>
        <v>64.96875</v>
      </c>
    </row>
    <row r="209" spans="2:10" ht="12.75">
      <c r="B209" s="36">
        <f t="shared" si="3"/>
        <v>500</v>
      </c>
      <c r="C209" s="36" t="str">
        <f t="shared" si="3"/>
        <v>kW</v>
      </c>
      <c r="D209" s="36">
        <f t="shared" si="9"/>
        <v>8532.5</v>
      </c>
      <c r="E209" s="7">
        <f t="shared" si="9"/>
        <v>0.05661910197869102</v>
      </c>
      <c r="F209" s="2">
        <f t="shared" si="9"/>
        <v>3500</v>
      </c>
      <c r="G209" s="36">
        <f t="shared" si="9"/>
        <v>2250</v>
      </c>
      <c r="H209" s="36">
        <f>0.7*G209*B209/12000</f>
        <v>65.625</v>
      </c>
      <c r="I209" s="2">
        <f>IF(H209&lt;=$O$196,$R$196,IF(H209&lt;=$O$197,$R$196+(H209-$O$196)/($O$197-$O$196)*($R$197-$R$196),IF(H209&lt;=$O$198,$R$197+(H209-$O$197)/($O$198-$O$197)*($R$198-$R$197),IF(H209&lt;$O$199,$R$198+(H209-$O$198)/($O$199-$O$198)*($R$199-$R$198),$R$199))))</f>
        <v>495</v>
      </c>
      <c r="J209" s="2">
        <f>+I209*H209/B209</f>
        <v>64.96875</v>
      </c>
    </row>
    <row r="210" spans="2:3" ht="12.75">
      <c r="B210" s="36"/>
      <c r="C210" s="36"/>
    </row>
    <row r="211" spans="2:3" ht="12.75">
      <c r="B211" s="36"/>
      <c r="C211" s="36"/>
    </row>
    <row r="212" spans="2:3" ht="12.75">
      <c r="B212" s="36"/>
      <c r="C212" s="36"/>
    </row>
  </sheetData>
  <mergeCells count="110">
    <mergeCell ref="P201:R201"/>
    <mergeCell ref="B6:C6"/>
    <mergeCell ref="B7:C7"/>
    <mergeCell ref="B11:C11"/>
    <mergeCell ref="B16:C16"/>
    <mergeCell ref="F30:F31"/>
    <mergeCell ref="G30:G31"/>
    <mergeCell ref="B32:C32"/>
    <mergeCell ref="B20:C20"/>
    <mergeCell ref="B30:C31"/>
    <mergeCell ref="D30:D31"/>
    <mergeCell ref="B33:C33"/>
    <mergeCell ref="P194:R194"/>
    <mergeCell ref="R7:U7"/>
    <mergeCell ref="R8:U8"/>
    <mergeCell ref="R9:U9"/>
    <mergeCell ref="R10:U10"/>
    <mergeCell ref="B75:D75"/>
    <mergeCell ref="B76:D76"/>
    <mergeCell ref="B77:D77"/>
    <mergeCell ref="W11:Y11"/>
    <mergeCell ref="R35:R36"/>
    <mergeCell ref="R37:R38"/>
    <mergeCell ref="B74:D74"/>
    <mergeCell ref="J74:M74"/>
    <mergeCell ref="B34:C34"/>
    <mergeCell ref="B35:C35"/>
    <mergeCell ref="E30:E31"/>
    <mergeCell ref="S11:U11"/>
    <mergeCell ref="B24:C24"/>
    <mergeCell ref="B84:D84"/>
    <mergeCell ref="B85:D85"/>
    <mergeCell ref="B78:D78"/>
    <mergeCell ref="B79:D79"/>
    <mergeCell ref="B80:D80"/>
    <mergeCell ref="B81:D81"/>
    <mergeCell ref="J75:M75"/>
    <mergeCell ref="J76:M76"/>
    <mergeCell ref="B90:D90"/>
    <mergeCell ref="B86:D86"/>
    <mergeCell ref="B87:D87"/>
    <mergeCell ref="B88:D88"/>
    <mergeCell ref="B89:D89"/>
    <mergeCell ref="B82:D82"/>
    <mergeCell ref="B83:D83"/>
    <mergeCell ref="J77:M77"/>
    <mergeCell ref="J78:M78"/>
    <mergeCell ref="J79:M79"/>
    <mergeCell ref="J80:M80"/>
    <mergeCell ref="J81:M81"/>
    <mergeCell ref="J82:M82"/>
    <mergeCell ref="J83:M83"/>
    <mergeCell ref="J84:M84"/>
    <mergeCell ref="J85:M85"/>
    <mergeCell ref="J86:M86"/>
    <mergeCell ref="J89:M89"/>
    <mergeCell ref="J90:M90"/>
    <mergeCell ref="J87:M87"/>
    <mergeCell ref="B99:D99"/>
    <mergeCell ref="B100:D100"/>
    <mergeCell ref="J93:M93"/>
    <mergeCell ref="J91:M91"/>
    <mergeCell ref="J92:M92"/>
    <mergeCell ref="B92:D92"/>
    <mergeCell ref="B93:D93"/>
    <mergeCell ref="B94:D94"/>
    <mergeCell ref="B101:H102"/>
    <mergeCell ref="B73:H73"/>
    <mergeCell ref="J95:S96"/>
    <mergeCell ref="S72:S73"/>
    <mergeCell ref="O73:Q73"/>
    <mergeCell ref="J72:N72"/>
    <mergeCell ref="O72:Q72"/>
    <mergeCell ref="R72:R73"/>
    <mergeCell ref="B96:D96"/>
    <mergeCell ref="B97:D97"/>
    <mergeCell ref="G109:H109"/>
    <mergeCell ref="G110:H110"/>
    <mergeCell ref="G111:H111"/>
    <mergeCell ref="G112:H112"/>
    <mergeCell ref="I112:J112"/>
    <mergeCell ref="I113:J113"/>
    <mergeCell ref="I114:J114"/>
    <mergeCell ref="I115:J115"/>
    <mergeCell ref="N109:P109"/>
    <mergeCell ref="G119:H119"/>
    <mergeCell ref="I119:J119"/>
    <mergeCell ref="O119:Q119"/>
    <mergeCell ref="G113:H113"/>
    <mergeCell ref="G114:H114"/>
    <mergeCell ref="G115:H115"/>
    <mergeCell ref="I109:J109"/>
    <mergeCell ref="I110:J110"/>
    <mergeCell ref="I111:J111"/>
    <mergeCell ref="G125:H125"/>
    <mergeCell ref="I125:J125"/>
    <mergeCell ref="G122:H122"/>
    <mergeCell ref="I122:J122"/>
    <mergeCell ref="G123:H123"/>
    <mergeCell ref="I123:J123"/>
    <mergeCell ref="G108:P108"/>
    <mergeCell ref="G118:Q118"/>
    <mergeCell ref="G124:H124"/>
    <mergeCell ref="I124:J124"/>
    <mergeCell ref="G120:H120"/>
    <mergeCell ref="I120:J120"/>
    <mergeCell ref="G121:H121"/>
    <mergeCell ref="I121:J121"/>
    <mergeCell ref="K119:N119"/>
    <mergeCell ref="K109:M10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B2:Y70"/>
  <sheetViews>
    <sheetView zoomScale="75" zoomScaleNormal="75" workbookViewId="0" topLeftCell="A8">
      <selection activeCell="D38" sqref="D38"/>
    </sheetView>
  </sheetViews>
  <sheetFormatPr defaultColWidth="9.140625" defaultRowHeight="12.75"/>
  <cols>
    <col min="2" max="3" width="10.7109375" style="0" customWidth="1"/>
    <col min="4" max="4" width="9.421875" style="0" bestFit="1" customWidth="1"/>
    <col min="5" max="6" width="10.421875" style="0" bestFit="1" customWidth="1"/>
    <col min="7" max="12" width="10.421875" style="0" customWidth="1"/>
    <col min="14" max="14" width="10.140625" style="0" bestFit="1" customWidth="1"/>
    <col min="15" max="15" width="10.140625" style="0" customWidth="1"/>
    <col min="22" max="22" width="10.140625" style="0" bestFit="1" customWidth="1"/>
    <col min="25" max="25" width="9.421875" style="0" bestFit="1" customWidth="1"/>
  </cols>
  <sheetData>
    <row r="1" ht="13.5" thickBot="1"/>
    <row r="2" spans="5:20" ht="13.5" thickBot="1">
      <c r="E2" s="379" t="s">
        <v>960</v>
      </c>
      <c r="O2" s="317" t="s">
        <v>958</v>
      </c>
      <c r="P2" s="318"/>
      <c r="Q2" s="318"/>
      <c r="R2" s="318"/>
      <c r="S2" s="318"/>
      <c r="T2" s="313"/>
    </row>
    <row r="3" spans="2:20" ht="16.5" thickBot="1">
      <c r="B3" s="1" t="s">
        <v>176</v>
      </c>
      <c r="E3" s="379"/>
      <c r="F3" s="6" t="s">
        <v>959</v>
      </c>
      <c r="G3" s="6"/>
      <c r="H3" s="6"/>
      <c r="I3" s="1" t="s">
        <v>968</v>
      </c>
      <c r="O3" s="175" t="s">
        <v>954</v>
      </c>
      <c r="P3" s="136" t="s">
        <v>0</v>
      </c>
      <c r="Q3" s="136" t="s">
        <v>955</v>
      </c>
      <c r="R3" s="136" t="s">
        <v>956</v>
      </c>
      <c r="S3" s="136" t="s">
        <v>658</v>
      </c>
      <c r="T3" s="136" t="s">
        <v>475</v>
      </c>
    </row>
    <row r="4" spans="2:20" ht="12.75">
      <c r="B4" s="279" t="s">
        <v>490</v>
      </c>
      <c r="E4" s="4">
        <f>+Data!AE28</f>
        <v>6.5</v>
      </c>
      <c r="F4" s="4">
        <f>IF($E$6&lt;=$S$20,$S21,IF($E$6&lt;=$T$20,$S21+($E$6-$S$20)/($T$20-$S$20)*($T21-$S21),IF($E$6&lt;U20,T21+($E$6-T20)/(U20-T20)*(U21-T21),U21)))</f>
        <v>7.5</v>
      </c>
      <c r="G4" s="63" t="s">
        <v>491</v>
      </c>
      <c r="H4" s="4"/>
      <c r="I4" t="s">
        <v>969</v>
      </c>
      <c r="K4" s="56">
        <f>+Data!AE6/1000</f>
        <v>17.99</v>
      </c>
      <c r="L4" t="s">
        <v>0</v>
      </c>
      <c r="O4" s="282">
        <v>400</v>
      </c>
      <c r="P4" s="70">
        <v>0.85</v>
      </c>
      <c r="Q4" s="244">
        <v>65</v>
      </c>
      <c r="R4" s="285">
        <f>+Q4/8/24*8.3</f>
        <v>2.809895833333334</v>
      </c>
      <c r="S4" s="286">
        <f aca="true" t="shared" si="0" ref="S4:S14">1000*P4/O4</f>
        <v>2.125</v>
      </c>
      <c r="T4" s="280">
        <f aca="true" t="shared" si="1" ref="T4:T14">1000*P4/R4</f>
        <v>302.5023169601482</v>
      </c>
    </row>
    <row r="5" spans="2:20" ht="12.75">
      <c r="B5" s="279" t="s">
        <v>943</v>
      </c>
      <c r="E5" s="7">
        <f>+Data!AE29</f>
        <v>0.0075</v>
      </c>
      <c r="F5" s="7">
        <f>IF($E$6&lt;=$S$20,$S22,IF($E$6&lt;=$T$20,$S22+($E$6-$S$20)/($T$20-$S$20)*($T22-$S22),IF(E6&lt;U20,T22+(E6-T20)/(U20-T20)*(U22-T22),U22)))</f>
        <v>0.09</v>
      </c>
      <c r="G5" s="63" t="s">
        <v>926</v>
      </c>
      <c r="H5" s="7"/>
      <c r="I5" t="s">
        <v>970</v>
      </c>
      <c r="K5" s="36">
        <f>+Data!AE7</f>
        <v>0</v>
      </c>
      <c r="L5" t="s">
        <v>474</v>
      </c>
      <c r="O5" s="282">
        <v>400</v>
      </c>
      <c r="P5" s="70">
        <v>1.48</v>
      </c>
      <c r="Q5" s="244">
        <v>121</v>
      </c>
      <c r="R5" s="285">
        <f>+Q5/8/24*8.3</f>
        <v>5.230729166666667</v>
      </c>
      <c r="S5" s="286">
        <f t="shared" si="0"/>
        <v>3.7</v>
      </c>
      <c r="T5" s="280">
        <f t="shared" si="1"/>
        <v>282.9433436224235</v>
      </c>
    </row>
    <row r="6" spans="2:20" ht="12.75">
      <c r="B6" s="279" t="s">
        <v>971</v>
      </c>
      <c r="E6" s="36">
        <f>+Data!AE25</f>
        <v>0</v>
      </c>
      <c r="G6" t="s">
        <v>972</v>
      </c>
      <c r="I6" t="s">
        <v>973</v>
      </c>
      <c r="K6" s="36">
        <f>+Data!AE8</f>
        <v>1950</v>
      </c>
      <c r="L6" t="s">
        <v>955</v>
      </c>
      <c r="O6" s="282">
        <v>400</v>
      </c>
      <c r="P6" s="70">
        <v>1.55</v>
      </c>
      <c r="Q6" s="244">
        <v>165</v>
      </c>
      <c r="R6" s="285">
        <f>+Q6/8/24*8.3</f>
        <v>7.132812500000001</v>
      </c>
      <c r="S6" s="286">
        <f t="shared" si="0"/>
        <v>3.875</v>
      </c>
      <c r="T6" s="280">
        <f t="shared" si="1"/>
        <v>217.30558598028475</v>
      </c>
    </row>
    <row r="7" spans="2:20" ht="12.75">
      <c r="B7" t="s">
        <v>946</v>
      </c>
      <c r="E7" s="2">
        <f>+F4*E6</f>
        <v>0</v>
      </c>
      <c r="F7" s="2">
        <f>+E7</f>
        <v>0</v>
      </c>
      <c r="H7" s="2"/>
      <c r="K7" s="8">
        <f>+K6/(24*8*K40)*K36</f>
        <v>84.53584558823529</v>
      </c>
      <c r="L7" t="s">
        <v>956</v>
      </c>
      <c r="O7" s="282">
        <v>540</v>
      </c>
      <c r="P7" s="70">
        <v>1.63</v>
      </c>
      <c r="Q7" s="244">
        <f aca="true" t="shared" si="2" ref="Q7:Q14">+R7*24/8.3*8</f>
        <v>161.9277108433735</v>
      </c>
      <c r="R7" s="285">
        <v>7</v>
      </c>
      <c r="S7" s="286">
        <f t="shared" si="0"/>
        <v>3.0185185185185186</v>
      </c>
      <c r="T7" s="280">
        <f t="shared" si="1"/>
        <v>232.85714285714286</v>
      </c>
    </row>
    <row r="8" spans="2:20" ht="12.75">
      <c r="B8" t="s">
        <v>588</v>
      </c>
      <c r="E8" s="4">
        <f>+F5*E6</f>
        <v>0</v>
      </c>
      <c r="F8" s="4">
        <f>+E8</f>
        <v>0</v>
      </c>
      <c r="G8" s="63" t="s">
        <v>24</v>
      </c>
      <c r="H8" s="4"/>
      <c r="O8" s="282">
        <v>950</v>
      </c>
      <c r="P8" s="70">
        <v>2.24</v>
      </c>
      <c r="Q8" s="244">
        <f t="shared" si="2"/>
        <v>259.0843373493975</v>
      </c>
      <c r="R8" s="285">
        <v>11.2</v>
      </c>
      <c r="S8" s="286">
        <f t="shared" si="0"/>
        <v>2.357894736842105</v>
      </c>
      <c r="T8" s="280">
        <f t="shared" si="1"/>
        <v>200</v>
      </c>
    </row>
    <row r="9" spans="5:20" ht="12.75">
      <c r="E9" s="8"/>
      <c r="F9" s="57"/>
      <c r="G9" s="57"/>
      <c r="H9" s="57"/>
      <c r="I9" s="1" t="s">
        <v>974</v>
      </c>
      <c r="O9" s="282">
        <v>1400</v>
      </c>
      <c r="P9" s="70">
        <v>3.5</v>
      </c>
      <c r="Q9" s="244">
        <f t="shared" si="2"/>
        <v>425.6385542168674</v>
      </c>
      <c r="R9" s="285">
        <v>18.4</v>
      </c>
      <c r="S9" s="286">
        <f t="shared" si="0"/>
        <v>2.5</v>
      </c>
      <c r="T9" s="280">
        <f t="shared" si="1"/>
        <v>190.21739130434784</v>
      </c>
    </row>
    <row r="10" spans="5:20" ht="12.75">
      <c r="E10" s="108"/>
      <c r="F10" s="108"/>
      <c r="G10" s="108"/>
      <c r="H10" s="108"/>
      <c r="I10" t="s">
        <v>969</v>
      </c>
      <c r="K10" s="56">
        <f>+Data!AE11/1000</f>
        <v>4</v>
      </c>
      <c r="L10" t="s">
        <v>0</v>
      </c>
      <c r="O10" s="282">
        <v>2300</v>
      </c>
      <c r="P10" s="70">
        <v>6.12</v>
      </c>
      <c r="Q10" s="244">
        <f t="shared" si="2"/>
        <v>730.9879518072289</v>
      </c>
      <c r="R10" s="285">
        <v>31.6</v>
      </c>
      <c r="S10" s="286">
        <f t="shared" si="0"/>
        <v>2.6608695652173915</v>
      </c>
      <c r="T10" s="280">
        <f t="shared" si="1"/>
        <v>193.67088607594937</v>
      </c>
    </row>
    <row r="11" spans="2:20" ht="15.75">
      <c r="B11" t="s">
        <v>996</v>
      </c>
      <c r="D11" s="108">
        <f>24*8*K40*1000*K4/(K36*K6)</f>
        <v>212.8091329165534</v>
      </c>
      <c r="E11" t="s">
        <v>997</v>
      </c>
      <c r="F11" s="56"/>
      <c r="I11" t="s">
        <v>970</v>
      </c>
      <c r="M11" s="6"/>
      <c r="O11" s="282">
        <v>3500</v>
      </c>
      <c r="P11" s="70">
        <v>8.85</v>
      </c>
      <c r="Q11" s="244">
        <f t="shared" si="2"/>
        <v>1022.4578313253013</v>
      </c>
      <c r="R11" s="285">
        <v>44.2</v>
      </c>
      <c r="S11" s="286">
        <f t="shared" si="0"/>
        <v>2.5285714285714285</v>
      </c>
      <c r="T11" s="280">
        <f t="shared" si="1"/>
        <v>200.22624434389138</v>
      </c>
    </row>
    <row r="12" spans="2:20" ht="15.75">
      <c r="B12" t="s">
        <v>998</v>
      </c>
      <c r="D12" s="56">
        <f>+K10</f>
        <v>4</v>
      </c>
      <c r="E12" t="s">
        <v>0</v>
      </c>
      <c r="I12" s="224" t="s">
        <v>975</v>
      </c>
      <c r="K12" s="36">
        <f>+Data!AE13</f>
        <v>2000</v>
      </c>
      <c r="L12" t="s">
        <v>474</v>
      </c>
      <c r="O12" s="282">
        <v>4100</v>
      </c>
      <c r="P12" s="70">
        <v>11.23</v>
      </c>
      <c r="Q12" s="244">
        <f t="shared" si="2"/>
        <v>1381.012048192771</v>
      </c>
      <c r="R12" s="285">
        <v>59.7</v>
      </c>
      <c r="S12" s="286">
        <f t="shared" si="0"/>
        <v>2.7390243902439027</v>
      </c>
      <c r="T12" s="280">
        <f t="shared" si="1"/>
        <v>188.107202680067</v>
      </c>
    </row>
    <row r="13" spans="2:20" ht="15.75">
      <c r="B13" t="s">
        <v>999</v>
      </c>
      <c r="D13" s="108">
        <f>K39*K12*K35*(K15-K16)/K38</f>
        <v>46.902857142857144</v>
      </c>
      <c r="E13" t="s">
        <v>1000</v>
      </c>
      <c r="I13" s="224" t="s">
        <v>976</v>
      </c>
      <c r="K13" s="36">
        <f>+Data!AE14</f>
        <v>2000</v>
      </c>
      <c r="L13" t="s">
        <v>474</v>
      </c>
      <c r="O13" s="282">
        <v>5500</v>
      </c>
      <c r="P13" s="70">
        <v>15.01</v>
      </c>
      <c r="Q13" s="244">
        <f t="shared" si="2"/>
        <v>1600.7710843373495</v>
      </c>
      <c r="R13" s="285">
        <v>69.2</v>
      </c>
      <c r="S13" s="286">
        <f t="shared" si="0"/>
        <v>2.729090909090909</v>
      </c>
      <c r="T13" s="280">
        <f t="shared" si="1"/>
        <v>216.90751445086704</v>
      </c>
    </row>
    <row r="14" spans="2:20" ht="16.5" thickBot="1">
      <c r="B14" t="s">
        <v>1001</v>
      </c>
      <c r="D14" s="108">
        <f>1000*K38*K10/(K39*K12*K35*(K15-K16))</f>
        <v>85.28265107212475</v>
      </c>
      <c r="E14" t="s">
        <v>997</v>
      </c>
      <c r="F14" s="36"/>
      <c r="G14" s="56"/>
      <c r="I14" t="s">
        <v>977</v>
      </c>
      <c r="O14" s="283">
        <v>6900</v>
      </c>
      <c r="P14" s="80">
        <v>17.99</v>
      </c>
      <c r="Q14" s="284">
        <f t="shared" si="2"/>
        <v>1950.072289156626</v>
      </c>
      <c r="R14" s="277">
        <v>84.3</v>
      </c>
      <c r="S14" s="287">
        <f t="shared" si="0"/>
        <v>2.6072463768115943</v>
      </c>
      <c r="T14" s="281">
        <f t="shared" si="1"/>
        <v>213.40450771055754</v>
      </c>
    </row>
    <row r="15" spans="2:12" ht="16.5">
      <c r="B15" t="s">
        <v>1002</v>
      </c>
      <c r="D15" s="108">
        <f>D25/(K13/(K12+K13)*K39*K35*K34*(K21-K22)*(1-K23))</f>
        <v>127.61741282678251</v>
      </c>
      <c r="E15" t="s">
        <v>1003</v>
      </c>
      <c r="F15" s="5"/>
      <c r="I15" s="297" t="s">
        <v>1004</v>
      </c>
      <c r="K15" s="36">
        <f>+Data!AE16</f>
        <v>130</v>
      </c>
      <c r="L15" t="s">
        <v>1005</v>
      </c>
    </row>
    <row r="16" spans="2:15" ht="16.5">
      <c r="B16" t="s">
        <v>1006</v>
      </c>
      <c r="D16" s="108">
        <f>(K12/K13)*D25/(K39*K35*K34*(K21-K22)*(1-K23))</f>
        <v>63.808706413391256</v>
      </c>
      <c r="E16" t="s">
        <v>1003</v>
      </c>
      <c r="F16" s="36"/>
      <c r="I16" s="297" t="s">
        <v>1007</v>
      </c>
      <c r="K16" s="114">
        <f>+Data!AE17</f>
        <v>92</v>
      </c>
      <c r="L16" t="s">
        <v>1005</v>
      </c>
      <c r="O16" t="s">
        <v>957</v>
      </c>
    </row>
    <row r="17" spans="4:12" ht="13.5" thickBot="1">
      <c r="D17" s="36">
        <f>+D16*D26</f>
        <v>331805.27334963455</v>
      </c>
      <c r="E17" t="s">
        <v>978</v>
      </c>
      <c r="I17" s="224" t="s">
        <v>979</v>
      </c>
      <c r="K17" s="8">
        <f>+$K$39*K12*$K$35*(K15-K16)/$K$38</f>
        <v>46.902857142857144</v>
      </c>
      <c r="L17" t="s">
        <v>956</v>
      </c>
    </row>
    <row r="18" spans="2:24" ht="16.5" thickBot="1">
      <c r="B18" t="s">
        <v>1008</v>
      </c>
      <c r="D18" s="36">
        <f>+E6</f>
        <v>0</v>
      </c>
      <c r="E18" t="s">
        <v>474</v>
      </c>
      <c r="O18" s="317" t="s">
        <v>922</v>
      </c>
      <c r="P18" s="318"/>
      <c r="Q18" s="318"/>
      <c r="R18" s="318"/>
      <c r="S18" s="318"/>
      <c r="T18" s="318"/>
      <c r="U18" s="318"/>
      <c r="V18" s="318"/>
      <c r="W18" s="318"/>
      <c r="X18" s="313"/>
    </row>
    <row r="19" spans="2:24" ht="16.5" thickBot="1">
      <c r="B19" t="s">
        <v>1009</v>
      </c>
      <c r="D19" s="36">
        <f>K39*K35*(K15-K16)/K38*D18</f>
        <v>0</v>
      </c>
      <c r="E19" t="s">
        <v>1000</v>
      </c>
      <c r="F19" s="36"/>
      <c r="I19" s="1" t="s">
        <v>980</v>
      </c>
      <c r="O19" s="340" t="s">
        <v>909</v>
      </c>
      <c r="P19" s="349"/>
      <c r="Q19" s="343" t="s">
        <v>914</v>
      </c>
      <c r="R19" s="346"/>
      <c r="S19" s="333" t="s">
        <v>920</v>
      </c>
      <c r="T19" s="334"/>
      <c r="U19" s="335"/>
      <c r="V19" s="334" t="s">
        <v>921</v>
      </c>
      <c r="W19" s="334"/>
      <c r="X19" s="335"/>
    </row>
    <row r="20" spans="2:24" ht="16.5">
      <c r="B20" t="s">
        <v>1010</v>
      </c>
      <c r="D20" s="56">
        <f>24*8*K40*K4*K39*K35*(K15-K16)*D18/(K36*K6*K38)-K10*D18/K12</f>
        <v>0</v>
      </c>
      <c r="E20" t="s">
        <v>0</v>
      </c>
      <c r="I20" s="25" t="s">
        <v>981</v>
      </c>
      <c r="O20" s="329" t="s">
        <v>910</v>
      </c>
      <c r="P20" s="344"/>
      <c r="Q20" s="332" t="s">
        <v>915</v>
      </c>
      <c r="R20" s="347"/>
      <c r="S20" s="260">
        <v>2000</v>
      </c>
      <c r="T20" s="71">
        <v>7000</v>
      </c>
      <c r="U20" s="244">
        <v>12000</v>
      </c>
      <c r="V20" s="71">
        <v>10000</v>
      </c>
      <c r="W20" s="71">
        <v>50000</v>
      </c>
      <c r="X20" s="244">
        <v>84000</v>
      </c>
    </row>
    <row r="21" spans="4:24" ht="15.75">
      <c r="D21" s="112">
        <f>+D20/D26</f>
        <v>0</v>
      </c>
      <c r="E21" t="s">
        <v>1011</v>
      </c>
      <c r="I21" s="224" t="s">
        <v>1012</v>
      </c>
      <c r="K21" s="114">
        <f>+Data!AE19</f>
        <v>190</v>
      </c>
      <c r="L21" t="s">
        <v>465</v>
      </c>
      <c r="O21" s="329" t="s">
        <v>27</v>
      </c>
      <c r="P21" s="344"/>
      <c r="Q21" s="332" t="s">
        <v>916</v>
      </c>
      <c r="R21" s="347"/>
      <c r="S21" s="138">
        <v>7.5</v>
      </c>
      <c r="T21" s="48">
        <v>5.5</v>
      </c>
      <c r="U21" s="49">
        <v>4.3</v>
      </c>
      <c r="V21" s="48">
        <v>6.9</v>
      </c>
      <c r="W21" s="48">
        <v>5.63</v>
      </c>
      <c r="X21" s="49">
        <v>4.95</v>
      </c>
    </row>
    <row r="22" spans="2:24" ht="16.5">
      <c r="B22" t="s">
        <v>1013</v>
      </c>
      <c r="D22" s="3">
        <f>+(24*8*K40*K4*K39*K35*(K15-K16)*D18/(K36*K6*K38)-K10*D18/K12)*D27/D26</f>
        <v>0</v>
      </c>
      <c r="E22" s="63" t="s">
        <v>1014</v>
      </c>
      <c r="I22" s="224" t="s">
        <v>1015</v>
      </c>
      <c r="K22" s="114">
        <f>+Data!AE20</f>
        <v>80</v>
      </c>
      <c r="L22" t="s">
        <v>465</v>
      </c>
      <c r="O22" s="329" t="s">
        <v>877</v>
      </c>
      <c r="P22" s="344"/>
      <c r="Q22" s="332" t="s">
        <v>917</v>
      </c>
      <c r="R22" s="347"/>
      <c r="S22" s="53">
        <v>0.09</v>
      </c>
      <c r="T22" s="47">
        <v>0.075</v>
      </c>
      <c r="U22" s="275">
        <v>0.06</v>
      </c>
      <c r="V22" s="47">
        <v>0.15</v>
      </c>
      <c r="W22" s="47">
        <v>0.125</v>
      </c>
      <c r="X22" s="275">
        <v>0.113</v>
      </c>
    </row>
    <row r="23" spans="9:24" ht="16.5">
      <c r="I23" s="279" t="s">
        <v>1016</v>
      </c>
      <c r="K23" s="56">
        <f>+Data!AE21</f>
        <v>0.325</v>
      </c>
      <c r="O23" s="329" t="s">
        <v>911</v>
      </c>
      <c r="P23" s="344"/>
      <c r="Q23" s="332" t="s">
        <v>918</v>
      </c>
      <c r="R23" s="347"/>
      <c r="S23" s="245">
        <v>45</v>
      </c>
      <c r="T23" s="62">
        <v>45</v>
      </c>
      <c r="U23" s="70">
        <v>45</v>
      </c>
      <c r="V23" s="62">
        <v>35</v>
      </c>
      <c r="W23" s="62">
        <v>35</v>
      </c>
      <c r="X23" s="70">
        <v>35</v>
      </c>
    </row>
    <row r="24" spans="15:24" ht="12.75">
      <c r="O24" s="329" t="s">
        <v>912</v>
      </c>
      <c r="P24" s="344"/>
      <c r="Q24" s="332" t="s">
        <v>918</v>
      </c>
      <c r="R24" s="347"/>
      <c r="S24" s="245">
        <v>45</v>
      </c>
      <c r="T24" s="62">
        <v>45</v>
      </c>
      <c r="U24" s="70">
        <v>45</v>
      </c>
      <c r="V24" s="62">
        <v>30</v>
      </c>
      <c r="W24" s="62">
        <v>30</v>
      </c>
      <c r="X24" s="70">
        <v>30</v>
      </c>
    </row>
    <row r="25" spans="2:24" ht="16.5" thickBot="1">
      <c r="B25" t="s">
        <v>630</v>
      </c>
      <c r="D25" s="36">
        <f>+Qrecovered</f>
        <v>4912.14736059825</v>
      </c>
      <c r="E25" t="s">
        <v>982</v>
      </c>
      <c r="I25" t="s">
        <v>983</v>
      </c>
      <c r="K25" s="56">
        <f>+eta</f>
        <v>0.72</v>
      </c>
      <c r="O25" s="336" t="s">
        <v>913</v>
      </c>
      <c r="P25" s="345"/>
      <c r="Q25" s="339" t="s">
        <v>919</v>
      </c>
      <c r="R25" s="348"/>
      <c r="S25" s="278">
        <v>0.8</v>
      </c>
      <c r="T25" s="276">
        <v>0.8</v>
      </c>
      <c r="U25" s="277">
        <v>0.8</v>
      </c>
      <c r="V25" s="276">
        <v>1.3</v>
      </c>
      <c r="W25" s="276">
        <v>1.3</v>
      </c>
      <c r="X25" s="277">
        <v>1.3</v>
      </c>
    </row>
    <row r="26" spans="2:5" ht="15.75">
      <c r="B26" t="s">
        <v>199</v>
      </c>
      <c r="D26" s="36">
        <f>+Qe</f>
        <v>5200</v>
      </c>
      <c r="E26" t="s">
        <v>0</v>
      </c>
    </row>
    <row r="27" spans="2:9" ht="16.5" thickBot="1">
      <c r="B27" t="s">
        <v>433</v>
      </c>
      <c r="D27" s="3">
        <f>+Ce</f>
        <v>0.060485195806379864</v>
      </c>
      <c r="E27" s="63" t="s">
        <v>30</v>
      </c>
      <c r="I27" s="1" t="s">
        <v>984</v>
      </c>
    </row>
    <row r="28" spans="9:25" ht="13.5" thickBot="1">
      <c r="I28" t="s">
        <v>985</v>
      </c>
      <c r="O28" s="317" t="s">
        <v>923</v>
      </c>
      <c r="P28" s="318"/>
      <c r="Q28" s="318"/>
      <c r="R28" s="318"/>
      <c r="S28" s="318"/>
      <c r="T28" s="318"/>
      <c r="U28" s="318"/>
      <c r="V28" s="318"/>
      <c r="W28" s="318"/>
      <c r="X28" s="318"/>
      <c r="Y28" s="313"/>
    </row>
    <row r="29" spans="2:25" ht="16.5" thickBot="1">
      <c r="B29" t="s">
        <v>1040</v>
      </c>
      <c r="D29" s="56">
        <f>(24*8*K40*K39/K38*K4*(K15-K16)/(K35*K6)-K10/K12)*D18/D26</f>
        <v>0</v>
      </c>
      <c r="I29" s="224" t="s">
        <v>986</v>
      </c>
      <c r="K29">
        <f>60*K13/(K12+K13)*K35*K34*(K21-K22)/K25</f>
        <v>79.19999999999999</v>
      </c>
      <c r="L29" t="s">
        <v>927</v>
      </c>
      <c r="O29" s="340" t="s">
        <v>909</v>
      </c>
      <c r="P29" s="341"/>
      <c r="Q29" s="342" t="s">
        <v>914</v>
      </c>
      <c r="R29" s="343"/>
      <c r="S29" s="333" t="s">
        <v>920</v>
      </c>
      <c r="T29" s="334"/>
      <c r="U29" s="334"/>
      <c r="V29" s="335"/>
      <c r="W29" s="334" t="s">
        <v>921</v>
      </c>
      <c r="X29" s="334"/>
      <c r="Y29" s="335"/>
    </row>
    <row r="30" spans="2:25" ht="15.75">
      <c r="B30" t="s">
        <v>1041</v>
      </c>
      <c r="D30" s="108">
        <f>+K31*(E6+IF(E6=0,0,K13/K12*E6))/1000</f>
        <v>0</v>
      </c>
      <c r="E30" t="s">
        <v>0</v>
      </c>
      <c r="I30" s="224" t="s">
        <v>987</v>
      </c>
      <c r="K30" s="56">
        <f>60*K13/(K12+K13)*K35*K34*(K21-K22)*(1-K23)</f>
        <v>38.49119999999999</v>
      </c>
      <c r="L30" t="s">
        <v>927</v>
      </c>
      <c r="O30" s="329" t="s">
        <v>910</v>
      </c>
      <c r="P30" s="330"/>
      <c r="Q30" s="331" t="s">
        <v>915</v>
      </c>
      <c r="R30" s="332"/>
      <c r="S30" s="260">
        <v>600</v>
      </c>
      <c r="T30" s="71">
        <v>4500</v>
      </c>
      <c r="U30" s="71">
        <v>20000</v>
      </c>
      <c r="V30" s="244">
        <v>40000</v>
      </c>
      <c r="W30" s="71">
        <v>3000</v>
      </c>
      <c r="X30" s="71">
        <v>7500</v>
      </c>
      <c r="Y30" s="244">
        <v>84000</v>
      </c>
    </row>
    <row r="31" spans="2:25" ht="15.75">
      <c r="B31" t="s">
        <v>1045</v>
      </c>
      <c r="D31" s="36">
        <f>24*D13/K36*K40*8</f>
        <v>1081.9146693589096</v>
      </c>
      <c r="E31" t="s">
        <v>955</v>
      </c>
      <c r="I31" t="s">
        <v>988</v>
      </c>
      <c r="K31" s="56">
        <f>1000*K10/(K12+K13)</f>
        <v>1</v>
      </c>
      <c r="L31" t="s">
        <v>989</v>
      </c>
      <c r="O31" s="329" t="s">
        <v>27</v>
      </c>
      <c r="P31" s="330"/>
      <c r="Q31" s="331" t="s">
        <v>916</v>
      </c>
      <c r="R31" s="332"/>
      <c r="S31" s="138">
        <v>20.4</v>
      </c>
      <c r="T31" s="48">
        <v>9.2</v>
      </c>
      <c r="U31" s="48">
        <v>5.6</v>
      </c>
      <c r="V31" s="49">
        <v>4.4</v>
      </c>
      <c r="W31" s="48">
        <v>18</v>
      </c>
      <c r="X31" s="48">
        <v>9.78</v>
      </c>
      <c r="Y31" s="49">
        <v>5.04</v>
      </c>
    </row>
    <row r="32" spans="2:25" ht="16.5">
      <c r="B32" s="181" t="s">
        <v>1049</v>
      </c>
      <c r="C32" s="181"/>
      <c r="D32" s="112">
        <f>((K41*K40*K42/(K38*K36))*K4*(K15-K16)/K6-K10/(K39*K12*K35))*D25/(K34*(K21-K22)*(1-K23))</f>
        <v>0.19083130596073947</v>
      </c>
      <c r="E32" t="s">
        <v>1050</v>
      </c>
      <c r="O32" s="329" t="s">
        <v>877</v>
      </c>
      <c r="P32" s="330"/>
      <c r="Q32" s="331" t="s">
        <v>917</v>
      </c>
      <c r="R32" s="332"/>
      <c r="S32" s="53">
        <v>0.255</v>
      </c>
      <c r="T32" s="47">
        <v>0.12</v>
      </c>
      <c r="U32" s="47">
        <v>0.075</v>
      </c>
      <c r="V32" s="275">
        <v>0.06</v>
      </c>
      <c r="W32" s="47">
        <v>0.375</v>
      </c>
      <c r="X32" s="47">
        <v>0.213</v>
      </c>
      <c r="Y32" s="275">
        <v>0.113</v>
      </c>
    </row>
    <row r="33" spans="2:25" ht="16.5">
      <c r="B33" s="181" t="s">
        <v>1051</v>
      </c>
      <c r="C33" s="181"/>
      <c r="D33" s="7">
        <f>+Ce*D32</f>
        <v>0.011542468907022511</v>
      </c>
      <c r="E33" s="63" t="s">
        <v>1014</v>
      </c>
      <c r="I33" s="1" t="s">
        <v>990</v>
      </c>
      <c r="O33" s="329" t="s">
        <v>911</v>
      </c>
      <c r="P33" s="330"/>
      <c r="Q33" s="331" t="s">
        <v>918</v>
      </c>
      <c r="R33" s="332"/>
      <c r="S33" s="245">
        <v>55</v>
      </c>
      <c r="T33" s="62">
        <v>55</v>
      </c>
      <c r="U33" s="62">
        <v>55</v>
      </c>
      <c r="V33" s="70">
        <v>55</v>
      </c>
      <c r="W33" s="62">
        <v>45</v>
      </c>
      <c r="X33" s="62">
        <v>45</v>
      </c>
      <c r="Y33" s="70">
        <v>45</v>
      </c>
    </row>
    <row r="34" spans="4:25" ht="15.75">
      <c r="D34" s="4">
        <f>1000000*D33/Qrecovered</f>
        <v>2.3497806681468845</v>
      </c>
      <c r="E34" s="63" t="s">
        <v>1052</v>
      </c>
      <c r="I34" t="s">
        <v>1017</v>
      </c>
      <c r="K34">
        <f>+Cp</f>
        <v>0.24</v>
      </c>
      <c r="L34" t="s">
        <v>468</v>
      </c>
      <c r="O34" s="329" t="s">
        <v>912</v>
      </c>
      <c r="P34" s="330"/>
      <c r="Q34" s="331" t="s">
        <v>918</v>
      </c>
      <c r="R34" s="332"/>
      <c r="S34" s="245">
        <v>35</v>
      </c>
      <c r="T34" s="62">
        <v>35</v>
      </c>
      <c r="U34" s="62">
        <v>35</v>
      </c>
      <c r="V34" s="70">
        <v>35</v>
      </c>
      <c r="W34" s="62">
        <v>30</v>
      </c>
      <c r="X34" s="62">
        <v>30</v>
      </c>
      <c r="Y34" s="70">
        <v>30</v>
      </c>
    </row>
    <row r="35" spans="2:25" ht="16.5" thickBot="1">
      <c r="B35" t="s">
        <v>1056</v>
      </c>
      <c r="D35" s="8">
        <f>+K17*E6/K13</f>
        <v>0</v>
      </c>
      <c r="E35" t="s">
        <v>1000</v>
      </c>
      <c r="I35" t="s">
        <v>992</v>
      </c>
      <c r="K35">
        <f>+rho</f>
        <v>0.072</v>
      </c>
      <c r="L35" t="s">
        <v>1020</v>
      </c>
      <c r="O35" s="336" t="s">
        <v>913</v>
      </c>
      <c r="P35" s="337"/>
      <c r="Q35" s="338" t="s">
        <v>919</v>
      </c>
      <c r="R35" s="339"/>
      <c r="S35" s="278">
        <v>1.1</v>
      </c>
      <c r="T35" s="276">
        <v>1.1</v>
      </c>
      <c r="U35" s="276">
        <v>1.1</v>
      </c>
      <c r="V35" s="277">
        <v>1.1</v>
      </c>
      <c r="W35" s="276">
        <v>1.3</v>
      </c>
      <c r="X35" s="276">
        <v>1.3</v>
      </c>
      <c r="Y35" s="277">
        <v>1.3</v>
      </c>
    </row>
    <row r="36" spans="4:12" ht="14.25">
      <c r="D36" s="36">
        <f>24*D35/K36*K40*8</f>
        <v>0</v>
      </c>
      <c r="E36" t="s">
        <v>955</v>
      </c>
      <c r="I36" t="s">
        <v>991</v>
      </c>
      <c r="K36">
        <f>+Data!AE42</f>
        <v>62.26</v>
      </c>
      <c r="L36" t="s">
        <v>1018</v>
      </c>
    </row>
    <row r="37" spans="2:15" ht="12.75">
      <c r="B37" s="181" t="s">
        <v>1057</v>
      </c>
      <c r="C37" s="181"/>
      <c r="D37" s="56">
        <f>+K43*K17/(K13*K39*K35*K34*(K21-K22)*(1-K23))</f>
        <v>0.3046336379669713</v>
      </c>
      <c r="I37" t="s">
        <v>993</v>
      </c>
      <c r="O37" t="s">
        <v>924</v>
      </c>
    </row>
    <row r="38" spans="2:15" ht="12.75">
      <c r="B38" s="181"/>
      <c r="C38" s="181"/>
      <c r="K38" s="36">
        <f>+Data!AE41</f>
        <v>7000</v>
      </c>
      <c r="L38" t="s">
        <v>994</v>
      </c>
      <c r="O38" s="128" t="s">
        <v>925</v>
      </c>
    </row>
    <row r="39" spans="2:12" ht="12.75">
      <c r="B39" s="181"/>
      <c r="C39" s="181"/>
      <c r="K39">
        <v>60</v>
      </c>
      <c r="L39" t="s">
        <v>995</v>
      </c>
    </row>
    <row r="40" spans="2:12" ht="14.25">
      <c r="B40" s="181"/>
      <c r="C40" s="181"/>
      <c r="K40">
        <f>+Data!AE43</f>
        <v>7.48</v>
      </c>
      <c r="L40" t="s">
        <v>1019</v>
      </c>
    </row>
    <row r="41" spans="2:12" ht="12.75">
      <c r="B41" s="181"/>
      <c r="C41" s="181"/>
      <c r="K41">
        <v>24</v>
      </c>
      <c r="L41" t="s">
        <v>1047</v>
      </c>
    </row>
    <row r="42" spans="2:16" ht="12.75">
      <c r="B42" s="181"/>
      <c r="C42" s="181"/>
      <c r="K42">
        <v>8</v>
      </c>
      <c r="L42" t="s">
        <v>1048</v>
      </c>
      <c r="O42" s="6"/>
      <c r="P42" s="6"/>
    </row>
    <row r="43" spans="2:12" ht="15.75">
      <c r="B43" s="181"/>
      <c r="C43" s="181"/>
      <c r="I43" t="s">
        <v>1058</v>
      </c>
      <c r="K43" s="36">
        <v>1000</v>
      </c>
      <c r="L43" t="s">
        <v>1059</v>
      </c>
    </row>
    <row r="44" spans="2:3" ht="12.75">
      <c r="B44" s="181"/>
      <c r="C44" s="181"/>
    </row>
    <row r="45" spans="2:3" ht="12.75">
      <c r="B45" s="181"/>
      <c r="C45" s="181"/>
    </row>
    <row r="46" spans="2:3" ht="12.75">
      <c r="B46" s="181"/>
      <c r="C46" s="181"/>
    </row>
    <row r="47" spans="2:3" ht="12.75">
      <c r="B47" s="181"/>
      <c r="C47" s="181"/>
    </row>
    <row r="48" spans="2:3" ht="12.75">
      <c r="B48" s="181"/>
      <c r="C48" s="181"/>
    </row>
    <row r="49" spans="2:3" ht="12.75">
      <c r="B49" s="181"/>
      <c r="C49" s="181"/>
    </row>
    <row r="50" spans="2:3" ht="12.75">
      <c r="B50" s="181"/>
      <c r="C50" s="181"/>
    </row>
    <row r="51" spans="2:3" ht="12.75">
      <c r="B51" s="181"/>
      <c r="C51" s="181"/>
    </row>
    <row r="52" spans="2:3" ht="12.75">
      <c r="B52" s="181"/>
      <c r="C52" s="181"/>
    </row>
    <row r="53" spans="2:3" ht="12.75">
      <c r="B53" s="181"/>
      <c r="C53" s="181"/>
    </row>
    <row r="54" spans="2:3" ht="12.75">
      <c r="B54" s="181"/>
      <c r="C54" s="181"/>
    </row>
    <row r="55" spans="2:3" ht="12.75">
      <c r="B55" s="181"/>
      <c r="C55" s="181"/>
    </row>
    <row r="56" spans="2:3" ht="12.75">
      <c r="B56" s="181"/>
      <c r="C56" s="181"/>
    </row>
    <row r="57" spans="2:3" ht="12.75">
      <c r="B57" s="181"/>
      <c r="C57" s="181"/>
    </row>
    <row r="58" spans="2:3" ht="12.75">
      <c r="B58" s="181"/>
      <c r="C58" s="181"/>
    </row>
    <row r="59" spans="2:3" ht="12.75">
      <c r="B59" s="181"/>
      <c r="C59" s="181"/>
    </row>
    <row r="60" spans="2:3" ht="12.75">
      <c r="B60" s="181"/>
      <c r="C60" s="181"/>
    </row>
    <row r="61" spans="2:3" ht="12.75">
      <c r="B61" s="181"/>
      <c r="C61" s="181"/>
    </row>
    <row r="62" spans="2:3" ht="12.75">
      <c r="B62" s="181"/>
      <c r="C62" s="181"/>
    </row>
    <row r="63" spans="2:3" ht="12.75">
      <c r="B63" s="181"/>
      <c r="C63" s="181"/>
    </row>
    <row r="64" spans="2:3" ht="12.75">
      <c r="B64" s="181"/>
      <c r="C64" s="181"/>
    </row>
    <row r="65" spans="2:3" ht="12.75">
      <c r="B65" s="181"/>
      <c r="C65" s="181"/>
    </row>
    <row r="66" spans="2:3" ht="12.75">
      <c r="B66" s="181"/>
      <c r="C66" s="181"/>
    </row>
    <row r="67" spans="2:3" ht="12.75">
      <c r="B67" s="181"/>
      <c r="C67" s="181"/>
    </row>
    <row r="68" spans="2:3" ht="12.75">
      <c r="B68" s="181"/>
      <c r="C68" s="181"/>
    </row>
    <row r="69" spans="2:3" ht="12.75">
      <c r="B69" s="181"/>
      <c r="C69" s="181"/>
    </row>
    <row r="70" spans="2:3" ht="12.75">
      <c r="B70" s="181"/>
      <c r="C70" s="181"/>
    </row>
  </sheetData>
  <mergeCells count="36">
    <mergeCell ref="O30:P30"/>
    <mergeCell ref="Q30:R30"/>
    <mergeCell ref="O31:P31"/>
    <mergeCell ref="Q31:R31"/>
    <mergeCell ref="O35:P35"/>
    <mergeCell ref="Q35:R35"/>
    <mergeCell ref="O32:P32"/>
    <mergeCell ref="Q32:R32"/>
    <mergeCell ref="O33:P33"/>
    <mergeCell ref="Q33:R33"/>
    <mergeCell ref="O34:P34"/>
    <mergeCell ref="Q34:R34"/>
    <mergeCell ref="O29:P29"/>
    <mergeCell ref="Q29:R29"/>
    <mergeCell ref="W29:Y29"/>
    <mergeCell ref="O23:P23"/>
    <mergeCell ref="O24:P24"/>
    <mergeCell ref="O25:P25"/>
    <mergeCell ref="O28:Y28"/>
    <mergeCell ref="S29:V29"/>
    <mergeCell ref="Q24:R24"/>
    <mergeCell ref="Q25:R25"/>
    <mergeCell ref="O2:T2"/>
    <mergeCell ref="E2:E3"/>
    <mergeCell ref="O19:P19"/>
    <mergeCell ref="O20:P20"/>
    <mergeCell ref="O18:X18"/>
    <mergeCell ref="S19:U19"/>
    <mergeCell ref="V19:X19"/>
    <mergeCell ref="Q19:R19"/>
    <mergeCell ref="Q20:R20"/>
    <mergeCell ref="O21:P21"/>
    <mergeCell ref="O22:P22"/>
    <mergeCell ref="Q22:R22"/>
    <mergeCell ref="Q23:R23"/>
    <mergeCell ref="Q21:R2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B4:O57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2" max="2" width="53.28125" style="0" bestFit="1" customWidth="1"/>
    <col min="3" max="4" width="10.140625" style="0" customWidth="1"/>
    <col min="5" max="6" width="9.7109375" style="0" customWidth="1"/>
  </cols>
  <sheetData>
    <row r="4" ht="12.75">
      <c r="B4" s="1" t="s">
        <v>309</v>
      </c>
    </row>
    <row r="5" spans="2:4" ht="12.75">
      <c r="B5" t="s">
        <v>514</v>
      </c>
      <c r="C5" s="7">
        <f>+Ce</f>
        <v>0.060485195806379864</v>
      </c>
      <c r="D5" s="3"/>
    </row>
    <row r="6" spans="2:4" ht="12.75">
      <c r="B6" t="s">
        <v>515</v>
      </c>
      <c r="C6" s="4">
        <f>+Cfuel</f>
        <v>7.602039838980245</v>
      </c>
      <c r="D6" s="4"/>
    </row>
    <row r="8" ht="13.5" thickBot="1"/>
    <row r="9" spans="2:4" ht="13.5" thickBot="1">
      <c r="B9" s="174" t="s">
        <v>499</v>
      </c>
      <c r="C9" s="175" t="s">
        <v>503</v>
      </c>
      <c r="D9" s="136" t="s">
        <v>19</v>
      </c>
    </row>
    <row r="10" spans="2:4" ht="12.75">
      <c r="B10" s="164" t="s">
        <v>500</v>
      </c>
      <c r="C10" s="176">
        <f>+Qe*D10</f>
        <v>7420400</v>
      </c>
      <c r="D10" s="172">
        <f>+Data!W20</f>
        <v>1427</v>
      </c>
    </row>
    <row r="11" spans="2:4" ht="12.75">
      <c r="B11" s="164" t="s">
        <v>501</v>
      </c>
      <c r="C11" s="176">
        <f>+Data!S17*Data!S24</f>
        <v>1012500</v>
      </c>
      <c r="D11" s="172">
        <f>+C11/Qe</f>
        <v>194.71153846153845</v>
      </c>
    </row>
    <row r="12" spans="2:4" ht="12.75">
      <c r="B12" s="164" t="s">
        <v>502</v>
      </c>
      <c r="C12" s="176">
        <f>+D12</f>
        <v>0</v>
      </c>
      <c r="D12" s="172">
        <v>0</v>
      </c>
    </row>
    <row r="13" spans="2:4" ht="12.75">
      <c r="B13" s="164" t="s">
        <v>504</v>
      </c>
      <c r="C13" s="176">
        <f>+D13</f>
        <v>0</v>
      </c>
      <c r="D13" s="172">
        <v>0</v>
      </c>
    </row>
    <row r="14" spans="2:4" ht="12.75">
      <c r="B14" s="164" t="s">
        <v>505</v>
      </c>
      <c r="C14" s="176">
        <f>SUM(C10:C13)</f>
        <v>8432900</v>
      </c>
      <c r="D14" s="172">
        <f>SUM(D10:D13)</f>
        <v>1621.7115384615386</v>
      </c>
    </row>
    <row r="15" spans="2:4" ht="12.75">
      <c r="B15" s="164" t="s">
        <v>506</v>
      </c>
      <c r="C15" s="176">
        <f>+kappa*C14</f>
        <v>8432900</v>
      </c>
      <c r="D15" s="172">
        <f>+kappa*D14</f>
        <v>1621.7115384615386</v>
      </c>
    </row>
    <row r="16" spans="2:4" ht="12.75">
      <c r="B16" s="164" t="s">
        <v>507</v>
      </c>
      <c r="C16" s="176">
        <f>+Pbuydown</f>
        <v>0</v>
      </c>
      <c r="D16" s="172">
        <f>+C16/Qe</f>
        <v>0</v>
      </c>
    </row>
    <row r="17" spans="2:4" ht="13.5" thickBot="1">
      <c r="B17" s="165" t="s">
        <v>508</v>
      </c>
      <c r="C17" s="177">
        <f>+C15-C16</f>
        <v>8432900</v>
      </c>
      <c r="D17" s="173">
        <f>+D15-D16</f>
        <v>1621.7115384615386</v>
      </c>
    </row>
    <row r="19" ht="13.5" thickBot="1"/>
    <row r="20" spans="2:7" ht="12.75">
      <c r="B20" s="89"/>
      <c r="C20" s="380" t="s">
        <v>376</v>
      </c>
      <c r="D20" s="381"/>
      <c r="E20" s="342" t="s">
        <v>454</v>
      </c>
      <c r="F20" s="346"/>
      <c r="G20" s="82"/>
    </row>
    <row r="21" spans="2:7" ht="13.5" thickBot="1">
      <c r="B21" s="166" t="s">
        <v>498</v>
      </c>
      <c r="C21" s="92">
        <f>+beta</f>
        <v>1</v>
      </c>
      <c r="D21" s="167">
        <f>+Data!W11</f>
        <v>0.75</v>
      </c>
      <c r="E21" s="92">
        <f>+C21</f>
        <v>1</v>
      </c>
      <c r="F21" s="167">
        <f>+D21</f>
        <v>0.75</v>
      </c>
      <c r="G21" s="61"/>
    </row>
    <row r="22" spans="2:7" ht="12.75">
      <c r="B22" s="90" t="s">
        <v>455</v>
      </c>
      <c r="C22" s="168">
        <f>+alpha/1000000*Cfuel</f>
        <v>0.08649600928791722</v>
      </c>
      <c r="D22" s="169">
        <f>+C22</f>
        <v>0.08649600928791722</v>
      </c>
      <c r="E22" s="168">
        <f>+alpha/1000000*Data!W15</f>
        <v>0.051200999999999997</v>
      </c>
      <c r="F22" s="169">
        <f>+E22</f>
        <v>0.051200999999999997</v>
      </c>
      <c r="G22" s="79" t="s">
        <v>30</v>
      </c>
    </row>
    <row r="23" spans="2:7" ht="12.75">
      <c r="B23" s="90" t="s">
        <v>456</v>
      </c>
      <c r="C23" s="168">
        <f>+COM</f>
        <v>0.0076</v>
      </c>
      <c r="D23" s="169">
        <f>+COM</f>
        <v>0.0076</v>
      </c>
      <c r="E23" s="168">
        <f>+COM</f>
        <v>0.0076</v>
      </c>
      <c r="F23" s="169">
        <f>+COM</f>
        <v>0.0076</v>
      </c>
      <c r="G23" s="70"/>
    </row>
    <row r="24" spans="2:7" ht="12.75">
      <c r="B24" s="90" t="s">
        <v>457</v>
      </c>
      <c r="C24" s="168">
        <f>+Cstandby*Qe/AnnualPower</f>
        <v>0.002849002849002849</v>
      </c>
      <c r="D24" s="169">
        <f>+Cstandby*Qe/AnnualPower</f>
        <v>0.002849002849002849</v>
      </c>
      <c r="E24" s="168">
        <f>+Cstandby*Qe/AnnualPower</f>
        <v>0.002849002849002849</v>
      </c>
      <c r="F24" s="169">
        <f>+Cstandby*Qe/AnnualPower</f>
        <v>0.002849002849002849</v>
      </c>
      <c r="G24" s="70"/>
    </row>
    <row r="25" spans="2:7" ht="12.75">
      <c r="B25" s="90" t="s">
        <v>458</v>
      </c>
      <c r="C25" s="168">
        <f>+gamma*Ce</f>
        <v>0.060485195806379864</v>
      </c>
      <c r="D25" s="169">
        <f>+gamma*Ce</f>
        <v>0.060485195806379864</v>
      </c>
      <c r="E25" s="168">
        <f>+gamma*Ce</f>
        <v>0.060485195806379864</v>
      </c>
      <c r="F25" s="169">
        <f>+gamma*Ce</f>
        <v>0.060485195806379864</v>
      </c>
      <c r="G25" s="70"/>
    </row>
    <row r="26" spans="2:7" ht="12.75">
      <c r="B26" s="90" t="s">
        <v>459</v>
      </c>
      <c r="C26" s="168">
        <f>+(1-gamma)*Cexport</f>
        <v>0</v>
      </c>
      <c r="D26" s="169">
        <f>+(1-gamma)*Cexport</f>
        <v>0</v>
      </c>
      <c r="E26" s="168">
        <f>+(1-gamma)*Cexport</f>
        <v>0</v>
      </c>
      <c r="F26" s="169">
        <f>+(1-gamma)*Cexport</f>
        <v>0</v>
      </c>
      <c r="G26" s="70"/>
    </row>
    <row r="27" spans="2:7" ht="12.75">
      <c r="B27" s="90" t="s">
        <v>460</v>
      </c>
      <c r="C27" s="168">
        <f>IF(LOWER(Data!$W$16)="electric",C21*beta1*Qrecovered/(3413*eta)*Ce,C21*beta1*Qrecovered/(1000000*eta)*Cfuel)</f>
        <v>0</v>
      </c>
      <c r="D27" s="169">
        <f>IF(LOWER(Data!$W$16)="electric",D21*beta1*Qrecovered/(3413*eta)*Ce,D21*beta1*Qrecovered/(1000000*eta)*Cfuel)</f>
        <v>0</v>
      </c>
      <c r="E27" s="168">
        <f>IF(LOWER(Data!$W$16)="electric",E21*beta1*Qrecovered/(3413*eta)*Ce,E21*beta1*Qrecovered/(1000000*eta)*Data!W15)</f>
        <v>0</v>
      </c>
      <c r="F27" s="169">
        <f>IF(LOWER(Data!$W$16)="electric",F21*beta1*Qrecovered/(3413*eta)*Ce,F21*beta1*Qrecovered/(1000000*eta)*Data!W15)</f>
        <v>0</v>
      </c>
      <c r="G27" s="70"/>
    </row>
    <row r="28" spans="2:7" ht="12.75">
      <c r="B28" s="90" t="s">
        <v>461</v>
      </c>
      <c r="C28" s="168">
        <f>C21*beta2*Eff2*Ce</f>
        <v>0.02525453656952406</v>
      </c>
      <c r="D28" s="169">
        <f>D21*beta2*Eff2*Ce</f>
        <v>0.018940902427143046</v>
      </c>
      <c r="E28" s="168">
        <f>E21*beta2*Eff2*Ce</f>
        <v>0.02525453656952406</v>
      </c>
      <c r="F28" s="169">
        <f>F21*beta2*Eff2*Ce</f>
        <v>0.018940902427143046</v>
      </c>
      <c r="G28" s="70"/>
    </row>
    <row r="29" spans="2:7" ht="12.75">
      <c r="B29" s="90" t="s">
        <v>462</v>
      </c>
      <c r="C29" s="168">
        <f>C21*beta3*Eff3*Ce</f>
        <v>0</v>
      </c>
      <c r="D29" s="169">
        <f>D21*beta3*Eff3*Ce</f>
        <v>0</v>
      </c>
      <c r="E29" s="168">
        <f>E21*beta3*Eff3*Ce</f>
        <v>0</v>
      </c>
      <c r="F29" s="169">
        <f>F21*beta3*Eff3*Ce</f>
        <v>0</v>
      </c>
      <c r="G29" s="70"/>
    </row>
    <row r="30" spans="2:7" ht="12.75">
      <c r="B30" s="90" t="s">
        <v>463</v>
      </c>
      <c r="C30" s="168">
        <f>SUM(C25:C29)-SUM(C22:C24)</f>
        <v>-0.011205279761016124</v>
      </c>
      <c r="D30" s="169">
        <f>SUM(D25:D29)-SUM(D22:D24)</f>
        <v>-0.017518913903397146</v>
      </c>
      <c r="E30" s="168">
        <f>SUM(E25:E29)-SUM(E22:E24)</f>
        <v>0.024089729526901082</v>
      </c>
      <c r="F30" s="169">
        <f>SUM(F25:F29)-SUM(F22:F24)</f>
        <v>0.01777609538452006</v>
      </c>
      <c r="G30" s="70"/>
    </row>
    <row r="31" spans="2:11" ht="12.75">
      <c r="B31" s="90" t="s">
        <v>509</v>
      </c>
      <c r="C31" s="168">
        <f>+Psubsidy/AnnualPower</f>
        <v>0</v>
      </c>
      <c r="D31" s="169">
        <f>+C31</f>
        <v>0</v>
      </c>
      <c r="E31" s="168">
        <f>+D31</f>
        <v>0</v>
      </c>
      <c r="F31" s="169">
        <f>+E31</f>
        <v>0</v>
      </c>
      <c r="G31" s="70"/>
      <c r="K31" s="4"/>
    </row>
    <row r="32" spans="2:7" ht="12.75">
      <c r="B32" s="90" t="s">
        <v>510</v>
      </c>
      <c r="C32" s="168">
        <f>+C31+C30</f>
        <v>-0.011205279761016124</v>
      </c>
      <c r="D32" s="169">
        <f>+D31+D30</f>
        <v>-0.017518913903397146</v>
      </c>
      <c r="E32" s="168">
        <f>+E31+E30</f>
        <v>0.024089729526901082</v>
      </c>
      <c r="F32" s="169">
        <f>+F31+F30</f>
        <v>0.01777609538452006</v>
      </c>
      <c r="G32" s="70"/>
    </row>
    <row r="33" spans="2:15" ht="13.5" thickBot="1">
      <c r="B33" s="60" t="s">
        <v>511</v>
      </c>
      <c r="C33" s="311">
        <f>+Pnetcost/(H*C30)</f>
        <v>-17.18037126202141</v>
      </c>
      <c r="D33" s="171">
        <f>+Pnetcost/(H*D30)</f>
        <v>-10.988744362271293</v>
      </c>
      <c r="E33" s="170">
        <f>+Pnetcost/(H*E30)</f>
        <v>7.991408378997946</v>
      </c>
      <c r="F33" s="171">
        <f>+Pnetcost/(H*F30)</f>
        <v>10.829761104720196</v>
      </c>
      <c r="G33" s="80"/>
      <c r="K33" s="181"/>
      <c r="L33" s="181"/>
      <c r="M33" s="181"/>
      <c r="N33" s="181"/>
      <c r="O33" s="181"/>
    </row>
    <row r="34" spans="11:15" ht="13.5" thickBot="1">
      <c r="K34" s="181"/>
      <c r="L34" s="181"/>
      <c r="M34" s="181"/>
      <c r="N34" s="181"/>
      <c r="O34" s="181"/>
    </row>
    <row r="35" spans="2:15" ht="13.5" thickBot="1">
      <c r="B35" s="182" t="s">
        <v>498</v>
      </c>
      <c r="C35" s="175" t="s">
        <v>512</v>
      </c>
      <c r="D35" s="136" t="s">
        <v>513</v>
      </c>
      <c r="K35" s="181"/>
      <c r="L35" s="181"/>
      <c r="M35" s="181"/>
      <c r="N35" s="181"/>
      <c r="O35" s="181"/>
    </row>
    <row r="36" spans="2:15" ht="12.75">
      <c r="B36" s="90" t="s">
        <v>455</v>
      </c>
      <c r="C36" s="179">
        <f aca="true" t="shared" si="0" ref="C36:C43">+C22</f>
        <v>0.08649600928791722</v>
      </c>
      <c r="D36" s="172">
        <f>+AnnualPower*C36</f>
        <v>3788940.387655356</v>
      </c>
      <c r="F36" s="134"/>
      <c r="K36" s="181"/>
      <c r="L36" s="181"/>
      <c r="M36" s="181"/>
      <c r="N36" s="181"/>
      <c r="O36" s="181"/>
    </row>
    <row r="37" spans="2:15" ht="12.75">
      <c r="B37" s="90" t="s">
        <v>456</v>
      </c>
      <c r="C37" s="179">
        <f t="shared" si="0"/>
        <v>0.0076</v>
      </c>
      <c r="D37" s="172">
        <f aca="true" t="shared" si="1" ref="D37:D43">+AnnualPower*C37</f>
        <v>332916.48</v>
      </c>
      <c r="K37" s="181"/>
      <c r="L37" s="181"/>
      <c r="M37" s="181"/>
      <c r="N37" s="181"/>
      <c r="O37" s="181"/>
    </row>
    <row r="38" spans="2:15" ht="12.75">
      <c r="B38" s="90" t="s">
        <v>457</v>
      </c>
      <c r="C38" s="179">
        <f t="shared" si="0"/>
        <v>0.002849002849002849</v>
      </c>
      <c r="D38" s="172">
        <f t="shared" si="1"/>
        <v>124800</v>
      </c>
      <c r="K38" s="181"/>
      <c r="L38" s="181"/>
      <c r="M38" s="181"/>
      <c r="N38" s="181"/>
      <c r="O38" s="181"/>
    </row>
    <row r="39" spans="2:15" ht="12.75">
      <c r="B39" s="90" t="s">
        <v>458</v>
      </c>
      <c r="C39" s="179">
        <f t="shared" si="0"/>
        <v>0.060485195806379864</v>
      </c>
      <c r="D39" s="172">
        <f t="shared" si="1"/>
        <v>2649541.905259309</v>
      </c>
      <c r="K39" s="181"/>
      <c r="L39" s="181"/>
      <c r="M39" s="181"/>
      <c r="N39" s="181"/>
      <c r="O39" s="181"/>
    </row>
    <row r="40" spans="2:15" ht="12.75">
      <c r="B40" s="90" t="s">
        <v>459</v>
      </c>
      <c r="C40" s="179">
        <f t="shared" si="0"/>
        <v>0</v>
      </c>
      <c r="D40" s="172">
        <f t="shared" si="1"/>
        <v>0</v>
      </c>
      <c r="K40" s="181"/>
      <c r="L40" s="181"/>
      <c r="M40" s="181"/>
      <c r="N40" s="181"/>
      <c r="O40" s="181"/>
    </row>
    <row r="41" spans="2:15" ht="12.75">
      <c r="B41" s="90" t="s">
        <v>460</v>
      </c>
      <c r="C41" s="179">
        <f t="shared" si="0"/>
        <v>0</v>
      </c>
      <c r="D41" s="172">
        <f t="shared" si="1"/>
        <v>0</v>
      </c>
      <c r="K41" s="181"/>
      <c r="L41" s="181"/>
      <c r="M41" s="181"/>
      <c r="N41" s="181"/>
      <c r="O41" s="181"/>
    </row>
    <row r="42" spans="2:15" ht="12.75">
      <c r="B42" s="90" t="s">
        <v>461</v>
      </c>
      <c r="C42" s="179">
        <f t="shared" si="0"/>
        <v>0.02525453656952406</v>
      </c>
      <c r="D42" s="172">
        <f t="shared" si="1"/>
        <v>1106269.9235206875</v>
      </c>
      <c r="K42" s="181"/>
      <c r="L42" s="181"/>
      <c r="M42" s="181"/>
      <c r="N42" s="181"/>
      <c r="O42" s="181"/>
    </row>
    <row r="43" spans="2:15" ht="12.75">
      <c r="B43" s="90" t="s">
        <v>462</v>
      </c>
      <c r="C43" s="179">
        <f t="shared" si="0"/>
        <v>0</v>
      </c>
      <c r="D43" s="172">
        <f t="shared" si="1"/>
        <v>0</v>
      </c>
      <c r="K43" s="181"/>
      <c r="L43" s="181"/>
      <c r="M43" s="181"/>
      <c r="N43" s="181"/>
      <c r="O43" s="181"/>
    </row>
    <row r="44" spans="2:15" ht="12.75">
      <c r="B44" s="90" t="s">
        <v>463</v>
      </c>
      <c r="C44" s="179">
        <f>SUM(C39:C43)-SUM(C36:C38)</f>
        <v>-0.011205279761016124</v>
      </c>
      <c r="D44" s="172">
        <f>SUM(D39:D43)-SUM(D36:D38)</f>
        <v>-490845.0388753591</v>
      </c>
      <c r="K44" s="181"/>
      <c r="L44" s="181"/>
      <c r="M44" s="181"/>
      <c r="N44" s="181"/>
      <c r="O44" s="181"/>
    </row>
    <row r="45" spans="2:15" ht="12.75">
      <c r="B45" s="90" t="s">
        <v>509</v>
      </c>
      <c r="C45" s="179">
        <f>+C31</f>
        <v>0</v>
      </c>
      <c r="D45" s="172">
        <f>+Psubsidy</f>
        <v>0</v>
      </c>
      <c r="K45" s="181"/>
      <c r="L45" s="181"/>
      <c r="M45" s="181"/>
      <c r="N45" s="181"/>
      <c r="O45" s="181"/>
    </row>
    <row r="46" spans="2:15" ht="13.5" thickBot="1">
      <c r="B46" s="60" t="s">
        <v>510</v>
      </c>
      <c r="C46" s="180">
        <f>+C45+C44</f>
        <v>-0.011205279761016124</v>
      </c>
      <c r="D46" s="173">
        <f>+D44+D45</f>
        <v>-490845.0388753591</v>
      </c>
      <c r="K46" s="181"/>
      <c r="L46" s="181"/>
      <c r="M46" s="181"/>
      <c r="N46" s="181"/>
      <c r="O46" s="181"/>
    </row>
    <row r="47" spans="2:15" ht="12.75">
      <c r="B47" s="178"/>
      <c r="K47" s="181"/>
      <c r="L47" s="181"/>
      <c r="M47" s="181"/>
      <c r="N47" s="181"/>
      <c r="O47" s="181"/>
    </row>
    <row r="48" spans="11:15" ht="12.75">
      <c r="K48" s="181"/>
      <c r="L48" s="181"/>
      <c r="M48" s="181"/>
      <c r="N48" s="181"/>
      <c r="O48" s="181"/>
    </row>
    <row r="49" spans="2:15" ht="12.75">
      <c r="B49" t="s">
        <v>447</v>
      </c>
      <c r="C49" s="36">
        <f>1000000*Data!G23</f>
        <v>25543166.2751109</v>
      </c>
      <c r="D49" t="s">
        <v>449</v>
      </c>
      <c r="E49" s="36">
        <f>+C49/Qe</f>
        <v>4912.14736059825</v>
      </c>
      <c r="F49" t="s">
        <v>28</v>
      </c>
      <c r="K49" s="181"/>
      <c r="L49" s="181"/>
      <c r="M49" s="181"/>
      <c r="N49" s="181"/>
      <c r="O49" s="181"/>
    </row>
    <row r="50" spans="11:15" ht="12.75">
      <c r="K50" s="181"/>
      <c r="L50" s="181"/>
      <c r="M50" s="181"/>
      <c r="N50" s="181"/>
      <c r="O50" s="181"/>
    </row>
    <row r="51" spans="3:15" ht="15.75">
      <c r="C51" s="36"/>
      <c r="E51" s="382" t="s">
        <v>521</v>
      </c>
      <c r="F51" s="382"/>
      <c r="K51" s="181"/>
      <c r="L51" s="181"/>
      <c r="M51" s="181"/>
      <c r="N51" s="181"/>
      <c r="O51" s="181"/>
    </row>
    <row r="52" spans="4:15" ht="12.75">
      <c r="D52" s="6" t="s">
        <v>12</v>
      </c>
      <c r="E52" s="133">
        <v>1</v>
      </c>
      <c r="F52" s="6" t="s">
        <v>520</v>
      </c>
      <c r="K52" s="181"/>
      <c r="L52" s="181"/>
      <c r="M52" s="181"/>
      <c r="N52" s="181"/>
      <c r="O52" s="181"/>
    </row>
    <row r="53" spans="2:4" ht="12.75">
      <c r="B53" t="s">
        <v>516</v>
      </c>
      <c r="D53" s="36">
        <f>+beta*E49</f>
        <v>4912.14736059825</v>
      </c>
    </row>
    <row r="54" spans="2:6" ht="12.75">
      <c r="B54" t="s">
        <v>519</v>
      </c>
      <c r="C54" s="5">
        <f>+beta1</f>
        <v>0</v>
      </c>
      <c r="D54" s="36">
        <f>+C54*$D$53</f>
        <v>0</v>
      </c>
      <c r="E54" s="7">
        <f>+Eff1*Cfuel</f>
        <v>0.05186436101417994</v>
      </c>
      <c r="F54" s="7">
        <f>+E54*C54</f>
        <v>0</v>
      </c>
    </row>
    <row r="55" spans="2:6" ht="12.75">
      <c r="B55" t="s">
        <v>517</v>
      </c>
      <c r="C55" s="5">
        <f>+beta2</f>
        <v>1</v>
      </c>
      <c r="D55" s="36">
        <f>+C55*$D$53</f>
        <v>4912.14736059825</v>
      </c>
      <c r="E55" s="7">
        <f>+Eff2*Ce</f>
        <v>0.02525453656952406</v>
      </c>
      <c r="F55" s="7">
        <f>+E55*C55</f>
        <v>0.02525453656952406</v>
      </c>
    </row>
    <row r="56" spans="2:6" ht="12.75">
      <c r="B56" t="s">
        <v>518</v>
      </c>
      <c r="C56" s="5">
        <f>+beta3</f>
        <v>0</v>
      </c>
      <c r="D56" s="36">
        <f>+C56*$D$53</f>
        <v>0</v>
      </c>
      <c r="E56" s="7">
        <f>+Eff3*Ce</f>
        <v>0</v>
      </c>
      <c r="F56" s="7">
        <f>+E56*C56</f>
        <v>0</v>
      </c>
    </row>
    <row r="57" spans="3:6" ht="12.75">
      <c r="C57" s="5">
        <f>SUM(C54:C56)</f>
        <v>1</v>
      </c>
      <c r="D57" s="36">
        <f>SUM(D54:D56)</f>
        <v>4912.14736059825</v>
      </c>
      <c r="E57" s="7"/>
      <c r="F57" s="7">
        <f>SUM(F54:F56)</f>
        <v>0.02525453656952406</v>
      </c>
    </row>
  </sheetData>
  <mergeCells count="3">
    <mergeCell ref="C20:D20"/>
    <mergeCell ref="E20:F20"/>
    <mergeCell ref="E51:F5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B4:T56"/>
  <sheetViews>
    <sheetView workbookViewId="0" topLeftCell="A1">
      <selection activeCell="A18" sqref="A18"/>
    </sheetView>
  </sheetViews>
  <sheetFormatPr defaultColWidth="9.140625" defaultRowHeight="12.75"/>
  <cols>
    <col min="2" max="2" width="28.140625" style="0" customWidth="1"/>
    <col min="3" max="3" width="10.140625" style="0" bestFit="1" customWidth="1"/>
    <col min="11" max="11" width="10.140625" style="0" bestFit="1" customWidth="1"/>
  </cols>
  <sheetData>
    <row r="4" spans="2:3" ht="12.75">
      <c r="B4" t="s">
        <v>797</v>
      </c>
      <c r="C4" t="s">
        <v>820</v>
      </c>
    </row>
    <row r="5" spans="2:20" ht="12.75">
      <c r="B5" t="s">
        <v>799</v>
      </c>
      <c r="C5" s="36">
        <f>VLOOKUP($C$4,EmissionTable,2,FALSE)</f>
        <v>7723.489484732052</v>
      </c>
      <c r="D5" t="s">
        <v>28</v>
      </c>
      <c r="H5" t="s">
        <v>800</v>
      </c>
      <c r="K5" s="36">
        <f>Qe*H</f>
        <v>43804800</v>
      </c>
      <c r="L5" t="s">
        <v>1</v>
      </c>
      <c r="T5" s="213" t="s">
        <v>820</v>
      </c>
    </row>
    <row r="6" spans="2:20" ht="12.75">
      <c r="B6" t="s">
        <v>798</v>
      </c>
      <c r="C6" s="112">
        <f>VLOOKUP($C$4,EmissionTable,3,FALSE)</f>
        <v>1.3899147511550067</v>
      </c>
      <c r="D6" t="s">
        <v>791</v>
      </c>
      <c r="H6" t="s">
        <v>801</v>
      </c>
      <c r="K6" s="36">
        <f>K5*alpha/1000000</f>
        <v>498411.0144</v>
      </c>
      <c r="L6" t="s">
        <v>77</v>
      </c>
      <c r="T6" s="213" t="s">
        <v>741</v>
      </c>
    </row>
    <row r="7" spans="2:20" ht="12.75">
      <c r="B7" t="s">
        <v>793</v>
      </c>
      <c r="C7" s="223">
        <f>VLOOKUP($C$4,EmissionTable,4,FALSE)</f>
        <v>0.002937040322175353</v>
      </c>
      <c r="D7" t="s">
        <v>791</v>
      </c>
      <c r="T7" s="213" t="s">
        <v>742</v>
      </c>
    </row>
    <row r="8" spans="2:20" ht="12.75">
      <c r="B8" t="s">
        <v>794</v>
      </c>
      <c r="C8" s="223">
        <f>VLOOKUP($C$4,EmissionTable,5,FALSE)</f>
        <v>0.006083572637041173</v>
      </c>
      <c r="D8" t="s">
        <v>791</v>
      </c>
      <c r="T8" s="213" t="s">
        <v>743</v>
      </c>
    </row>
    <row r="9" ht="12.75">
      <c r="T9" s="213" t="s">
        <v>740</v>
      </c>
    </row>
    <row r="10" ht="12.75">
      <c r="T10" s="213" t="s">
        <v>744</v>
      </c>
    </row>
    <row r="11" spans="3:20" ht="12.75">
      <c r="C11" s="6" t="s">
        <v>821</v>
      </c>
      <c r="D11" s="382" t="s">
        <v>809</v>
      </c>
      <c r="E11" s="382"/>
      <c r="F11" s="382"/>
      <c r="H11" t="s">
        <v>802</v>
      </c>
      <c r="K11" s="36">
        <f>+'Tabular Results'!D41/Cfuel</f>
        <v>0</v>
      </c>
      <c r="L11" t="s">
        <v>810</v>
      </c>
      <c r="T11" s="213" t="s">
        <v>745</v>
      </c>
    </row>
    <row r="12" spans="3:20" ht="15.75">
      <c r="C12" s="6" t="s">
        <v>77</v>
      </c>
      <c r="D12" s="6" t="s">
        <v>808</v>
      </c>
      <c r="E12" s="6" t="s">
        <v>793</v>
      </c>
      <c r="F12" s="6" t="s">
        <v>794</v>
      </c>
      <c r="H12" t="s">
        <v>803</v>
      </c>
      <c r="K12" s="36">
        <f>+'Tabular Results'!D42/Ce</f>
        <v>18289928.779630408</v>
      </c>
      <c r="L12" t="s">
        <v>811</v>
      </c>
      <c r="T12" s="213" t="s">
        <v>746</v>
      </c>
    </row>
    <row r="13" spans="2:20" ht="12.75">
      <c r="B13" t="s">
        <v>812</v>
      </c>
      <c r="C13" s="36">
        <f>+K5*C5/1000000</f>
        <v>338325.91218079056</v>
      </c>
      <c r="D13" s="36">
        <f>+K5*C6/2000</f>
        <v>30442.468845697418</v>
      </c>
      <c r="E13" s="8">
        <f>+K5*C7/2000</f>
        <v>64.32823195241345</v>
      </c>
      <c r="F13" s="8">
        <f>+K5*C8/2000</f>
        <v>133.2448413255306</v>
      </c>
      <c r="H13" t="s">
        <v>804</v>
      </c>
      <c r="K13" s="36">
        <f>+'Tabular Results'!D43/Ce</f>
        <v>0</v>
      </c>
      <c r="L13" t="s">
        <v>811</v>
      </c>
      <c r="T13" s="213" t="s">
        <v>748</v>
      </c>
    </row>
    <row r="14" spans="2:20" ht="12.75">
      <c r="B14" t="s">
        <v>813</v>
      </c>
      <c r="C14" s="36"/>
      <c r="D14" s="36"/>
      <c r="E14" s="8"/>
      <c r="F14" s="8"/>
      <c r="T14" s="213" t="s">
        <v>749</v>
      </c>
    </row>
    <row r="15" spans="2:20" ht="12.75">
      <c r="B15" s="224" t="s">
        <v>814</v>
      </c>
      <c r="C15" s="36">
        <f>+K6</f>
        <v>498411.0144</v>
      </c>
      <c r="D15" s="36">
        <f>+K6*K18/2000</f>
        <v>27412.605792</v>
      </c>
      <c r="E15" s="8">
        <f>+K6*L18/2000</f>
        <v>79.74576230400001</v>
      </c>
      <c r="F15" s="8">
        <f>+K6*M18/2000</f>
        <v>0.8472987244799999</v>
      </c>
      <c r="T15" s="213" t="s">
        <v>750</v>
      </c>
    </row>
    <row r="16" spans="2:20" ht="12.75">
      <c r="B16" s="224" t="s">
        <v>815</v>
      </c>
      <c r="C16" s="36">
        <f>+K11</f>
        <v>0</v>
      </c>
      <c r="D16" s="36">
        <f>+K11*K19/2000</f>
        <v>0</v>
      </c>
      <c r="E16" s="8">
        <f>+K11*L19/2000</f>
        <v>0</v>
      </c>
      <c r="F16" s="8">
        <f>+K11*M19/2000</f>
        <v>0</v>
      </c>
      <c r="K16" s="382" t="s">
        <v>807</v>
      </c>
      <c r="L16" s="382"/>
      <c r="M16" s="382"/>
      <c r="T16" s="213" t="s">
        <v>751</v>
      </c>
    </row>
    <row r="17" spans="2:20" ht="15.75">
      <c r="B17" s="224" t="s">
        <v>816</v>
      </c>
      <c r="C17" s="36">
        <f>+K12*C5/1000000</f>
        <v>141262.07260597358</v>
      </c>
      <c r="D17" s="36">
        <f>+K12*C6/2000</f>
        <v>12710.720904191397</v>
      </c>
      <c r="E17" s="8">
        <f>+K12*C7/2000</f>
        <v>26.859129157744977</v>
      </c>
      <c r="F17" s="8">
        <f>+K12*C8/2000</f>
        <v>55.634055128595705</v>
      </c>
      <c r="K17" s="6" t="s">
        <v>808</v>
      </c>
      <c r="L17" s="6" t="s">
        <v>793</v>
      </c>
      <c r="M17" s="6" t="s">
        <v>794</v>
      </c>
      <c r="T17" s="213" t="s">
        <v>753</v>
      </c>
    </row>
    <row r="18" spans="2:20" ht="12.75">
      <c r="B18" s="224" t="s">
        <v>817</v>
      </c>
      <c r="C18" s="36">
        <f>+K13*C5/1000000</f>
        <v>0</v>
      </c>
      <c r="D18" s="36">
        <f>+K13*C6/2000</f>
        <v>0</v>
      </c>
      <c r="E18" s="8">
        <f>+K13*C7/2000</f>
        <v>0</v>
      </c>
      <c r="F18" s="8">
        <f>+K13*C8/2000</f>
        <v>0</v>
      </c>
      <c r="H18" t="s">
        <v>805</v>
      </c>
      <c r="K18">
        <v>110</v>
      </c>
      <c r="L18" s="56">
        <v>0.32</v>
      </c>
      <c r="M18" s="113">
        <v>0.0034</v>
      </c>
      <c r="T18" s="213" t="s">
        <v>754</v>
      </c>
    </row>
    <row r="19" spans="2:20" ht="12.75">
      <c r="B19" s="224" t="s">
        <v>818</v>
      </c>
      <c r="C19" s="36">
        <f>+C15-SUM(C16:C18)</f>
        <v>357148.9417940264</v>
      </c>
      <c r="D19" s="36">
        <f>+D15-SUM(D16:D18)</f>
        <v>14701.884887808601</v>
      </c>
      <c r="E19" s="8">
        <f>+E15-SUM(E16:E18)</f>
        <v>52.886633146255036</v>
      </c>
      <c r="F19" s="8">
        <f>+F15-SUM(F16:F18)</f>
        <v>-54.78675640411571</v>
      </c>
      <c r="H19" t="s">
        <v>806</v>
      </c>
      <c r="K19" s="56">
        <f>120000/1020</f>
        <v>117.6470588235294</v>
      </c>
      <c r="L19" s="56">
        <v>0.1</v>
      </c>
      <c r="M19" s="113">
        <f>0.6/1020</f>
        <v>0.000588235294117647</v>
      </c>
      <c r="T19" s="213" t="s">
        <v>755</v>
      </c>
    </row>
    <row r="20" spans="2:20" ht="12.75">
      <c r="B20" t="s">
        <v>819</v>
      </c>
      <c r="C20" s="36">
        <f>+C13-C19</f>
        <v>-18823.02961323585</v>
      </c>
      <c r="D20" s="36">
        <f>+D13-D19</f>
        <v>15740.583957888817</v>
      </c>
      <c r="E20" s="8">
        <f>+E13-E19</f>
        <v>11.44159880615841</v>
      </c>
      <c r="F20" s="8">
        <f>+F13-F19</f>
        <v>188.0315977296463</v>
      </c>
      <c r="T20" s="213" t="s">
        <v>752</v>
      </c>
    </row>
    <row r="21" ht="12.75">
      <c r="T21" s="213" t="s">
        <v>756</v>
      </c>
    </row>
    <row r="22" ht="12.75">
      <c r="T22" s="213" t="s">
        <v>757</v>
      </c>
    </row>
    <row r="23" ht="12.75">
      <c r="T23" s="213" t="s">
        <v>758</v>
      </c>
    </row>
    <row r="24" ht="12.75">
      <c r="T24" s="213" t="s">
        <v>761</v>
      </c>
    </row>
    <row r="25" ht="12.75">
      <c r="T25" s="213" t="s">
        <v>760</v>
      </c>
    </row>
    <row r="26" ht="12.75">
      <c r="T26" s="213" t="s">
        <v>759</v>
      </c>
    </row>
    <row r="27" ht="12.75">
      <c r="T27" s="213" t="s">
        <v>762</v>
      </c>
    </row>
    <row r="28" ht="12.75">
      <c r="T28" s="213" t="s">
        <v>763</v>
      </c>
    </row>
    <row r="29" ht="12.75">
      <c r="T29" s="213" t="s">
        <v>765</v>
      </c>
    </row>
    <row r="30" ht="12.75">
      <c r="T30" s="213" t="s">
        <v>764</v>
      </c>
    </row>
    <row r="31" ht="12.75">
      <c r="T31" s="213" t="s">
        <v>766</v>
      </c>
    </row>
    <row r="32" ht="12.75">
      <c r="T32" s="213" t="s">
        <v>769</v>
      </c>
    </row>
    <row r="33" ht="12.75">
      <c r="T33" s="213" t="s">
        <v>773</v>
      </c>
    </row>
    <row r="34" ht="12.75">
      <c r="T34" s="213" t="s">
        <v>770</v>
      </c>
    </row>
    <row r="35" ht="12.75">
      <c r="T35" s="213" t="s">
        <v>771</v>
      </c>
    </row>
    <row r="36" ht="12.75">
      <c r="T36" s="213" t="s">
        <v>772</v>
      </c>
    </row>
    <row r="37" ht="12.75">
      <c r="T37" s="213" t="s">
        <v>774</v>
      </c>
    </row>
    <row r="38" ht="12.75">
      <c r="T38" s="213" t="s">
        <v>767</v>
      </c>
    </row>
    <row r="39" ht="12.75">
      <c r="T39" s="213" t="s">
        <v>768</v>
      </c>
    </row>
    <row r="40" ht="12.75">
      <c r="T40" s="213" t="s">
        <v>775</v>
      </c>
    </row>
    <row r="41" ht="12.75">
      <c r="T41" s="213" t="s">
        <v>776</v>
      </c>
    </row>
    <row r="42" ht="12.75">
      <c r="T42" s="213" t="s">
        <v>777</v>
      </c>
    </row>
    <row r="43" ht="12.75">
      <c r="T43" s="213" t="s">
        <v>778</v>
      </c>
    </row>
    <row r="44" ht="12.75">
      <c r="T44" s="213" t="s">
        <v>779</v>
      </c>
    </row>
    <row r="45" ht="12.75">
      <c r="T45" s="213" t="s">
        <v>780</v>
      </c>
    </row>
    <row r="46" ht="12.75">
      <c r="T46" s="213" t="s">
        <v>781</v>
      </c>
    </row>
    <row r="47" ht="12.75">
      <c r="T47" s="213" t="s">
        <v>782</v>
      </c>
    </row>
    <row r="48" ht="12.75">
      <c r="T48" s="213" t="s">
        <v>783</v>
      </c>
    </row>
    <row r="49" ht="12.75">
      <c r="T49" s="213" t="s">
        <v>784</v>
      </c>
    </row>
    <row r="50" ht="12.75">
      <c r="T50" s="213" t="s">
        <v>786</v>
      </c>
    </row>
    <row r="51" ht="12.75">
      <c r="T51" s="213" t="s">
        <v>785</v>
      </c>
    </row>
    <row r="52" ht="12.75">
      <c r="T52" s="213" t="s">
        <v>787</v>
      </c>
    </row>
    <row r="53" ht="12.75">
      <c r="T53" s="213" t="s">
        <v>747</v>
      </c>
    </row>
    <row r="54" ht="12.75">
      <c r="T54" s="213" t="s">
        <v>789</v>
      </c>
    </row>
    <row r="55" ht="12.75">
      <c r="T55" s="213" t="s">
        <v>788</v>
      </c>
    </row>
    <row r="56" ht="12.75">
      <c r="T56" s="213" t="s">
        <v>790</v>
      </c>
    </row>
  </sheetData>
  <mergeCells count="2">
    <mergeCell ref="K16:M16"/>
    <mergeCell ref="D11:F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U38"/>
  <sheetViews>
    <sheetView workbookViewId="0" topLeftCell="A1">
      <selection activeCell="C10" sqref="C10"/>
    </sheetView>
  </sheetViews>
  <sheetFormatPr defaultColWidth="9.140625" defaultRowHeight="12.75"/>
  <cols>
    <col min="2" max="2" width="9.57421875" style="0" bestFit="1" customWidth="1"/>
    <col min="3" max="3" width="20.421875" style="0" bestFit="1" customWidth="1"/>
    <col min="9" max="9" width="10.7109375" style="0" bestFit="1" customWidth="1"/>
    <col min="12" max="12" width="12.57421875" style="0" bestFit="1" customWidth="1"/>
    <col min="14" max="14" width="10.140625" style="0" bestFit="1" customWidth="1"/>
  </cols>
  <sheetData>
    <row r="2" spans="10:15" ht="12.75">
      <c r="J2" s="383" t="s">
        <v>826</v>
      </c>
      <c r="K2" s="383"/>
      <c r="L2" s="383"/>
      <c r="M2" s="383"/>
      <c r="N2" s="383"/>
      <c r="O2" s="383"/>
    </row>
    <row r="3" spans="10:15" ht="12.75">
      <c r="J3" s="383"/>
      <c r="K3" s="383"/>
      <c r="L3" s="383"/>
      <c r="M3" s="383"/>
      <c r="N3" s="383"/>
      <c r="O3" s="383"/>
    </row>
    <row r="4" spans="10:14" ht="12.75">
      <c r="J4" s="228" t="s">
        <v>411</v>
      </c>
      <c r="K4" s="228"/>
      <c r="L4" s="228"/>
      <c r="M4" s="228"/>
      <c r="N4" s="228"/>
    </row>
    <row r="5" spans="4:14" ht="12.75">
      <c r="D5" t="s">
        <v>27</v>
      </c>
      <c r="F5" s="2">
        <f>+Data!G39</f>
        <v>1621.7115384615386</v>
      </c>
      <c r="G5" s="63" t="s">
        <v>29</v>
      </c>
      <c r="H5">
        <f>+Pnetcost</f>
        <v>1621.7115384615386</v>
      </c>
      <c r="J5" s="228" t="s">
        <v>62</v>
      </c>
      <c r="K5" s="228"/>
      <c r="L5" s="228">
        <v>78.6</v>
      </c>
      <c r="M5" s="228" t="s">
        <v>60</v>
      </c>
      <c r="N5" s="228">
        <v>25.8</v>
      </c>
    </row>
    <row r="6" spans="4:14" ht="12.75">
      <c r="D6" t="s">
        <v>155</v>
      </c>
      <c r="F6" s="36">
        <f>+Data!W34</f>
        <v>8424</v>
      </c>
      <c r="G6" t="s">
        <v>23</v>
      </c>
      <c r="J6" s="228" t="s">
        <v>63</v>
      </c>
      <c r="K6" s="228"/>
      <c r="L6" s="228">
        <v>288</v>
      </c>
      <c r="M6" s="228" t="s">
        <v>65</v>
      </c>
      <c r="N6" s="228">
        <v>184.8</v>
      </c>
    </row>
    <row r="7" spans="4:14" ht="12.75">
      <c r="D7" t="s">
        <v>154</v>
      </c>
      <c r="F7" s="3">
        <v>0.06</v>
      </c>
      <c r="G7" s="63" t="s">
        <v>30</v>
      </c>
      <c r="J7" s="228" t="s">
        <v>64</v>
      </c>
      <c r="K7" s="228"/>
      <c r="L7" s="228">
        <v>366.6</v>
      </c>
      <c r="M7" s="228" t="s">
        <v>61</v>
      </c>
      <c r="N7" s="228">
        <v>210.6</v>
      </c>
    </row>
    <row r="8" spans="4:14" ht="12.75">
      <c r="D8" t="s">
        <v>21</v>
      </c>
      <c r="F8" s="4">
        <v>7.6</v>
      </c>
      <c r="G8" s="63" t="s">
        <v>3</v>
      </c>
      <c r="J8" s="228" t="s">
        <v>410</v>
      </c>
      <c r="K8" s="228"/>
      <c r="L8" s="228">
        <v>8</v>
      </c>
      <c r="M8" s="228"/>
      <c r="N8" s="228"/>
    </row>
    <row r="9" spans="4:14" ht="12.75">
      <c r="D9" t="s">
        <v>378</v>
      </c>
      <c r="F9" s="8">
        <f>+Pnetcost/(H*((gamma+beta*beta1*'Plot Data'!I2+beta*beta2*'Plot Data'!I3+beta*beta3*'Plot Data'!I4)*$F$7+(beta*beta1*'Plot Data'!I5-alpha/1000000)*$F$8-COM-Cstandby/H+(1-gamma)*Cexport+Psubsidy/(Qe*H)))</f>
        <v>-16.21847328682787</v>
      </c>
      <c r="J9" s="228" t="s">
        <v>412</v>
      </c>
      <c r="K9" s="228"/>
      <c r="L9" s="228">
        <v>0</v>
      </c>
      <c r="M9" s="228"/>
      <c r="N9" s="228"/>
    </row>
    <row r="10" spans="2:4" ht="12.75">
      <c r="B10" s="181"/>
      <c r="D10" s="1" t="s">
        <v>376</v>
      </c>
    </row>
    <row r="11" spans="2:12" ht="12.75">
      <c r="B11" s="181"/>
      <c r="D11" t="s">
        <v>154</v>
      </c>
      <c r="F11" s="3">
        <f>ROUND(+Ce*1000,0)/1000</f>
        <v>0.06</v>
      </c>
      <c r="G11" s="63" t="s">
        <v>30</v>
      </c>
      <c r="I11" s="314" t="str">
        <f>CONCATENATE("Simple payback at current energy rates is ",TEXT(F13,"##0.0")," years. Payback at ",TEXT(F7,"$#0.000")," / kWh and ",TEXT(F8,"$##0.00")," / MMBtu is ",TEXT(F9,"##0.0")," years.")</f>
        <v>Simple payback at current energy rates is -16.2 years. Payback at $0.060 / kWh and $7.60 / MMBtu is -16.2 years.</v>
      </c>
      <c r="J11" s="314"/>
      <c r="K11" s="314"/>
      <c r="L11" s="314"/>
    </row>
    <row r="12" spans="2:12" ht="12.75">
      <c r="B12" s="181"/>
      <c r="D12" t="s">
        <v>21</v>
      </c>
      <c r="F12" s="4">
        <f>ROUND(+Cfuel*100,0)/100</f>
        <v>7.6</v>
      </c>
      <c r="G12" s="63" t="s">
        <v>3</v>
      </c>
      <c r="I12" s="314"/>
      <c r="J12" s="314"/>
      <c r="K12" s="314"/>
      <c r="L12" s="314"/>
    </row>
    <row r="13" spans="2:12" ht="12.75">
      <c r="B13" s="181"/>
      <c r="D13" t="s">
        <v>377</v>
      </c>
      <c r="F13" s="57">
        <f>+Pnetcost/(H*((gamma+beta*beta1*'Plot Data'!I2+beta*beta2*'Plot Data'!I3+beta*beta3*'Plot Data'!I4)*$F$11+(beta*beta1*'Plot Data'!I5-alpha/1000000)*$F$12-COM-Cstandby/H+(1-gamma)*Cexport+Psubsidy/(Qe*H)))</f>
        <v>-16.21847328682787</v>
      </c>
      <c r="I13" s="314"/>
      <c r="J13" s="314"/>
      <c r="K13" s="314"/>
      <c r="L13" s="314"/>
    </row>
    <row r="14" spans="2:13" ht="12.75">
      <c r="B14" s="181"/>
      <c r="E14" s="379" t="s">
        <v>22</v>
      </c>
      <c r="F14" s="379"/>
      <c r="G14" s="379"/>
      <c r="H14" s="384" t="s">
        <v>379</v>
      </c>
      <c r="I14" s="384"/>
      <c r="K14" s="6" t="s">
        <v>413</v>
      </c>
      <c r="L14" s="6"/>
      <c r="M14" s="6"/>
    </row>
    <row r="15" spans="2:11" ht="15.75">
      <c r="B15" s="181"/>
      <c r="E15" s="6" t="s">
        <v>156</v>
      </c>
      <c r="H15" s="225" t="s">
        <v>58</v>
      </c>
      <c r="I15" s="225" t="s">
        <v>59</v>
      </c>
      <c r="J15" s="9" t="s">
        <v>496</v>
      </c>
      <c r="K15" s="6" t="s">
        <v>156</v>
      </c>
    </row>
    <row r="16" spans="2:21" ht="15.75">
      <c r="B16" s="181"/>
      <c r="C16" s="4"/>
      <c r="D16" s="5">
        <v>0</v>
      </c>
      <c r="E16" s="117">
        <f>Pnetcost/(H*J16)</f>
        <v>-5.21401588043718</v>
      </c>
      <c r="F16" s="3">
        <f>+F17</f>
        <v>0.06</v>
      </c>
      <c r="G16" s="4">
        <f>+('Plot Data'!$K$4/'Alternative Energy'!$E16+'Plot Data'!$K$5-'Plot Data'!$K$2*'Alternative Energy'!F16)/'Plot Data'!$K$3</f>
        <v>9.80178867455186</v>
      </c>
      <c r="H16" s="226">
        <f>+H20</f>
        <v>147.72</v>
      </c>
      <c r="I16" s="227">
        <f>+$N$7-('Alternative Energy'!G16-Data!$AA$26)/(Data!$AB$26-Data!$AA$26)*('Alternative Energy'!$N$7-'Alternative Energy'!$N$5)-0.75*$L$8</f>
        <v>114.03147264714082</v>
      </c>
      <c r="J16" s="162">
        <f>+(gamma+D16*beta1*'Plot Data'!$I$2+D16*beta2*'Plot Data'!$I$3+D16*beta3*'Plot Data'!$I$4)*$F$7+(D16*beta1*'Plot Data'!$I$5-alpha/1000000)*$F$8-COM-Cstandby/H+(1-gamma)*Cexport+Psubsidy/(Qe*H)</f>
        <v>-0.036921802849002844</v>
      </c>
      <c r="K16" s="117">
        <f>IF(i=0,E16,IF(H*J16&lt;=i*Pnetcost,-999,-LN(1-i*Pnetcost/(H*J16))/LN(1+i)))</f>
        <v>-999</v>
      </c>
      <c r="L16" s="57"/>
      <c r="M16" s="4"/>
      <c r="N16" s="57"/>
      <c r="S16" t="s">
        <v>177</v>
      </c>
      <c r="T16" s="9" t="s">
        <v>191</v>
      </c>
      <c r="U16" s="5">
        <f>+gamma</f>
        <v>1</v>
      </c>
    </row>
    <row r="17" spans="2:21" ht="15.75">
      <c r="B17" s="181"/>
      <c r="C17" s="4"/>
      <c r="D17" s="5">
        <f>+D16+0.25</f>
        <v>0.25</v>
      </c>
      <c r="E17" s="117">
        <f>Pnetcost/(H*J17)</f>
        <v>-6.279135922690196</v>
      </c>
      <c r="F17" s="3">
        <f>+F18</f>
        <v>0.06</v>
      </c>
      <c r="G17" s="4">
        <f>+('Plot Data'!$K$4/'Alternative Energy'!$E17+'Plot Data'!$K$5-'Plot Data'!$K$2*'Alternative Energy'!F17)/'Plot Data'!$K$3</f>
        <v>9.251341505913894</v>
      </c>
      <c r="H17" s="226"/>
      <c r="I17" s="227"/>
      <c r="J17" s="162">
        <f>+(gamma+D17*beta1*'Plot Data'!$I$2+D17*beta2*'Plot Data'!$I$3+D17*beta3*'Plot Data'!$I$4)*$F$7+(D17*beta1*'Plot Data'!$I$5-alpha/1000000)*$F$8-COM-Cstandby/H+(1-gamma)*Cexport+Psubsidy/(Qe*H)</f>
        <v>-0.030658814964240066</v>
      </c>
      <c r="K17" s="117">
        <f>IF(i=0,E17,IF(H*J17&lt;=i*Pnetcost,-999,-LN(1-i*Pnetcost/(H*J17))/LN(1+i)))</f>
        <v>-999</v>
      </c>
      <c r="L17" s="57"/>
      <c r="M17" s="57">
        <f>+Pnetcost/(H*((gamma+beta*beta2*Eff2+beta*beta3*Eff3)*$F$7+(beta*beta1*Eff1-alpha/1000000)*$F$8-COM-Cstandby/H+(1-gamma)*Cexport+Psubsidy/(Qe*H)))</f>
        <v>-16.21847328682787</v>
      </c>
      <c r="N17" s="57"/>
      <c r="S17" t="s">
        <v>178</v>
      </c>
      <c r="T17" s="9" t="s">
        <v>192</v>
      </c>
      <c r="U17" s="36">
        <f>+alpha</f>
        <v>11378</v>
      </c>
    </row>
    <row r="18" spans="2:21" ht="15.75">
      <c r="B18" s="181"/>
      <c r="C18" s="4"/>
      <c r="D18" s="5">
        <f>+D17+0.25</f>
        <v>0.5</v>
      </c>
      <c r="E18" s="117">
        <f>Pnetcost/(H*J18)</f>
        <v>-7.891139159246581</v>
      </c>
      <c r="F18" s="3">
        <f>+F19</f>
        <v>0.06</v>
      </c>
      <c r="G18" s="4">
        <f>+('Plot Data'!$K$4/'Alternative Energy'!$E18+'Plot Data'!$K$5-'Plot Data'!$K$2*'Alternative Energy'!F18)/'Plot Data'!$K$3</f>
        <v>8.70089433727593</v>
      </c>
      <c r="H18" s="226">
        <f>+H20</f>
        <v>147.72</v>
      </c>
      <c r="I18" s="227">
        <f>+$N$7-('Alternative Energy'!G18-Data!$AA$26)/(Data!$AB$26-Data!$AA$26)*('Alternative Energy'!$N$7-'Alternative Energy'!$N$5)-0.75*$L$8</f>
        <v>124.20373632357041</v>
      </c>
      <c r="J18" s="162">
        <f>+(gamma+D18*beta1*'Plot Data'!$I$2+D18*beta2*'Plot Data'!$I$3+D18*beta3*'Plot Data'!$I$4)*$F$7+(D18*beta1*'Plot Data'!$I$5-alpha/1000000)*$F$8-COM-Cstandby/H+(1-gamma)*Cexport+Psubsidy/(Qe*H)</f>
        <v>-0.024395827079477305</v>
      </c>
      <c r="K18" s="117">
        <f>IF(i=0,E18,IF(H*J18&lt;=i*Pnetcost,-999,-LN(1-i*Pnetcost/(H*J18))/LN(1+i)))</f>
        <v>-999</v>
      </c>
      <c r="L18" s="57"/>
      <c r="M18" s="4"/>
      <c r="N18" s="57"/>
      <c r="S18" t="s">
        <v>179</v>
      </c>
      <c r="T18" s="9" t="s">
        <v>153</v>
      </c>
      <c r="U18" s="5">
        <f>+beta</f>
        <v>1</v>
      </c>
    </row>
    <row r="19" spans="2:21" ht="19.5">
      <c r="B19" s="181"/>
      <c r="D19" s="5">
        <f>+D18+0.25</f>
        <v>0.75</v>
      </c>
      <c r="E19" s="117">
        <f>Pnetcost/(H*J19)</f>
        <v>-10.616697381024906</v>
      </c>
      <c r="F19" s="3">
        <f>+F20</f>
        <v>0.06</v>
      </c>
      <c r="G19" s="4">
        <f>+('Plot Data'!$K$4/'Alternative Energy'!$E19+'Plot Data'!$K$5-'Plot Data'!$K$2*'Alternative Energy'!F19)/'Plot Data'!$K$3</f>
        <v>8.150447168637964</v>
      </c>
      <c r="H19" s="226"/>
      <c r="I19" s="227"/>
      <c r="J19" s="162">
        <f>+(gamma+D19*beta1*'Plot Data'!$I$2+D19*beta2*'Plot Data'!$I$3+D19*beta3*'Plot Data'!$I$4)*$F$7+(D19*beta1*'Plot Data'!$I$5-alpha/1000000)*$F$8-COM-Cstandby/H+(1-gamma)*Cexport+Psubsidy/(Qe*H)</f>
        <v>-0.01813283919471453</v>
      </c>
      <c r="K19" s="117">
        <f>IF(i=0,E19,IF(H*J19&lt;=i*Pnetcost,-999,-LN(1-i*Pnetcost/(H*J19))/LN(1+i)))</f>
        <v>-999</v>
      </c>
      <c r="L19" s="57"/>
      <c r="M19" s="4"/>
      <c r="N19" s="57"/>
      <c r="S19" t="s">
        <v>180</v>
      </c>
      <c r="T19" s="9" t="s">
        <v>193</v>
      </c>
      <c r="U19" s="5">
        <f>+beta2</f>
        <v>1</v>
      </c>
    </row>
    <row r="20" spans="4:21" ht="15.75">
      <c r="D20" s="5">
        <f>+D19+0.25</f>
        <v>1</v>
      </c>
      <c r="E20" s="117">
        <f>Pnetcost/(H*J20)</f>
        <v>-16.21847328682787</v>
      </c>
      <c r="F20" s="3">
        <f>+F7</f>
        <v>0.06</v>
      </c>
      <c r="G20" s="4">
        <f>+('Plot Data'!$K$4/$E20+'Plot Data'!$K$5-'Plot Data'!$K$2*F20)/'Plot Data'!$K$3</f>
        <v>7.6</v>
      </c>
      <c r="H20" s="226">
        <f>+$L$5+(F20-Data!$AA$25)/(Data!$AB$25-Data!$AA$25)*('Alternative Energy'!$L$7-'Alternative Energy'!$L$5)</f>
        <v>147.72</v>
      </c>
      <c r="I20" s="227">
        <f>+$N$7-('Alternative Energy'!G20-Data!$AA$26)/(Data!$AB$26-Data!$AA$26)*('Alternative Energy'!$N$7-'Alternative Energy'!$N$5)-0.75*$L$8</f>
        <v>134.376</v>
      </c>
      <c r="J20" s="162">
        <f>+(gamma+D20*beta1*'Plot Data'!$I$2+D20*beta2*'Plot Data'!$I$3+D20*beta3*'Plot Data'!$I$4)*$F$7+(D20*beta1*'Plot Data'!$I$5-alpha/1000000)*$F$8-COM-Cstandby/H+(1-gamma)*Cexport+Psubsidy/(Qe*H)</f>
        <v>-0.011869851309951768</v>
      </c>
      <c r="K20" s="117">
        <f>IF(i=0,E20,IF(H*J20&lt;=i*Pnetcost,-999,-LN(1-i*Pnetcost/(H*J20))/LN(1+i)))</f>
        <v>-999</v>
      </c>
      <c r="L20" s="57"/>
      <c r="M20" s="4"/>
      <c r="N20" s="57"/>
      <c r="S20" t="s">
        <v>181</v>
      </c>
      <c r="T20" s="9" t="s">
        <v>194</v>
      </c>
      <c r="U20" s="56">
        <f>+delta</f>
        <v>0</v>
      </c>
    </row>
    <row r="21" spans="19:21" ht="15.75">
      <c r="S21" t="s">
        <v>182</v>
      </c>
      <c r="T21" s="9" t="s">
        <v>195</v>
      </c>
      <c r="U21" s="56">
        <f>+epsilon</f>
        <v>0</v>
      </c>
    </row>
    <row r="22" spans="19:21" ht="12.75">
      <c r="S22" t="s">
        <v>183</v>
      </c>
      <c r="T22" s="6" t="s">
        <v>196</v>
      </c>
      <c r="U22" s="56">
        <f>+gCOP</f>
        <v>1.2</v>
      </c>
    </row>
    <row r="23" spans="11:21" ht="20.25" thickBot="1">
      <c r="K23" s="4">
        <f>+(gamma+D20*beta2*Eff2+D20*beta3*Eff3)*$F$7</f>
        <v>0.08505195153905107</v>
      </c>
      <c r="S23" t="s">
        <v>184</v>
      </c>
      <c r="T23" s="9" t="s">
        <v>197</v>
      </c>
      <c r="U23" s="56">
        <f>+ChillerEfficiency</f>
        <v>0.85</v>
      </c>
    </row>
    <row r="24" spans="3:21" ht="20.25" thickBot="1">
      <c r="C24" s="89"/>
      <c r="D24" s="333" t="s">
        <v>170</v>
      </c>
      <c r="E24" s="334"/>
      <c r="F24" s="334"/>
      <c r="G24" s="335"/>
      <c r="H24" s="81"/>
      <c r="I24" s="82"/>
      <c r="K24">
        <f>+(gamma+D20*beta2*Eff2+D20*beta3*Eff3)*$F$7+(D20*beta1*Eff1-alpha/1000000)*$F$8-COM-Cstandby/H+(1-gamma)*Cexport+Psubsidy/(Qe*H)</f>
        <v>-0.011869851309951768</v>
      </c>
      <c r="S24" t="s">
        <v>185</v>
      </c>
      <c r="T24" s="9" t="s">
        <v>198</v>
      </c>
      <c r="U24" s="5">
        <f>+eta</f>
        <v>0.72</v>
      </c>
    </row>
    <row r="25" spans="3:21" ht="16.5" thickBot="1">
      <c r="C25" s="90"/>
      <c r="D25" s="342" t="s">
        <v>169</v>
      </c>
      <c r="E25" s="346"/>
      <c r="F25" s="332" t="s">
        <v>168</v>
      </c>
      <c r="G25" s="347"/>
      <c r="H25" s="338" t="s">
        <v>167</v>
      </c>
      <c r="I25" s="348"/>
      <c r="S25" t="s">
        <v>186</v>
      </c>
      <c r="T25" s="6" t="s">
        <v>199</v>
      </c>
      <c r="U25" s="36">
        <f>+Qe</f>
        <v>5200</v>
      </c>
    </row>
    <row r="26" spans="3:21" ht="13.5" thickBot="1">
      <c r="C26" s="60" t="s">
        <v>166</v>
      </c>
      <c r="D26" s="92" t="s">
        <v>69</v>
      </c>
      <c r="E26" s="91" t="s">
        <v>70</v>
      </c>
      <c r="F26" s="93" t="s">
        <v>69</v>
      </c>
      <c r="G26" s="91" t="s">
        <v>70</v>
      </c>
      <c r="H26" s="93" t="s">
        <v>69</v>
      </c>
      <c r="I26" s="91" t="s">
        <v>70</v>
      </c>
      <c r="K26" s="7">
        <f>+(D20*beta2*Eff2)*$F$7</f>
        <v>0.025051951539051074</v>
      </c>
      <c r="L26">
        <f>+Ce/$F$7*K26</f>
        <v>0.02525453656952406</v>
      </c>
      <c r="S26" t="s">
        <v>187</v>
      </c>
      <c r="T26" s="6" t="s">
        <v>200</v>
      </c>
      <c r="U26" s="36">
        <f>+H</f>
        <v>8424</v>
      </c>
    </row>
    <row r="27" spans="3:21" ht="15.75">
      <c r="C27" s="90" t="s">
        <v>157</v>
      </c>
      <c r="D27" s="94"/>
      <c r="E27" s="95"/>
      <c r="F27" s="85"/>
      <c r="G27" s="95"/>
      <c r="H27" s="85"/>
      <c r="I27" s="95"/>
      <c r="K27" s="7">
        <f>+(D20*beta3*Eff3)*$F$7</f>
        <v>0</v>
      </c>
      <c r="L27">
        <f>+Ce/$F$7*K27</f>
        <v>0</v>
      </c>
      <c r="S27" t="s">
        <v>188</v>
      </c>
      <c r="T27" s="6" t="s">
        <v>201</v>
      </c>
      <c r="U27" s="7">
        <f>+COM</f>
        <v>0.0076</v>
      </c>
    </row>
    <row r="28" spans="3:21" ht="15.75">
      <c r="C28" s="90" t="s">
        <v>158</v>
      </c>
      <c r="D28" s="96">
        <v>7600</v>
      </c>
      <c r="E28" s="97">
        <v>9600</v>
      </c>
      <c r="F28" s="98">
        <f>2000*D28/1000000</f>
        <v>15.2</v>
      </c>
      <c r="G28" s="99">
        <f>2000*E28/1000000</f>
        <v>19.2</v>
      </c>
      <c r="H28" s="100">
        <f aca="true" t="shared" si="0" ref="H28:I35">IF(F28&gt;0,+F28/$G$33,"")</f>
        <v>0.5714285714285714</v>
      </c>
      <c r="I28" s="101">
        <f t="shared" si="0"/>
        <v>0.7218045112781954</v>
      </c>
      <c r="K28" s="7">
        <f>+(gamma)*$F$7</f>
        <v>0.06</v>
      </c>
      <c r="L28">
        <f>+Ce/$F$7*K28</f>
        <v>0.060485195806379864</v>
      </c>
      <c r="S28" t="s">
        <v>189</v>
      </c>
      <c r="T28" s="6" t="s">
        <v>202</v>
      </c>
      <c r="U28" s="4">
        <f>+Cstandby</f>
        <v>24</v>
      </c>
    </row>
    <row r="29" spans="3:21" ht="15.75">
      <c r="C29" s="90" t="s">
        <v>159</v>
      </c>
      <c r="D29" s="96"/>
      <c r="E29" s="97">
        <v>6400</v>
      </c>
      <c r="F29" s="85"/>
      <c r="G29" s="99">
        <f>2000*E29/1000000</f>
        <v>12.8</v>
      </c>
      <c r="H29" s="100">
        <f t="shared" si="0"/>
      </c>
      <c r="I29" s="101">
        <f t="shared" si="0"/>
        <v>0.48120300751879697</v>
      </c>
      <c r="S29" t="s">
        <v>190</v>
      </c>
      <c r="T29" s="6" t="s">
        <v>203</v>
      </c>
      <c r="U29" s="7">
        <f>+Cexport</f>
        <v>0.025</v>
      </c>
    </row>
    <row r="30" spans="3:21" ht="15.75">
      <c r="C30" s="90" t="s">
        <v>160</v>
      </c>
      <c r="D30" s="96">
        <v>4300</v>
      </c>
      <c r="E30" s="97">
        <v>7300</v>
      </c>
      <c r="F30" s="98">
        <f>2000*D30/1000000</f>
        <v>8.6</v>
      </c>
      <c r="G30" s="99">
        <f>2000*E30/1000000</f>
        <v>14.6</v>
      </c>
      <c r="H30" s="100">
        <f t="shared" si="0"/>
        <v>0.3233082706766917</v>
      </c>
      <c r="I30" s="101">
        <f t="shared" si="0"/>
        <v>0.5488721804511277</v>
      </c>
      <c r="K30" s="3"/>
      <c r="S30" t="s">
        <v>207</v>
      </c>
      <c r="T30" s="6" t="s">
        <v>208</v>
      </c>
      <c r="U30" s="2">
        <f>+Psubsidy</f>
        <v>0</v>
      </c>
    </row>
    <row r="31" spans="3:21" ht="15.75">
      <c r="C31" s="90" t="s">
        <v>161</v>
      </c>
      <c r="D31" s="96"/>
      <c r="E31" s="97">
        <v>12800</v>
      </c>
      <c r="F31" s="85"/>
      <c r="G31" s="99">
        <f>2000*E31/1000000</f>
        <v>25.6</v>
      </c>
      <c r="H31" s="100">
        <f t="shared" si="0"/>
      </c>
      <c r="I31" s="101">
        <f t="shared" si="0"/>
        <v>0.9624060150375939</v>
      </c>
      <c r="S31" t="s">
        <v>209</v>
      </c>
      <c r="T31" s="6" t="s">
        <v>210</v>
      </c>
      <c r="U31" s="2">
        <f>+Pbuydown</f>
        <v>0</v>
      </c>
    </row>
    <row r="32" spans="3:21" ht="15.75">
      <c r="C32" s="90" t="s">
        <v>162</v>
      </c>
      <c r="D32" s="96"/>
      <c r="E32" s="97"/>
      <c r="F32" s="85"/>
      <c r="G32" s="95"/>
      <c r="H32" s="100">
        <f t="shared" si="0"/>
      </c>
      <c r="I32" s="101">
        <f t="shared" si="0"/>
      </c>
      <c r="S32" t="s">
        <v>211</v>
      </c>
      <c r="T32" s="6" t="s">
        <v>212</v>
      </c>
      <c r="U32" s="2">
        <f>+Data!W20</f>
        <v>1427</v>
      </c>
    </row>
    <row r="33" spans="3:21" ht="15.75">
      <c r="C33" s="90" t="s">
        <v>163</v>
      </c>
      <c r="D33" s="96"/>
      <c r="E33" s="97"/>
      <c r="F33" s="85"/>
      <c r="G33" s="99">
        <v>26.6</v>
      </c>
      <c r="H33" s="100">
        <f t="shared" si="0"/>
      </c>
      <c r="I33" s="101">
        <f t="shared" si="0"/>
        <v>1</v>
      </c>
      <c r="S33" t="s">
        <v>213</v>
      </c>
      <c r="T33" s="6" t="s">
        <v>214</v>
      </c>
      <c r="U33" s="2">
        <f>+Data!W21</f>
        <v>194.71153846153845</v>
      </c>
    </row>
    <row r="34" spans="3:21" ht="12.75">
      <c r="C34" s="90" t="s">
        <v>164</v>
      </c>
      <c r="D34" s="96">
        <v>11500</v>
      </c>
      <c r="E34" s="97">
        <v>13000</v>
      </c>
      <c r="F34" s="98">
        <f>2000*D34/1000000</f>
        <v>23</v>
      </c>
      <c r="G34" s="99">
        <f>2000*E34/1000000</f>
        <v>26</v>
      </c>
      <c r="H34" s="100">
        <f t="shared" si="0"/>
        <v>0.8646616541353384</v>
      </c>
      <c r="I34" s="101">
        <f t="shared" si="0"/>
        <v>0.9774436090225563</v>
      </c>
      <c r="S34" t="s">
        <v>215</v>
      </c>
      <c r="T34" s="6" t="s">
        <v>216</v>
      </c>
      <c r="U34" s="56">
        <f>+Data!W25</f>
        <v>1</v>
      </c>
    </row>
    <row r="35" spans="3:21" ht="13.5" thickBot="1">
      <c r="C35" s="60" t="s">
        <v>165</v>
      </c>
      <c r="D35" s="102">
        <v>6500</v>
      </c>
      <c r="E35" s="103">
        <v>8200</v>
      </c>
      <c r="F35" s="104">
        <f>2000*D35/1000000</f>
        <v>13</v>
      </c>
      <c r="G35" s="105">
        <f>2000*E35/1000000</f>
        <v>16.4</v>
      </c>
      <c r="H35" s="106">
        <f t="shared" si="0"/>
        <v>0.48872180451127817</v>
      </c>
      <c r="I35" s="107">
        <f t="shared" si="0"/>
        <v>0.6165413533834586</v>
      </c>
      <c r="S35" t="str">
        <f>CONCATENATE("20. ",CHAR(105))</f>
        <v>20. i</v>
      </c>
      <c r="T35" s="6" t="str">
        <f>CHAR(105)</f>
        <v>i</v>
      </c>
      <c r="U35" s="55">
        <f>+Data!W9</f>
        <v>0.06</v>
      </c>
    </row>
    <row r="36" spans="19:21" ht="12.75">
      <c r="S36" t="s">
        <v>372</v>
      </c>
      <c r="T36" s="6" t="s">
        <v>373</v>
      </c>
      <c r="U36" s="36">
        <f>+Data!W35</f>
        <v>43804800</v>
      </c>
    </row>
    <row r="38" spans="4:8" ht="12.75">
      <c r="D38" t="s">
        <v>464</v>
      </c>
      <c r="G38" s="36">
        <f>+Data!G23*1000000/Qe</f>
        <v>4912.14736059825</v>
      </c>
      <c r="H38" t="s">
        <v>28</v>
      </c>
    </row>
  </sheetData>
  <mergeCells count="8">
    <mergeCell ref="H25:I25"/>
    <mergeCell ref="F25:G25"/>
    <mergeCell ref="D25:E25"/>
    <mergeCell ref="D24:G24"/>
    <mergeCell ref="J2:O3"/>
    <mergeCell ref="I11:L13"/>
    <mergeCell ref="H14:I14"/>
    <mergeCell ref="E14:G1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E51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9.57421875" style="0" bestFit="1" customWidth="1"/>
    <col min="3" max="3" width="10.8515625" style="0" bestFit="1" customWidth="1"/>
    <col min="4" max="4" width="11.28125" style="0" bestFit="1" customWidth="1"/>
  </cols>
  <sheetData>
    <row r="1" spans="1:5" ht="16.5" thickBot="1">
      <c r="A1" s="208"/>
      <c r="B1" s="209" t="str">
        <f>CONCATENATE(+Data!C5,":  Input Summary")</f>
        <v>Atlanta Metropolitan Area:  Input Summary</v>
      </c>
      <c r="C1" s="210"/>
      <c r="D1" s="210"/>
      <c r="E1" s="211"/>
    </row>
    <row r="2" spans="1:5" ht="12.75">
      <c r="A2" s="58"/>
      <c r="B2" s="84" t="s">
        <v>78</v>
      </c>
      <c r="C2" s="62"/>
      <c r="D2" s="62"/>
      <c r="E2" s="70"/>
    </row>
    <row r="3" spans="1:5" ht="12.75">
      <c r="A3" s="58"/>
      <c r="B3" s="83" t="s">
        <v>79</v>
      </c>
      <c r="C3" s="73">
        <f>+Data!C8</f>
        <v>1877184</v>
      </c>
      <c r="D3" s="62"/>
      <c r="E3" s="70"/>
    </row>
    <row r="4" spans="1:5" ht="12.75">
      <c r="A4" s="58"/>
      <c r="B4" s="83" t="s">
        <v>80</v>
      </c>
      <c r="C4" s="71">
        <f>+Data!C9</f>
        <v>31035429</v>
      </c>
      <c r="D4" s="62" t="s">
        <v>1</v>
      </c>
      <c r="E4" s="70"/>
    </row>
    <row r="5" spans="1:5" ht="12.75">
      <c r="A5" s="58"/>
      <c r="B5" s="83" t="s">
        <v>668</v>
      </c>
      <c r="C5" s="71">
        <f>+Data!C10</f>
        <v>7300</v>
      </c>
      <c r="D5" s="71">
        <f>+Data!C11</f>
        <v>7000</v>
      </c>
      <c r="E5" s="70" t="s">
        <v>0</v>
      </c>
    </row>
    <row r="6" spans="1:5" ht="12.75">
      <c r="A6" s="58"/>
      <c r="B6" s="84" t="s">
        <v>82</v>
      </c>
      <c r="C6" s="85" t="s">
        <v>86</v>
      </c>
      <c r="D6" s="85" t="s">
        <v>87</v>
      </c>
      <c r="E6" s="70"/>
    </row>
    <row r="7" spans="1:5" ht="12.75">
      <c r="A7" s="58"/>
      <c r="B7" s="83" t="s">
        <v>83</v>
      </c>
      <c r="C7" s="73">
        <f>+Data!C14</f>
        <v>1111178</v>
      </c>
      <c r="D7" s="71">
        <f>+Data!C15</f>
        <v>1461684</v>
      </c>
      <c r="E7" s="70" t="str">
        <f>+Data!D15</f>
        <v>therms</v>
      </c>
    </row>
    <row r="8" spans="1:5" ht="12.75">
      <c r="A8" s="58"/>
      <c r="B8" s="83" t="s">
        <v>84</v>
      </c>
      <c r="C8" s="73">
        <f>+Data!C23</f>
        <v>0</v>
      </c>
      <c r="D8" s="71">
        <f>+Data!C24</f>
        <v>0</v>
      </c>
      <c r="E8" s="70" t="s">
        <v>107</v>
      </c>
    </row>
    <row r="9" spans="1:5" ht="12.75">
      <c r="A9" s="58"/>
      <c r="B9" s="83" t="s">
        <v>85</v>
      </c>
      <c r="C9" s="73">
        <f>+Data!C26</f>
        <v>0</v>
      </c>
      <c r="D9" s="71">
        <f>+Data!C27</f>
        <v>0</v>
      </c>
      <c r="E9" s="70" t="s">
        <v>57</v>
      </c>
    </row>
    <row r="10" spans="1:5" ht="12.75">
      <c r="A10" s="58"/>
      <c r="B10" s="84" t="s">
        <v>88</v>
      </c>
      <c r="C10" s="62"/>
      <c r="D10" s="62"/>
      <c r="E10" s="70"/>
    </row>
    <row r="11" spans="1:5" ht="12.75">
      <c r="A11" s="58"/>
      <c r="B11" s="83" t="s">
        <v>89</v>
      </c>
      <c r="C11" s="62">
        <f>+Data!G5</f>
        <v>1</v>
      </c>
      <c r="D11" s="62"/>
      <c r="E11" s="70"/>
    </row>
    <row r="12" spans="1:5" ht="12.75">
      <c r="A12" s="58"/>
      <c r="B12" s="83" t="s">
        <v>90</v>
      </c>
      <c r="C12" s="71">
        <f>+Data!G7</f>
        <v>5200</v>
      </c>
      <c r="D12" s="62" t="s">
        <v>0</v>
      </c>
      <c r="E12" s="70"/>
    </row>
    <row r="13" spans="1:5" ht="12.75">
      <c r="A13" s="58"/>
      <c r="B13" s="83" t="s">
        <v>91</v>
      </c>
      <c r="C13" s="62" t="str">
        <f>IF(Data!G10="GT","Gas Turbine",IF(Data!G10="MT","Microturbine",IF(Data!G10="IC","IC-Engine Generator",IF(Data!G10="FC","Fuel Cell",""))))</f>
        <v>Gas Turbine</v>
      </c>
      <c r="D13" s="62"/>
      <c r="E13" s="70"/>
    </row>
    <row r="14" spans="1:5" ht="12.75">
      <c r="A14" s="58"/>
      <c r="B14" s="83" t="s">
        <v>105</v>
      </c>
      <c r="C14" s="71">
        <f>+Data!W18</f>
        <v>11378</v>
      </c>
      <c r="D14" s="62" t="s">
        <v>28</v>
      </c>
      <c r="E14" s="70"/>
    </row>
    <row r="15" spans="1:5" ht="12.75">
      <c r="A15" s="58"/>
      <c r="B15" s="83" t="s">
        <v>106</v>
      </c>
      <c r="C15" s="75">
        <f>+Data!W29</f>
        <v>0.0076</v>
      </c>
      <c r="D15" s="76" t="s">
        <v>30</v>
      </c>
      <c r="E15" s="70"/>
    </row>
    <row r="16" spans="1:5" ht="12.75">
      <c r="A16" s="58"/>
      <c r="B16" s="83" t="s">
        <v>666</v>
      </c>
      <c r="C16" s="72">
        <f>+Data!W30</f>
        <v>2</v>
      </c>
      <c r="D16" s="62" t="s">
        <v>35</v>
      </c>
      <c r="E16" s="70"/>
    </row>
    <row r="17" spans="1:5" ht="12.75">
      <c r="A17" s="58"/>
      <c r="B17" s="83" t="s">
        <v>667</v>
      </c>
      <c r="C17" s="86">
        <f>+Data!G23</f>
        <v>25.5431662751109</v>
      </c>
      <c r="D17" s="62" t="s">
        <v>40</v>
      </c>
      <c r="E17" s="70"/>
    </row>
    <row r="18" spans="1:5" ht="12.75">
      <c r="A18" s="58"/>
      <c r="B18" s="84" t="s">
        <v>92</v>
      </c>
      <c r="C18" s="62"/>
      <c r="D18" s="62"/>
      <c r="E18" s="70"/>
    </row>
    <row r="19" spans="1:5" ht="12.75">
      <c r="A19" s="58"/>
      <c r="B19" s="83" t="s">
        <v>93</v>
      </c>
      <c r="C19" s="62" t="str">
        <f>IF(Data!S10="X","single-effect absorption",IF(Data!S11="X","double-effect absorption","electric chillers"))</f>
        <v>double-effect absorption</v>
      </c>
      <c r="D19" s="62"/>
      <c r="E19" s="70"/>
    </row>
    <row r="20" spans="1:5" ht="12.75">
      <c r="A20" s="58"/>
      <c r="B20" s="83" t="s">
        <v>646</v>
      </c>
      <c r="C20" s="71">
        <f>+Data!S24</f>
        <v>2500</v>
      </c>
      <c r="D20" s="178" t="s">
        <v>57</v>
      </c>
      <c r="E20" s="70"/>
    </row>
    <row r="21" spans="1:5" ht="12.75">
      <c r="A21" s="58"/>
      <c r="B21" s="83" t="s">
        <v>647</v>
      </c>
      <c r="C21" s="72">
        <f>+Data!S14</f>
        <v>0.85</v>
      </c>
      <c r="D21" s="62" t="s">
        <v>41</v>
      </c>
      <c r="E21" s="70"/>
    </row>
    <row r="22" spans="1:5" ht="12.75">
      <c r="A22" s="58"/>
      <c r="B22" s="83" t="s">
        <v>648</v>
      </c>
      <c r="C22" s="72">
        <f>+Data!S15</f>
        <v>1.2</v>
      </c>
      <c r="D22" s="62"/>
      <c r="E22" s="70"/>
    </row>
    <row r="23" spans="1:5" ht="12.75">
      <c r="A23" s="58"/>
      <c r="B23" s="83" t="s">
        <v>94</v>
      </c>
      <c r="C23" s="73">
        <f>+Data!S17</f>
        <v>405</v>
      </c>
      <c r="D23" s="76" t="s">
        <v>66</v>
      </c>
      <c r="E23" s="70"/>
    </row>
    <row r="24" spans="1:5" ht="12.75">
      <c r="A24" s="58"/>
      <c r="B24" s="84" t="s">
        <v>645</v>
      </c>
      <c r="C24" s="73"/>
      <c r="D24" s="76"/>
      <c r="E24" s="70"/>
    </row>
    <row r="25" spans="1:5" ht="12.75">
      <c r="A25" s="58"/>
      <c r="B25" s="83" t="s">
        <v>653</v>
      </c>
      <c r="C25" s="71" t="e">
        <f>+Data!#REF!</f>
        <v>#REF!</v>
      </c>
      <c r="D25" s="62" t="s">
        <v>474</v>
      </c>
      <c r="E25" s="70"/>
    </row>
    <row r="26" spans="1:5" ht="12.75">
      <c r="A26" s="58"/>
      <c r="B26" s="83" t="s">
        <v>654</v>
      </c>
      <c r="C26" s="48" t="e">
        <f>+Data!#REF!</f>
        <v>#REF!</v>
      </c>
      <c r="D26" s="76" t="s">
        <v>491</v>
      </c>
      <c r="E26" s="70"/>
    </row>
    <row r="27" spans="1:5" ht="15.75">
      <c r="A27" s="58"/>
      <c r="B27" s="83" t="s">
        <v>655</v>
      </c>
      <c r="C27" s="71">
        <f>+Data!AE8</f>
        <v>1950</v>
      </c>
      <c r="D27" s="205" t="s">
        <v>656</v>
      </c>
      <c r="E27" s="70"/>
    </row>
    <row r="28" spans="1:5" ht="12.75">
      <c r="A28" s="58"/>
      <c r="B28" s="83" t="s">
        <v>657</v>
      </c>
      <c r="C28" s="86" t="e">
        <f>+Data!AE9/Data!AE10</f>
        <v>#DIV/0!</v>
      </c>
      <c r="D28" s="178" t="s">
        <v>658</v>
      </c>
      <c r="E28" s="70"/>
    </row>
    <row r="29" spans="1:5" ht="12.75">
      <c r="A29" s="58"/>
      <c r="B29" s="83" t="s">
        <v>659</v>
      </c>
      <c r="C29" s="86">
        <f>+Data!AE11</f>
        <v>4000</v>
      </c>
      <c r="D29" s="205"/>
      <c r="E29" s="70"/>
    </row>
    <row r="30" spans="1:5" ht="12.75">
      <c r="A30" s="58"/>
      <c r="B30" s="83" t="s">
        <v>660</v>
      </c>
      <c r="C30" s="71">
        <f>+Data!AE7</f>
        <v>0</v>
      </c>
      <c r="D30" s="71">
        <f>+Data!AE6</f>
        <v>17990</v>
      </c>
      <c r="E30" s="70" t="s">
        <v>465</v>
      </c>
    </row>
    <row r="31" spans="1:5" ht="12.75">
      <c r="A31" s="58"/>
      <c r="B31" s="83" t="s">
        <v>661</v>
      </c>
      <c r="C31" s="206">
        <f>+Data!AE14</f>
        <v>2000</v>
      </c>
      <c r="D31" s="206">
        <f>+Data!AE15</f>
        <v>0</v>
      </c>
      <c r="E31" s="70" t="s">
        <v>466</v>
      </c>
    </row>
    <row r="32" spans="1:5" ht="12.75">
      <c r="A32" s="58"/>
      <c r="B32" s="84" t="s">
        <v>662</v>
      </c>
      <c r="C32" s="62"/>
      <c r="D32" s="62"/>
      <c r="E32" s="70"/>
    </row>
    <row r="33" spans="1:5" ht="12.75">
      <c r="A33" s="58"/>
      <c r="B33" s="83" t="s">
        <v>95</v>
      </c>
      <c r="C33" s="73">
        <f>+Data!S18</f>
        <v>1750</v>
      </c>
      <c r="D33" s="76" t="s">
        <v>29</v>
      </c>
      <c r="E33" s="70"/>
    </row>
    <row r="34" spans="1:5" ht="12.75">
      <c r="A34" s="58"/>
      <c r="B34" s="83" t="s">
        <v>96</v>
      </c>
      <c r="C34" s="72">
        <f>+Data!S19</f>
        <v>5</v>
      </c>
      <c r="D34" s="62" t="s">
        <v>16</v>
      </c>
      <c r="E34" s="70"/>
    </row>
    <row r="35" spans="1:5" ht="12.75">
      <c r="A35" s="58"/>
      <c r="B35" s="83" t="s">
        <v>97</v>
      </c>
      <c r="C35" s="72">
        <f>+Data!S20</f>
        <v>0.96</v>
      </c>
      <c r="D35" s="62"/>
      <c r="E35" s="70"/>
    </row>
    <row r="36" spans="1:5" ht="12.75">
      <c r="A36" s="58"/>
      <c r="B36" s="84" t="s">
        <v>663</v>
      </c>
      <c r="C36" s="72"/>
      <c r="D36" s="62"/>
      <c r="E36" s="70"/>
    </row>
    <row r="37" spans="1:5" ht="12.75">
      <c r="A37" s="58"/>
      <c r="B37" s="83" t="s">
        <v>649</v>
      </c>
      <c r="C37" s="87">
        <f>+beta1</f>
        <v>0</v>
      </c>
      <c r="D37" s="62"/>
      <c r="E37" s="70"/>
    </row>
    <row r="38" spans="1:5" ht="12.75">
      <c r="A38" s="58"/>
      <c r="B38" s="83" t="s">
        <v>650</v>
      </c>
      <c r="C38" s="87">
        <f>+beta2</f>
        <v>1</v>
      </c>
      <c r="D38" s="62"/>
      <c r="E38" s="70"/>
    </row>
    <row r="39" spans="1:5" ht="12.75">
      <c r="A39" s="58"/>
      <c r="B39" s="83" t="s">
        <v>651</v>
      </c>
      <c r="C39" s="87">
        <f>+beta3</f>
        <v>0</v>
      </c>
      <c r="D39" s="62"/>
      <c r="E39" s="70"/>
    </row>
    <row r="40" spans="1:5" ht="12.75">
      <c r="A40" s="58"/>
      <c r="B40" s="83" t="s">
        <v>652</v>
      </c>
      <c r="C40" s="87">
        <f>+beta</f>
        <v>1</v>
      </c>
      <c r="D40" s="62"/>
      <c r="E40" s="70"/>
    </row>
    <row r="41" spans="1:5" ht="12.75">
      <c r="A41" s="58"/>
      <c r="B41" s="84" t="s">
        <v>664</v>
      </c>
      <c r="C41" s="62"/>
      <c r="D41" s="62"/>
      <c r="E41" s="70"/>
    </row>
    <row r="42" spans="1:5" ht="12.75">
      <c r="A42" s="58"/>
      <c r="B42" s="83" t="s">
        <v>98</v>
      </c>
      <c r="C42" s="48">
        <f>+Data!W6</f>
        <v>24</v>
      </c>
      <c r="D42" s="76" t="s">
        <v>36</v>
      </c>
      <c r="E42" s="70"/>
    </row>
    <row r="43" spans="1:5" ht="12.75">
      <c r="A43" s="58"/>
      <c r="B43" s="83" t="s">
        <v>99</v>
      </c>
      <c r="C43" s="47">
        <f>+Data!W7</f>
        <v>0.025</v>
      </c>
      <c r="D43" s="76" t="s">
        <v>30</v>
      </c>
      <c r="E43" s="70"/>
    </row>
    <row r="44" spans="1:5" ht="12.75">
      <c r="A44" s="58"/>
      <c r="B44" s="83" t="s">
        <v>100</v>
      </c>
      <c r="C44" s="87">
        <f>+Data!W8</f>
        <v>1</v>
      </c>
      <c r="D44" s="62"/>
      <c r="E44" s="70"/>
    </row>
    <row r="45" spans="1:5" ht="12.75">
      <c r="A45" s="58"/>
      <c r="B45" s="83" t="s">
        <v>665</v>
      </c>
      <c r="C45" s="72">
        <f>+Data!W12</f>
        <v>0.72</v>
      </c>
      <c r="D45" s="62"/>
      <c r="E45" s="70"/>
    </row>
    <row r="46" spans="1:5" ht="12.75">
      <c r="A46" s="58"/>
      <c r="B46" s="83"/>
      <c r="C46" s="72"/>
      <c r="D46" s="62"/>
      <c r="E46" s="70"/>
    </row>
    <row r="47" spans="1:5" ht="12.75">
      <c r="A47" s="58"/>
      <c r="B47" s="83"/>
      <c r="C47" s="72"/>
      <c r="D47" s="62"/>
      <c r="E47" s="70"/>
    </row>
    <row r="48" spans="1:5" ht="12.75">
      <c r="A48" s="58"/>
      <c r="B48" s="84" t="s">
        <v>101</v>
      </c>
      <c r="C48" s="62"/>
      <c r="D48" s="62"/>
      <c r="E48" s="70"/>
    </row>
    <row r="49" spans="1:5" ht="12.75">
      <c r="A49" s="58"/>
      <c r="B49" s="83" t="s">
        <v>102</v>
      </c>
      <c r="C49" s="48">
        <f>+Data!AB25</f>
        <v>0.25</v>
      </c>
      <c r="D49" s="76" t="s">
        <v>30</v>
      </c>
      <c r="E49" s="70"/>
    </row>
    <row r="50" spans="1:5" ht="12.75">
      <c r="A50" s="58"/>
      <c r="B50" s="83" t="s">
        <v>103</v>
      </c>
      <c r="C50" s="48">
        <f>+Data!AB26</f>
        <v>20</v>
      </c>
      <c r="D50" s="76" t="s">
        <v>3</v>
      </c>
      <c r="E50" s="70"/>
    </row>
    <row r="51" spans="1:5" ht="13.5" thickBot="1">
      <c r="A51" s="59"/>
      <c r="B51" s="61" t="s">
        <v>104</v>
      </c>
      <c r="C51" s="50">
        <f>+Data!W15</f>
        <v>4.5</v>
      </c>
      <c r="D51" s="202" t="s">
        <v>77</v>
      </c>
      <c r="E51" s="80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 Ridge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Fischer</dc:creator>
  <cp:keywords/>
  <dc:description/>
  <cp:lastModifiedBy>Scott Chontow</cp:lastModifiedBy>
  <cp:lastPrinted>2003-08-27T20:28:55Z</cp:lastPrinted>
  <dcterms:created xsi:type="dcterms:W3CDTF">2002-01-03T12:50:23Z</dcterms:created>
  <dcterms:modified xsi:type="dcterms:W3CDTF">2004-06-03T13:58:58Z</dcterms:modified>
  <cp:category/>
  <cp:version/>
  <cp:contentType/>
  <cp:contentStatus/>
</cp:coreProperties>
</file>