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05" windowWidth="11520" windowHeight="6015" tabRatio="919" activeTab="0"/>
  </bookViews>
  <sheets>
    <sheet name="Sensitivity Anal" sheetId="1" r:id="rId1"/>
    <sheet name="Inputs" sheetId="2" r:id="rId2"/>
    <sheet name="Table 8&amp;9" sheetId="3" r:id="rId3"/>
    <sheet name="Tables 2-7" sheetId="4" r:id="rId4"/>
    <sheet name="mode ch" sheetId="5" r:id="rId5"/>
    <sheet name="alt 1" sheetId="6" r:id="rId6"/>
    <sheet name="alt 2" sheetId="7" r:id="rId7"/>
    <sheet name="alt 3" sheetId="8" r:id="rId8"/>
    <sheet name="alt 4" sheetId="9" r:id="rId9"/>
    <sheet name="alt 5" sheetId="10" r:id="rId10"/>
    <sheet name="alt 6" sheetId="11" r:id="rId11"/>
  </sheets>
  <definedNames>
    <definedName name="_xlnm.Print_Area" localSheetId="5">'alt 1'!$A$1:$E$312</definedName>
    <definedName name="_xlnm.Print_Area" localSheetId="6">'alt 2'!$A$1:$E$312</definedName>
    <definedName name="_xlnm.Print_Area" localSheetId="7">'alt 3'!$A$3:$E$321</definedName>
    <definedName name="_xlnm.Print_Area" localSheetId="8">'alt 4'!$A$3:$E$321</definedName>
    <definedName name="_xlnm.Print_Area" localSheetId="9">'alt 5'!$A$1:$E$312</definedName>
    <definedName name="_xlnm.Print_Area" localSheetId="10">'alt 6'!$A$1:$E$312</definedName>
    <definedName name="_xlnm.Print_Area" localSheetId="1">'Inputs'!$A$74:$G$139</definedName>
    <definedName name="_xlnm.Print_Area" localSheetId="4">'mode ch'!$A$1:$G$154</definedName>
    <definedName name="_xlnm.Print_Area" localSheetId="0">'Sensitivity Anal'!$A$1:$H$67</definedName>
    <definedName name="_xlnm.Print_Area" localSheetId="2">'Table 8&amp;9'!$A$45:$I$113</definedName>
    <definedName name="_xlnm.Print_Area" localSheetId="3">'Tables 2-7'!$A$1:$M$250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<sst xmlns="http://schemas.openxmlformats.org/spreadsheetml/2006/main" count="9143" uniqueCount="658">
  <si>
    <t>PIVOT POINT MODE CHOCE ANALYSIS</t>
  </si>
  <si>
    <t>No Build</t>
  </si>
  <si>
    <t>Total person trips</t>
  </si>
  <si>
    <t>Total daily person trips</t>
  </si>
  <si>
    <t>Percent in peak periods</t>
  </si>
  <si>
    <t>Peak period person trips</t>
  </si>
  <si>
    <t>Transit mode share</t>
  </si>
  <si>
    <t>Transit mode person trips</t>
  </si>
  <si>
    <t>Auto person trips</t>
  </si>
  <si>
    <t>Avg. auto occupancy</t>
  </si>
  <si>
    <t>Auto vehicle trips</t>
  </si>
  <si>
    <t>Carpool passenger trips</t>
  </si>
  <si>
    <t>Avg carpool occupancy</t>
  </si>
  <si>
    <t>Carpool vehicle trips</t>
  </si>
  <si>
    <t>Carpool person trips</t>
  </si>
  <si>
    <t>Peak period mode shares:</t>
  </si>
  <si>
    <t>Solo-driver person trips</t>
  </si>
  <si>
    <t>Solo driver</t>
  </si>
  <si>
    <t>Carpool</t>
  </si>
  <si>
    <t>Transit</t>
  </si>
  <si>
    <t>Alternatives</t>
  </si>
  <si>
    <t>No 1</t>
  </si>
  <si>
    <t>Base</t>
  </si>
  <si>
    <t>Transit mode vehicle trips</t>
  </si>
  <si>
    <t>Bus occupancy (avg.)</t>
  </si>
  <si>
    <t>Total vehicle trips</t>
  </si>
  <si>
    <t>Total peak period vehicle trips</t>
  </si>
  <si>
    <t>Off-peak person trips</t>
  </si>
  <si>
    <t>Off-peak avg. auto ccupancy</t>
  </si>
  <si>
    <t>Off-peak vehicle trips</t>
  </si>
  <si>
    <t>Total daily vehicle trips</t>
  </si>
  <si>
    <t>Peak period logit model coefficients:</t>
  </si>
  <si>
    <t>In-vehicle time (X min.)</t>
  </si>
  <si>
    <t>Out-of-vehicle time (X min.)</t>
  </si>
  <si>
    <t>Auto parking (X cents)</t>
  </si>
  <si>
    <t>Transit fare (X cents)</t>
  </si>
  <si>
    <t>Change in in-vehicle times (min)</t>
  </si>
  <si>
    <t>Change in impedance</t>
  </si>
  <si>
    <t>Log of impedance to the base e</t>
  </si>
  <si>
    <t>Interim calculations of shares:</t>
  </si>
  <si>
    <t>Total</t>
  </si>
  <si>
    <t xml:space="preserve">Person trips in peaks: </t>
  </si>
  <si>
    <t xml:space="preserve">Vehicle trips in peaks: </t>
  </si>
  <si>
    <t>No 2</t>
  </si>
  <si>
    <t>No 3</t>
  </si>
  <si>
    <t>Change in transit fares (cents)</t>
  </si>
  <si>
    <t>No 4</t>
  </si>
  <si>
    <t>No 5</t>
  </si>
  <si>
    <t>No 6</t>
  </si>
  <si>
    <t>Change in out-of-vehicle times (min)</t>
  </si>
  <si>
    <t>Assumed Elasticity of Demand w.r.t. Travel Time</t>
  </si>
  <si>
    <t>INITIAL CONDITIONS</t>
  </si>
  <si>
    <t>Travel Demand</t>
  </si>
  <si>
    <t>A1</t>
  </si>
  <si>
    <t>Initial daily VMT (all fac. classes)</t>
  </si>
  <si>
    <t>A2</t>
  </si>
  <si>
    <t>Percent on freeways</t>
  </si>
  <si>
    <t>A3</t>
  </si>
  <si>
    <t>Percent on arterials</t>
  </si>
  <si>
    <t>A4</t>
  </si>
  <si>
    <t>Initial freeway VMT</t>
  </si>
  <si>
    <t>A5</t>
  </si>
  <si>
    <t>Initial arterial VMT</t>
  </si>
  <si>
    <t>Conditions Before Improvement (Freeway)</t>
  </si>
  <si>
    <t>B1</t>
  </si>
  <si>
    <t xml:space="preserve">Initial AADT/C ratio for freeways  </t>
  </si>
  <si>
    <t>B2</t>
  </si>
  <si>
    <t>Initial freeway hourly capacity (in VMT)</t>
  </si>
  <si>
    <t>B3</t>
  </si>
  <si>
    <t>Initial freeway daily delay (hrs/1000 VMT)</t>
  </si>
  <si>
    <t>B4</t>
  </si>
  <si>
    <t>Initial freeway speed</t>
  </si>
  <si>
    <t>B5</t>
  </si>
  <si>
    <t>Initial freeway VHT</t>
  </si>
  <si>
    <t>Conditions Before Improvement (Arterials)</t>
  </si>
  <si>
    <t>B6</t>
  </si>
  <si>
    <t xml:space="preserve">Initial AADT/C ratio for arterials  </t>
  </si>
  <si>
    <t>B7</t>
  </si>
  <si>
    <t>Initial arterial hourly capacity (in VMT)</t>
  </si>
  <si>
    <t>B8</t>
  </si>
  <si>
    <t>Initial arterial daily delay (hrs/1000 VMT)</t>
  </si>
  <si>
    <t>B9</t>
  </si>
  <si>
    <t>Initial arterial speed</t>
  </si>
  <si>
    <t>B10</t>
  </si>
  <si>
    <t>Initial arterial VHT</t>
  </si>
  <si>
    <t>Conditions Before Improvement (Corridor)</t>
  </si>
  <si>
    <t>B11</t>
  </si>
  <si>
    <t>Total corridor VHT</t>
  </si>
  <si>
    <t>B12</t>
  </si>
  <si>
    <t>Avg corridor speed (mph)</t>
  </si>
  <si>
    <t>B13</t>
  </si>
  <si>
    <t>Avg corridor travel time per mile</t>
  </si>
  <si>
    <t>GP</t>
  </si>
  <si>
    <t>HOV</t>
  </si>
  <si>
    <t>FREEWAY ANALYSIS</t>
  </si>
  <si>
    <t>Initial Conditions After Improvement</t>
  </si>
  <si>
    <t>C1</t>
  </si>
  <si>
    <t>C2</t>
  </si>
  <si>
    <t>Freeway hourly capacity after impr. ( VMT)</t>
  </si>
  <si>
    <t>C3</t>
  </si>
  <si>
    <t>C4</t>
  </si>
  <si>
    <t>C5</t>
  </si>
  <si>
    <t>C6</t>
  </si>
  <si>
    <t>C7</t>
  </si>
  <si>
    <t>C8</t>
  </si>
  <si>
    <t>VMT diverted from arterials</t>
  </si>
  <si>
    <t>C9</t>
  </si>
  <si>
    <t>Initial freeway VMT after improvement</t>
  </si>
  <si>
    <t>C10</t>
  </si>
  <si>
    <t>Initial freeway ADT/C with diverted traffic</t>
  </si>
  <si>
    <t>C12</t>
  </si>
  <si>
    <t>Freeway daily delay with diver.(hrs/1000 VMT)</t>
  </si>
  <si>
    <t>C13</t>
  </si>
  <si>
    <t>Freeway avg. speed after impr., with diversion</t>
  </si>
  <si>
    <t>C14</t>
  </si>
  <si>
    <t>Freeway VHT with diver., for previous travelers</t>
  </si>
  <si>
    <t>C15</t>
  </si>
  <si>
    <t>Added VMT from diversion (in thousands)</t>
  </si>
  <si>
    <t>C16</t>
  </si>
  <si>
    <t>Previous VMT(in thousands)</t>
  </si>
  <si>
    <t>C17</t>
  </si>
  <si>
    <t>Incr. in delay (hrs) to previous VMT due to diver.</t>
  </si>
  <si>
    <t>C18</t>
  </si>
  <si>
    <t>Added delay (hrs) to prev. VMT/1000 added VMT</t>
  </si>
  <si>
    <t>Induced Travel</t>
  </si>
  <si>
    <t>D1</t>
  </si>
  <si>
    <t>Initial freeway daily VHT</t>
  </si>
  <si>
    <t>D2</t>
  </si>
  <si>
    <t>Freeway daily VHT after impr for prev. users</t>
  </si>
  <si>
    <t>D3</t>
  </si>
  <si>
    <t>Time savings to prev.users initially</t>
  </si>
  <si>
    <t>D4</t>
  </si>
  <si>
    <t>Induced freeway VMT</t>
  </si>
  <si>
    <t>D3/{(C18/1000)-[1/(Elasticity of demand*C13)]}</t>
  </si>
  <si>
    <t>D6</t>
  </si>
  <si>
    <t xml:space="preserve">Final freeway daily VMT </t>
  </si>
  <si>
    <t>D7</t>
  </si>
  <si>
    <t xml:space="preserve">Percent change in daily freeway VMT </t>
  </si>
  <si>
    <t>Time Savings to Prior Travelers</t>
  </si>
  <si>
    <t>F1</t>
  </si>
  <si>
    <t>Final freeway AADT/C ratio, with induced VMT</t>
  </si>
  <si>
    <t>F2</t>
  </si>
  <si>
    <t>Freeway daily delay after impr.(hrs/1000 VMT)</t>
  </si>
  <si>
    <t>F3</t>
  </si>
  <si>
    <t>Freeway avg. speed after impr., with ind. VMT</t>
  </si>
  <si>
    <t>F4</t>
  </si>
  <si>
    <t>Freeway daily VHT to prev. users, with ind. VMT</t>
  </si>
  <si>
    <t>F5</t>
  </si>
  <si>
    <t>Time savings to previous users, with ind. VMT (v.hrs)</t>
  </si>
  <si>
    <t>F6</t>
  </si>
  <si>
    <t>Time savings to previous users, per VMT(min.)</t>
  </si>
  <si>
    <t>Vehicle occupancy</t>
  </si>
  <si>
    <t>Time savings to previous users, with ind. VMT (p.hrs)</t>
  </si>
  <si>
    <t>F7</t>
  </si>
  <si>
    <t>Value of time per person hour</t>
  </si>
  <si>
    <t>F8</t>
  </si>
  <si>
    <t>Total value of time saved</t>
  </si>
  <si>
    <t>Time Savings to Diverted (Previous Arterial) Travelers</t>
  </si>
  <si>
    <t>G1</t>
  </si>
  <si>
    <t>Diverted freeway VMT</t>
  </si>
  <si>
    <t>G2</t>
  </si>
  <si>
    <t>Time savings per diverted VMT(min)</t>
  </si>
  <si>
    <t>G3</t>
  </si>
  <si>
    <t>Total time savings to diverted freeway users (v.hrs)</t>
  </si>
  <si>
    <t>G4</t>
  </si>
  <si>
    <t>G5</t>
  </si>
  <si>
    <t>Time Savings to Induced Travelers</t>
  </si>
  <si>
    <t>G6</t>
  </si>
  <si>
    <t>G7</t>
  </si>
  <si>
    <t>Time savings per induced VMT(min)</t>
  </si>
  <si>
    <t>G8</t>
  </si>
  <si>
    <t>Total time savings to induced freeway users (v.hrs)</t>
  </si>
  <si>
    <t>G9</t>
  </si>
  <si>
    <t>G10</t>
  </si>
  <si>
    <t>ARTERIAL ANALYSIS</t>
  </si>
  <si>
    <t>Conditions Before Improvement</t>
  </si>
  <si>
    <t>H1</t>
  </si>
  <si>
    <t>H2</t>
  </si>
  <si>
    <t>H3</t>
  </si>
  <si>
    <t>H4</t>
  </si>
  <si>
    <t>H5</t>
  </si>
  <si>
    <t>Initial VHT for undiverted arterial VMT</t>
  </si>
  <si>
    <t>I1</t>
  </si>
  <si>
    <t>VMT shifted from arterial system</t>
  </si>
  <si>
    <t>I2</t>
  </si>
  <si>
    <t>VMT remaining after shift</t>
  </si>
  <si>
    <t>I3</t>
  </si>
  <si>
    <t>Arterial ADT/C ratio after shift</t>
  </si>
  <si>
    <t>I4</t>
  </si>
  <si>
    <t>Arterial delay (hrs/1000 VMT) after shift</t>
  </si>
  <si>
    <t>I5</t>
  </si>
  <si>
    <t>Total arterial delay savings (initial)</t>
  </si>
  <si>
    <t>I6</t>
  </si>
  <si>
    <t>Average speed initially</t>
  </si>
  <si>
    <t>I7</t>
  </si>
  <si>
    <t>Arterial VHT after impr.for undiverted travelers</t>
  </si>
  <si>
    <t>I8</t>
  </si>
  <si>
    <t>Reduction in VMT(in thousands)</t>
  </si>
  <si>
    <t>I9</t>
  </si>
  <si>
    <t>Undiverted VMT(in thousands)</t>
  </si>
  <si>
    <t>I10</t>
  </si>
  <si>
    <t>Reduction in delay (hrs) to undiverted VMT</t>
  </si>
  <si>
    <t>I11</t>
  </si>
  <si>
    <t>Delay red.(hrs) to undiver. VMT/1000 diver. VMT</t>
  </si>
  <si>
    <t>I12</t>
  </si>
  <si>
    <t>Induced arterial VMT</t>
  </si>
  <si>
    <t>I5/{(I11/1000)-[1/(Elasticity of demand*I6)]}</t>
  </si>
  <si>
    <t>I13</t>
  </si>
  <si>
    <t xml:space="preserve">Final arterial daily VMT </t>
  </si>
  <si>
    <t>I14</t>
  </si>
  <si>
    <t xml:space="preserve">Percent change in daily arterial VMT </t>
  </si>
  <si>
    <t>I15</t>
  </si>
  <si>
    <t>Initial total corridor VMT, before improvement</t>
  </si>
  <si>
    <t>I16</t>
  </si>
  <si>
    <t>Final total corridor VMT, after improvement</t>
  </si>
  <si>
    <t>I17</t>
  </si>
  <si>
    <t>Percent change in corridor VMT</t>
  </si>
  <si>
    <t>J1</t>
  </si>
  <si>
    <t>Final arterial AADT/C ratio, with induced VMT</t>
  </si>
  <si>
    <t>J2</t>
  </si>
  <si>
    <t>Arterial daily delay after impr.(hrs/1000 VMT)</t>
  </si>
  <si>
    <t>J3</t>
  </si>
  <si>
    <t>Arterial avg. speed after impr., with ind. VMT</t>
  </si>
  <si>
    <t>J4</t>
  </si>
  <si>
    <t>Arterial daily VHT to prev. users, with ind. VMT</t>
  </si>
  <si>
    <t>J5</t>
  </si>
  <si>
    <t xml:space="preserve">Initial arterial daily VHT of previous users </t>
  </si>
  <si>
    <t>J6</t>
  </si>
  <si>
    <t>J7</t>
  </si>
  <si>
    <t>J8</t>
  </si>
  <si>
    <t>J9</t>
  </si>
  <si>
    <t>K1</t>
  </si>
  <si>
    <t>K2</t>
  </si>
  <si>
    <t>K3</t>
  </si>
  <si>
    <t>Total time savings to induced arterial users (v.hrs)</t>
  </si>
  <si>
    <t>K4</t>
  </si>
  <si>
    <t>K5</t>
  </si>
  <si>
    <t>L1</t>
  </si>
  <si>
    <t>Freeway, previous users</t>
  </si>
  <si>
    <t>L2</t>
  </si>
  <si>
    <t>Freeway diverted users</t>
  </si>
  <si>
    <t>L3</t>
  </si>
  <si>
    <t>Freeway, induced users</t>
  </si>
  <si>
    <t>L4</t>
  </si>
  <si>
    <t>Arterial, previous users</t>
  </si>
  <si>
    <t>L5</t>
  </si>
  <si>
    <t>Arterial, induced users</t>
  </si>
  <si>
    <t>L6</t>
  </si>
  <si>
    <t>GRAND TOTAL</t>
  </si>
  <si>
    <t>COMPUTATIONS TO CHECK CORRIDOR DEMAND AND PRICE ELASTICITIES</t>
  </si>
  <si>
    <t>Alternative Number 1</t>
  </si>
  <si>
    <t>Demand Elasticity Check (Corridor)</t>
  </si>
  <si>
    <t>M1</t>
  </si>
  <si>
    <t>Freeway VMT before</t>
  </si>
  <si>
    <t>M2</t>
  </si>
  <si>
    <t>Arterial VMT before</t>
  </si>
  <si>
    <t>M3</t>
  </si>
  <si>
    <t>Total VMT before</t>
  </si>
  <si>
    <t>N1</t>
  </si>
  <si>
    <t>Freeway VMT after</t>
  </si>
  <si>
    <t>N2</t>
  </si>
  <si>
    <t>Arterial VMT after</t>
  </si>
  <si>
    <t>N3</t>
  </si>
  <si>
    <t>Total VMT after</t>
  </si>
  <si>
    <t>O1</t>
  </si>
  <si>
    <t>Freeway VMT change</t>
  </si>
  <si>
    <t>O2</t>
  </si>
  <si>
    <t>Arterial VMT change</t>
  </si>
  <si>
    <t>O3</t>
  </si>
  <si>
    <t>Total VMT change</t>
  </si>
  <si>
    <t>Q1</t>
  </si>
  <si>
    <t>Freeway VHT before</t>
  </si>
  <si>
    <t>Q2</t>
  </si>
  <si>
    <t>Arterial VHT before</t>
  </si>
  <si>
    <t>Q3</t>
  </si>
  <si>
    <t>Total corridor VHT before</t>
  </si>
  <si>
    <t>Q4</t>
  </si>
  <si>
    <t>Avg corridor speed before</t>
  </si>
  <si>
    <t xml:space="preserve">Q5 </t>
  </si>
  <si>
    <t>Avg corridor travel time per mile before</t>
  </si>
  <si>
    <t>R1</t>
  </si>
  <si>
    <t>Freeway VHT after</t>
  </si>
  <si>
    <t>R2</t>
  </si>
  <si>
    <t>Arterial VHT after</t>
  </si>
  <si>
    <t>R3</t>
  </si>
  <si>
    <t>Total corridor VHT after</t>
  </si>
  <si>
    <t>R4</t>
  </si>
  <si>
    <t>Avg corridor speed after</t>
  </si>
  <si>
    <t>R5</t>
  </si>
  <si>
    <t>Avg corridor travel time per mile after</t>
  </si>
  <si>
    <t>S1</t>
  </si>
  <si>
    <t>Percent change in travel time per mile</t>
  </si>
  <si>
    <t>S2</t>
  </si>
  <si>
    <t>Percent change in VMT</t>
  </si>
  <si>
    <t>S3</t>
  </si>
  <si>
    <t>Corridor demand elasticity (check against input)</t>
  </si>
  <si>
    <t>Price Elasticity (Corridor)</t>
  </si>
  <si>
    <t>T1</t>
  </si>
  <si>
    <t>Freeway VMT before induced travel</t>
  </si>
  <si>
    <t>T2</t>
  </si>
  <si>
    <t>Freeway speed before induced travel</t>
  </si>
  <si>
    <t>T3</t>
  </si>
  <si>
    <t>Freeway VHT before induced travel</t>
  </si>
  <si>
    <t>T4</t>
  </si>
  <si>
    <t>Arterial VMT before induced travel</t>
  </si>
  <si>
    <t>T5</t>
  </si>
  <si>
    <t>Arterial speed before induced travel</t>
  </si>
  <si>
    <t>T6</t>
  </si>
  <si>
    <t>Arterial VHT before induced travel</t>
  </si>
  <si>
    <t>T7</t>
  </si>
  <si>
    <t>Total corridor VMT before induced travel</t>
  </si>
  <si>
    <t>T8</t>
  </si>
  <si>
    <t>Total corridor VHT before induced travel</t>
  </si>
  <si>
    <t>T9</t>
  </si>
  <si>
    <t>Avg corridor speed before induced travel</t>
  </si>
  <si>
    <t>T10</t>
  </si>
  <si>
    <t>Avg corridor travel time per mile before ind.travel</t>
  </si>
  <si>
    <t>T11</t>
  </si>
  <si>
    <t>T12</t>
  </si>
  <si>
    <t>T13</t>
  </si>
  <si>
    <t>T14</t>
  </si>
  <si>
    <t>Corridor price elasticity</t>
  </si>
  <si>
    <t>SUMMARIES</t>
  </si>
  <si>
    <t>CHANGE IN DAILY VMT DUE TO EXPANSION OF FREEWAY CAPACITY</t>
  </si>
  <si>
    <t>Freeway:</t>
  </si>
  <si>
    <t>Initial VMT</t>
  </si>
  <si>
    <t>Diverted VMT</t>
  </si>
  <si>
    <t>Induced VMT</t>
  </si>
  <si>
    <t>Total VMT after improvement</t>
  </si>
  <si>
    <t>Arterials:</t>
  </si>
  <si>
    <t>Corridorwide:</t>
  </si>
  <si>
    <t>DAILY MOBILITY BENEFITS TO HIGHWAY USERS</t>
  </si>
  <si>
    <t>Initial speed before improvement (mph)</t>
  </si>
  <si>
    <t>Final speed after improvement (mph)</t>
  </si>
  <si>
    <t>Value of time savings:</t>
  </si>
  <si>
    <t>Travel time per mile (min.)</t>
  </si>
  <si>
    <t>Value of time saved on priced lanes ($/mile)</t>
  </si>
  <si>
    <t>Total daily revenues per mile</t>
  </si>
  <si>
    <t>Number of miles of facility</t>
  </si>
  <si>
    <t xml:space="preserve">Total daily revenues </t>
  </si>
  <si>
    <t>Number of days per year pricing is in operation</t>
  </si>
  <si>
    <t>Gross annual revenues</t>
  </si>
  <si>
    <t>DAILY EXTERNAL COSTS OF INDUCED TRAVEL</t>
  </si>
  <si>
    <t>Total corridor VMT change</t>
  </si>
  <si>
    <t>External costs:</t>
  </si>
  <si>
    <t>Lower bound cost</t>
  </si>
  <si>
    <t>Upper bound cost</t>
  </si>
  <si>
    <t>PRESENT VALUE OF BENEFITS AND BENEFIT-COST MEASURES</t>
  </si>
  <si>
    <t>Net Benefits per Mile</t>
  </si>
  <si>
    <t>Daily user mobility benefits</t>
  </si>
  <si>
    <t>Other user benefits</t>
  </si>
  <si>
    <t>Total daily user benefits</t>
  </si>
  <si>
    <t>Daily external costs</t>
  </si>
  <si>
    <t>Net benefits daily</t>
  </si>
  <si>
    <t>Number of days per year</t>
  </si>
  <si>
    <t>Annual net benefits</t>
  </si>
  <si>
    <t>Present value of benefits for 20-year stream (Mil.$)</t>
  </si>
  <si>
    <t>Net benefits for project</t>
  </si>
  <si>
    <t>Number of added miles</t>
  </si>
  <si>
    <t xml:space="preserve">Vehicle trips in off-peak periods: </t>
  </si>
  <si>
    <t>Person trips</t>
  </si>
  <si>
    <t>Avg. vehicle occupancy</t>
  </si>
  <si>
    <t xml:space="preserve">Vehicle trips  </t>
  </si>
  <si>
    <t>Total vehicle trips daily</t>
  </si>
  <si>
    <t>ALTERNATIVE 1</t>
  </si>
  <si>
    <t>Calculated VMT from mode choice model</t>
  </si>
  <si>
    <t>Peak period (90% of HOV + transit)</t>
  </si>
  <si>
    <t>Reasonable cost per VMT ( 6 cents /VMT)</t>
  </si>
  <si>
    <t>ALTERNATIVE 2</t>
  </si>
  <si>
    <t>ALTERNATIVE 3</t>
  </si>
  <si>
    <t>Final (normalized) calculations of shares:</t>
  </si>
  <si>
    <t>Share of total capacity that is restricted</t>
  </si>
  <si>
    <t>GP lanes</t>
  </si>
  <si>
    <t>Arterials</t>
  </si>
  <si>
    <t>Restricted lanes</t>
  </si>
  <si>
    <t>Restricted lanes (vph)</t>
  </si>
  <si>
    <t>GP lanes (vph)</t>
  </si>
  <si>
    <t>Arterials (vph)</t>
  </si>
  <si>
    <t>Vehicle capacity in peak periods (vph):</t>
  </si>
  <si>
    <t>Vehicle capacity in peak periods (total):</t>
  </si>
  <si>
    <t>Vehicles in restricted lanes daily:</t>
  </si>
  <si>
    <t>No Build "Base" Travel</t>
  </si>
  <si>
    <t>Corridor</t>
  </si>
  <si>
    <t>Freeway</t>
  </si>
  <si>
    <t>Forecasts for  Alternative 1</t>
  </si>
  <si>
    <t>Time saved on restricted lanes (min/mile)</t>
  </si>
  <si>
    <t>DAILY TOLL REVENUES ON RESTRICTED LANES</t>
  </si>
  <si>
    <t>Trips on arterials</t>
  </si>
  <si>
    <t>Trips on freeways</t>
  </si>
  <si>
    <t>Freeway vehicle trips</t>
  </si>
  <si>
    <t>Arterial vehicle trips</t>
  </si>
  <si>
    <t>GRAND TOTAL OF VALUE OF TIME SAVED</t>
  </si>
  <si>
    <t>SUMMARY OF TOTAL DAILY TIME COST SAVINGS (FREEWAY AND ARTERIALS)</t>
  </si>
  <si>
    <t>Uniform series discount factor for 7% discount rate</t>
  </si>
  <si>
    <t>ALTERNATIVE 4</t>
  </si>
  <si>
    <t>Priced</t>
  </si>
  <si>
    <t>Vehicle-occupancy in restricted lanes:</t>
  </si>
  <si>
    <t>Peak period (tolled vehicle trips)</t>
  </si>
  <si>
    <t>Peak period total vehicle trips</t>
  </si>
  <si>
    <t>Vehicle-occupancy in GP + arterial lanes:</t>
  </si>
  <si>
    <t>% of capacity used at LOS C (free-flow)</t>
  </si>
  <si>
    <t>Calculations for VMT diverted from arterials:</t>
  </si>
  <si>
    <t>(a) Ratio of AADT/C's (freeway/ artl) before impr</t>
  </si>
  <si>
    <t>(b) Fwy cap * art vol * (a)</t>
  </si>
  <si>
    <t>© Fwy vol * art cap</t>
  </si>
  <si>
    <t>total numerator</t>
  </si>
  <si>
    <t>Freeway cap * (a)</t>
  </si>
  <si>
    <t>Arterial cap</t>
  </si>
  <si>
    <t>total denominator</t>
  </si>
  <si>
    <t>Off-peak(90%of share of cap*off-peak demand)</t>
  </si>
  <si>
    <t>ALTERNATIVE 5</t>
  </si>
  <si>
    <t>ALTERNATIVE 6</t>
  </si>
  <si>
    <t>Forecasts for  Alternative 6</t>
  </si>
  <si>
    <t>Total initial daily vehicle trips</t>
  </si>
  <si>
    <t>Induced vehicle trips</t>
  </si>
  <si>
    <t>(prior to induced travel)</t>
  </si>
  <si>
    <t>Freeway daily vehicle trips</t>
  </si>
  <si>
    <t>Arterial daily vehicle trips</t>
  </si>
  <si>
    <t>Travel delay reduced (person hours)</t>
  </si>
  <si>
    <t>Travel speeds (mph)</t>
  </si>
  <si>
    <t>Initial traffic volume</t>
  </si>
  <si>
    <t>Diverted traffic volume</t>
  </si>
  <si>
    <t>Induced traffic volume</t>
  </si>
  <si>
    <t>Total traffic volume after improvement</t>
  </si>
  <si>
    <t>Percent change in traffic volume</t>
  </si>
  <si>
    <t>Total corridor traffic change</t>
  </si>
  <si>
    <t>Reasonable cost per mile</t>
  </si>
  <si>
    <t>Percent increase in delay during construction</t>
  </si>
  <si>
    <t>Daily person hours of delay due to construction</t>
  </si>
  <si>
    <t>No. of construction days</t>
  </si>
  <si>
    <t>Costs of delays during construction ($ Mil.)</t>
  </si>
  <si>
    <t>Present value of benefits (Mil.$)</t>
  </si>
  <si>
    <t>Project year freeway traffic volume</t>
  </si>
  <si>
    <t>Project year average vehicle occupancy</t>
  </si>
  <si>
    <t>Project year average daily person hours of delay</t>
  </si>
  <si>
    <t>Project year delay per vehicle mile without construction (min.)</t>
  </si>
  <si>
    <t>Total delay due to construction (person hours)</t>
  </si>
  <si>
    <t xml:space="preserve">Change in person trips in peaks: </t>
  </si>
  <si>
    <t>Number of hours (6-10 am, 3-7 pm)</t>
  </si>
  <si>
    <t>Peak period person trips:</t>
  </si>
  <si>
    <t>New transit trips</t>
  </si>
  <si>
    <t>Transit subsidy per passenger mile</t>
  </si>
  <si>
    <t>Annual subsidy for entire facility</t>
  </si>
  <si>
    <t>SEGMENT 1</t>
  </si>
  <si>
    <t>SEGMENT 3</t>
  </si>
  <si>
    <t>SEGMENT 2</t>
  </si>
  <si>
    <t>Segment 1</t>
  </si>
  <si>
    <t>Segment 2</t>
  </si>
  <si>
    <t>Segment 3</t>
  </si>
  <si>
    <t>Annual transit subsidy</t>
  </si>
  <si>
    <t>Travel delay reduced per mile (person hours)</t>
  </si>
  <si>
    <t>Segment length</t>
  </si>
  <si>
    <t>Total travel delay reduced (person hours)</t>
  </si>
  <si>
    <t>Annualized highway facility cost (mil $)</t>
  </si>
  <si>
    <t>Total (mil.$)</t>
  </si>
  <si>
    <t>Net present value (mil. $)</t>
  </si>
  <si>
    <t>Present value of costs (mil. $)</t>
  </si>
  <si>
    <t>Total annual public cost (mil $)</t>
  </si>
  <si>
    <t>CALCULATIONS:</t>
  </si>
  <si>
    <t>Annual transit subsidy increase (mil.$)</t>
  </si>
  <si>
    <t>Gross annual revenues from tolls (mil.$)</t>
  </si>
  <si>
    <t>Minimum value of time per person hour of toll payers</t>
  </si>
  <si>
    <t xml:space="preserve">Forecasts for  Alternative </t>
  </si>
  <si>
    <t>Forecasts for  Alternative</t>
  </si>
  <si>
    <t xml:space="preserve">Number of vehicles paying a toll in peak hours </t>
  </si>
  <si>
    <t>Number of vehicles paying a tollb in off-peak hours</t>
  </si>
  <si>
    <t>Annual operation costs for tolling at 10cents per 5 mi. trip</t>
  </si>
  <si>
    <t>Gross annual revenues assuming 10% additional revenue from weekends</t>
  </si>
  <si>
    <t>Number of vehicles paying a toll in off-peak hours</t>
  </si>
  <si>
    <t>Number of restricted freeway lanes</t>
  </si>
  <si>
    <t>Freeway capacity per lane (vph)</t>
  </si>
  <si>
    <t>Number of GP lanes</t>
  </si>
  <si>
    <t>(c) Fwy vol * art cap</t>
  </si>
  <si>
    <t>TABLE 1.  TRAVEL DEMAND ESTIMATES FOR MIDDLE SEGMENT OF TRAVEL CORRIDOR</t>
  </si>
  <si>
    <t>TABLE 1.  TRAVEL DEMAND ESTIMATES FOR NORTHERN SEGMENT OF TRAVEL CORRIDOR</t>
  </si>
  <si>
    <t>Transit service costs</t>
  </si>
  <si>
    <t>Annual costs for toll operations</t>
  </si>
  <si>
    <t>Travel delay reduced (person hours per day)</t>
  </si>
  <si>
    <t>Toll revenues and tolling operations costs</t>
  </si>
  <si>
    <t>Annual cost for entire facility for fare-free service</t>
  </si>
  <si>
    <t xml:space="preserve">Number of working days per year </t>
  </si>
  <si>
    <t>Travel delay costs per mile during construction</t>
  </si>
  <si>
    <t xml:space="preserve">Change in external costs per mile </t>
  </si>
  <si>
    <t>Annual net benefits (million $) in Yr 2020</t>
  </si>
  <si>
    <t>Total daily person trips in yr 2020</t>
  </si>
  <si>
    <t>Freeway daily vehicle trips in Yr 2020</t>
  </si>
  <si>
    <t>Yr 2020 travel delay reduced daily (person hours)</t>
  </si>
  <si>
    <t>Yr 2020 transit trips daily</t>
  </si>
  <si>
    <t>Yr 2020 financial impacts</t>
  </si>
  <si>
    <t>Yr 2020 travel impacts</t>
  </si>
  <si>
    <t xml:space="preserve">Annual cost for fare-free transit </t>
  </si>
  <si>
    <t>Annual park-and-ride facility costs</t>
  </si>
  <si>
    <t>Annual cost for park-and-ride</t>
  </si>
  <si>
    <t>Cost per one-way trip daily</t>
  </si>
  <si>
    <t>Total annual other mode costs (mil $)</t>
  </si>
  <si>
    <t>Annual costs for all modes</t>
  </si>
  <si>
    <t>Total one-way trips at 10 miles per trip</t>
  </si>
  <si>
    <t>Total daily person trips at 10 miles per trip</t>
  </si>
  <si>
    <t>New trips accomodated</t>
  </si>
  <si>
    <t>Total daily carpool person trips</t>
  </si>
  <si>
    <t xml:space="preserve">New carpool trips </t>
  </si>
  <si>
    <t>Yr 2020 new transit person trips daily</t>
  </si>
  <si>
    <t>Highway cost per new person trip accomodated</t>
  </si>
  <si>
    <t>Transit costs per new transit trip</t>
  </si>
  <si>
    <t>Discount factor for 7% discount rate/30-year payback</t>
  </si>
  <si>
    <t>Present value of benefits for 30-year stream (Mil.$)</t>
  </si>
  <si>
    <r>
      <t xml:space="preserve">Yr 2020 </t>
    </r>
    <r>
      <rPr>
        <b/>
        <sz val="9"/>
        <color indexed="8"/>
        <rFont val="Arial MT"/>
        <family val="0"/>
      </rPr>
      <t xml:space="preserve">new </t>
    </r>
    <r>
      <rPr>
        <sz val="9"/>
        <color indexed="8"/>
        <rFont val="Arial MT"/>
        <family val="0"/>
      </rPr>
      <t>carpool person trips daily</t>
    </r>
  </si>
  <si>
    <r>
      <t xml:space="preserve">Yr 2020 </t>
    </r>
    <r>
      <rPr>
        <b/>
        <sz val="9"/>
        <color indexed="8"/>
        <rFont val="Arial MT"/>
        <family val="0"/>
      </rPr>
      <t>new</t>
    </r>
    <r>
      <rPr>
        <sz val="9"/>
        <color indexed="8"/>
        <rFont val="Arial MT"/>
        <family val="0"/>
      </rPr>
      <t xml:space="preserve"> person trips accomodated</t>
    </r>
  </si>
  <si>
    <t>Performance Measures</t>
  </si>
  <si>
    <t>Annual cost for low fare service</t>
  </si>
  <si>
    <t>Highway cost per hour of congestion delay reduced</t>
  </si>
  <si>
    <t>All mode cost per hour of congestion delay reduced</t>
  </si>
  <si>
    <t>Cost per passenger mile for low fare service</t>
  </si>
  <si>
    <t>Yr 2020 new transit trips daily</t>
  </si>
  <si>
    <r>
      <t xml:space="preserve">Yr 2020 </t>
    </r>
    <r>
      <rPr>
        <b/>
        <sz val="10"/>
        <color indexed="8"/>
        <rFont val="Arial MT"/>
        <family val="0"/>
      </rPr>
      <t>new</t>
    </r>
    <r>
      <rPr>
        <sz val="10"/>
        <color indexed="8"/>
        <rFont val="Arial MT"/>
        <family val="0"/>
      </rPr>
      <t xml:space="preserve"> person trips accomodated</t>
    </r>
  </si>
  <si>
    <t>Value of time (all lanes)</t>
  </si>
  <si>
    <t>Adjusted annual revenues from tolls (mil.$)</t>
  </si>
  <si>
    <t>Highway revenue surplus (or deficit)</t>
  </si>
  <si>
    <t>All mode revenue surplus (or deficit)</t>
  </si>
  <si>
    <t>Yr 2020 new person trips accomodated</t>
  </si>
  <si>
    <t>Value of time savings per day at VOT/hrer hr</t>
  </si>
  <si>
    <t>Length</t>
  </si>
  <si>
    <t>Year 2020 transit user benefits</t>
  </si>
  <si>
    <t>Change in in-vehicle time</t>
  </si>
  <si>
    <t>New one-way trips</t>
  </si>
  <si>
    <t>Change in in-vehicle time per trip</t>
  </si>
  <si>
    <t>Change in out-of-vehicle time per trip</t>
  </si>
  <si>
    <t>Change in fare cost per trip</t>
  </si>
  <si>
    <t>Total change in generalized cost per trip</t>
  </si>
  <si>
    <t>Transit rider consumer surplus daily</t>
  </si>
  <si>
    <t>Transit rider consumer surplus annually ($M.)</t>
  </si>
  <si>
    <t>Segment 1-highway</t>
  </si>
  <si>
    <t>Segment 2-highway</t>
  </si>
  <si>
    <t>Segment 3-highway</t>
  </si>
  <si>
    <t>Freeway capacity per lane - managed lanes (vph)</t>
  </si>
  <si>
    <t>Freeway capacity per lane- GP lanes(vph)</t>
  </si>
  <si>
    <t>10 L-10 HOT</t>
  </si>
  <si>
    <t>10 L-2HOT</t>
  </si>
  <si>
    <t>10 L-4HOT</t>
  </si>
  <si>
    <t>Yr 2020 carpool person trips</t>
  </si>
  <si>
    <t>Yr 2020 transit person trips</t>
  </si>
  <si>
    <t>Yr 2020 total person trips</t>
  </si>
  <si>
    <t>10 L-2 ET</t>
  </si>
  <si>
    <t>10 L-4 ET</t>
  </si>
  <si>
    <t>10 L-10ET</t>
  </si>
  <si>
    <t xml:space="preserve">Alternative 1 </t>
  </si>
  <si>
    <t>Alternative 2</t>
  </si>
  <si>
    <t xml:space="preserve">Alternative 3 </t>
  </si>
  <si>
    <t xml:space="preserve">Alternative 4 </t>
  </si>
  <si>
    <t xml:space="preserve">Alternative 5 </t>
  </si>
  <si>
    <t xml:space="preserve">Alternative 6 </t>
  </si>
  <si>
    <t>Toll</t>
  </si>
  <si>
    <t>% increase in delays due to construction</t>
  </si>
  <si>
    <t>10 GP Ln</t>
  </si>
  <si>
    <t>4 ET</t>
  </si>
  <si>
    <t>4 HOT</t>
  </si>
  <si>
    <t>10 H + BRT</t>
  </si>
  <si>
    <t>4 H+ BRT</t>
  </si>
  <si>
    <t>4 E + BRT</t>
  </si>
  <si>
    <t>Base Case Travel Demand</t>
  </si>
  <si>
    <t>Min. value of time assumed for priced veh</t>
  </si>
  <si>
    <t>Travel demand estimates</t>
  </si>
  <si>
    <t>Financial estimates</t>
  </si>
  <si>
    <t>Economic and performance estimates</t>
  </si>
  <si>
    <t xml:space="preserve">TABLE S-2.  SUMMARY OF IMPACTS OF ALTERNATIVES </t>
  </si>
  <si>
    <t xml:space="preserve">TABLE 2.  YR 2020 ESTIMATES OF DIVERTED AND INDUCED TRAFFIC FOR SOUTHERN SEGMENT - </t>
  </si>
  <si>
    <t xml:space="preserve">TABLE 4.  YR 2020 HIGHWAY AND TRANSIT IMPACTS FOR SOUTHERN SEGMENT - </t>
  </si>
  <si>
    <t xml:space="preserve">TABLE 5.  YR 2020 HIGHWAY AND TRANSIT IMPACTS FOR SOUTHERN SEGMENT - </t>
  </si>
  <si>
    <t xml:space="preserve">TABLE 6.  ESTIMATES OF BENEFITS AND COSTS FOR SOUTHERN SEGMENT- </t>
  </si>
  <si>
    <t>TABLE 7.  ESTIMATES OF BENEFITS AND COSTS FOR SOUTHERN SEGMENT</t>
  </si>
  <si>
    <t>Peak period person trips (all modes)</t>
  </si>
  <si>
    <t>Off-peak person trips (all modes)</t>
  </si>
  <si>
    <t>Total person trips (all modes, all lanes)</t>
  </si>
  <si>
    <t>Peak period travel demand</t>
  </si>
  <si>
    <t>Percent of traffic volume on freeways</t>
  </si>
  <si>
    <t>Total arterial capacity (vph)</t>
  </si>
  <si>
    <t>Yr 2020 total person trips accomodated</t>
  </si>
  <si>
    <t>Avg. delay reduced per person trip (min.)</t>
  </si>
  <si>
    <t>Assumed Travel Time Elasticity</t>
  </si>
  <si>
    <t>Sensitivity to Assumed Travel Time Elasticity</t>
  </si>
  <si>
    <t>Increase by 50% to -0.3</t>
  </si>
  <si>
    <t>Reduce by 50% to -0.1</t>
  </si>
  <si>
    <t xml:space="preserve">Sensitivity to Assumed Value of Travel Time </t>
  </si>
  <si>
    <t xml:space="preserve">Increase by 50% </t>
  </si>
  <si>
    <t xml:space="preserve">Reduce by 50% </t>
  </si>
  <si>
    <t>SENSITIVITY ANALYSIS</t>
  </si>
  <si>
    <t>TABLE 8.  SUMMARY OF TRAVEL IMPACTS OF ALTERNATIVES</t>
  </si>
  <si>
    <t>TABLE 9.  SUMMARY OF FINANCIAL AND ECONOMIC IMPACTS OF ALTERNATIVES</t>
  </si>
  <si>
    <t>N.A.</t>
  </si>
  <si>
    <t>Fuel cost savings:</t>
  </si>
  <si>
    <t>Fuel cost per gallon excluding taxes</t>
  </si>
  <si>
    <t>Gallons of fuel used per minute of delay</t>
  </si>
  <si>
    <t>Fuel cost per hour of delay</t>
  </si>
  <si>
    <t>Fuel cost as a percent of travel time value per vehicle</t>
  </si>
  <si>
    <t>Fuel cost savings benefits</t>
  </si>
  <si>
    <t>Peak period HOV free (90% of HOV + transit)</t>
  </si>
  <si>
    <t>Peak period HOV tolled (40% of HOV)</t>
  </si>
  <si>
    <t>External cost per VMT($)</t>
  </si>
  <si>
    <t>External cost</t>
  </si>
  <si>
    <t>TABLE 1. MODEL INPUTS</t>
  </si>
  <si>
    <t xml:space="preserve">Toll revenue surplus (for highways only) </t>
  </si>
  <si>
    <t>Annual revenue surplus (for hwy/transit package)</t>
  </si>
  <si>
    <t>TABLE 2.  TRAVEL DEMAND ESTIMATES FOR SOUTHERN SEGMENT OF TRAVEL CORRIDOR - YR 2020</t>
  </si>
  <si>
    <t>Change in out-of-pocket costs (cents)</t>
  </si>
  <si>
    <t>Min. value of time (ET lanes)</t>
  </si>
  <si>
    <t>Min. value of time (HOT lanes)</t>
  </si>
  <si>
    <t>Min. value of time (FAIR lanes)</t>
  </si>
  <si>
    <t>TABLE 10.  RESULTS OF SENSITIVITY ANALYSIS</t>
  </si>
  <si>
    <t>Transit costs:</t>
  </si>
  <si>
    <t>User and external benefits:</t>
  </si>
  <si>
    <t>Construction cost per added lane mile</t>
  </si>
  <si>
    <t>Direct connector ramp const cost per ramp</t>
  </si>
  <si>
    <t>Annual maintenance costs per added lane mile</t>
  </si>
  <si>
    <t>Travel demand and highway capacity:</t>
  </si>
  <si>
    <t>Highway costs (million $):</t>
  </si>
  <si>
    <t>Annual law enforcementcosts per mile</t>
  </si>
  <si>
    <t>Interchange modification costs per mile</t>
  </si>
  <si>
    <t>Direct connector ramp const cost per mile</t>
  </si>
  <si>
    <t>Toll collection equipment cost per mile</t>
  </si>
  <si>
    <t>Total capital cost per mile</t>
  </si>
  <si>
    <t>Construction cost per mile of lane separation</t>
  </si>
  <si>
    <t>Annualized highway cost per mile</t>
  </si>
  <si>
    <t>Present value of highway costs</t>
  </si>
  <si>
    <t>Present value of highway costs (Mil.$)</t>
  </si>
  <si>
    <t>Total annualized highway costs</t>
  </si>
  <si>
    <t>Annualized costs for all modes</t>
  </si>
  <si>
    <t>Yr 2020 other mode costs(mil.$)</t>
  </si>
  <si>
    <r>
      <t xml:space="preserve">Yr 2020 </t>
    </r>
    <r>
      <rPr>
        <b/>
        <sz val="9"/>
        <color indexed="8"/>
        <rFont val="Arial MT"/>
        <family val="0"/>
      </rPr>
      <t xml:space="preserve">new </t>
    </r>
    <r>
      <rPr>
        <sz val="9"/>
        <color indexed="8"/>
        <rFont val="Arial MT"/>
        <family val="0"/>
      </rPr>
      <t>transit person trips daily</t>
    </r>
  </si>
  <si>
    <t>High</t>
  </si>
  <si>
    <t>Low</t>
  </si>
  <si>
    <t>Travel Time Value Tests</t>
  </si>
  <si>
    <t>Demand Elasticity Tests</t>
  </si>
  <si>
    <t>Assumptions</t>
  </si>
  <si>
    <t>RESULTS WITH BASE ASSUMPTIONS</t>
  </si>
  <si>
    <t>Yr 2020 highway costs (mil.$):</t>
  </si>
  <si>
    <t xml:space="preserve">Annual toll operations cost </t>
  </si>
  <si>
    <t xml:space="preserve">Annualized highway facility cost </t>
  </si>
  <si>
    <t xml:space="preserve">SOUTHERN SEGMENT </t>
  </si>
  <si>
    <t xml:space="preserve">TABLE 3.  YR 2020 ESTIMATES OF DIVERTED AND INDUCED TRAFFIC FOR SOUTHERN SEGMENT </t>
  </si>
  <si>
    <t xml:space="preserve">TABLE 5.  YR 2020 HIGHWAY AND TRANSIT IMPACTS FOR SOUTHERN SEGMENT </t>
  </si>
  <si>
    <t xml:space="preserve">TABLE 4.  YR 2020 HIGHWAY AND TRANSIT IMPACTS FOR SOUTHERN SEGMENT </t>
  </si>
  <si>
    <t>TABLE 6.  ESTIMATES OF BENEFITS AND COSTS FOR SOUTHERN SEGMENT</t>
  </si>
  <si>
    <t>4 ET+EB</t>
  </si>
  <si>
    <t>4 ET + BRT</t>
  </si>
  <si>
    <t>4 HOT+EB</t>
  </si>
  <si>
    <t>4 HOT+BRT</t>
  </si>
  <si>
    <t>4 ET+BRT</t>
  </si>
  <si>
    <t xml:space="preserve">Alt 1 </t>
  </si>
  <si>
    <t>Number of vehicles paying a tolls in off-peak hours</t>
  </si>
  <si>
    <t xml:space="preserve">Gross annual revenues assuming 10% weekend revenue </t>
  </si>
  <si>
    <t>Annual operation costs for tolling at 10 cents per 5 mi. trip</t>
  </si>
  <si>
    <t>Fuel cost savings</t>
  </si>
  <si>
    <t>Cost per VMT ( 6 cents /VMT)</t>
  </si>
  <si>
    <t>Cost per mile</t>
  </si>
  <si>
    <t xml:space="preserve">NOTE: TO RUN A </t>
  </si>
  <si>
    <t>SENSITIVITY TEST, COPY</t>
  </si>
  <si>
    <t>ROWS 4-8 FROM EACH COL</t>
  </si>
  <si>
    <t>TO COLUMN 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</si>
</sst>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0.0000%"/>
    <numFmt numFmtId="167" formatCode="0.0000_)"/>
    <numFmt numFmtId="168" formatCode="#,##0.0000_);\(#,##0.0000\)"/>
    <numFmt numFmtId="169" formatCode="0_)"/>
    <numFmt numFmtId="170" formatCode="#,##0.000_);\(#,##0.000\)"/>
    <numFmt numFmtId="171" formatCode="#,##0.000"/>
    <numFmt numFmtId="172" formatCode="0.0"/>
    <numFmt numFmtId="173" formatCode="&quot;$&quot;#,##0"/>
    <numFmt numFmtId="174" formatCode="&quot;$&quot;#,##0.00"/>
    <numFmt numFmtId="175" formatCode="&quot;$&quot;#,##0.0_);\(&quot;$&quot;#,##0.0\)"/>
    <numFmt numFmtId="176" formatCode="#,##0.0"/>
    <numFmt numFmtId="177" formatCode="&quot;$&quot;#,##0.000_);\(&quot;$&quot;#,##0.000\)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b/>
      <u val="single"/>
      <sz val="10"/>
      <color indexed="8"/>
      <name val="Arial MT"/>
      <family val="2"/>
    </font>
    <font>
      <u val="single"/>
      <sz val="10"/>
      <color indexed="8"/>
      <name val="Arial MT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 MT"/>
      <family val="0"/>
    </font>
    <font>
      <sz val="9"/>
      <color indexed="8"/>
      <name val="Arial MT"/>
      <family val="0"/>
    </font>
    <font>
      <b/>
      <sz val="9"/>
      <color indexed="8"/>
      <name val="Arial MT"/>
      <family val="0"/>
    </font>
    <font>
      <b/>
      <u val="single"/>
      <sz val="9"/>
      <color indexed="8"/>
      <name val="Arial MT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70" fontId="3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Font="1" applyAlignment="1">
      <alignment/>
    </xf>
    <xf numFmtId="169" fontId="3" fillId="0" borderId="0" xfId="0" applyNumberFormat="1" applyFont="1" applyAlignment="1" applyProtection="1">
      <alignment/>
      <protection/>
    </xf>
    <xf numFmtId="5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9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9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5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173" fontId="3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/>
    </xf>
    <xf numFmtId="37" fontId="0" fillId="0" borderId="0" xfId="0" applyNumberFormat="1" applyFont="1" applyAlignment="1">
      <alignment horizontal="right"/>
    </xf>
    <xf numFmtId="7" fontId="3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7" fontId="4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>
      <alignment horizontal="right"/>
    </xf>
    <xf numFmtId="164" fontId="4" fillId="0" borderId="0" xfId="0" applyNumberFormat="1" applyFont="1" applyAlignment="1" applyProtection="1">
      <alignment horizontal="right"/>
      <protection/>
    </xf>
    <xf numFmtId="169" fontId="4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3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174" fontId="11" fillId="0" borderId="0" xfId="0" applyNumberFormat="1" applyFont="1" applyAlignment="1">
      <alignment/>
    </xf>
    <xf numFmtId="17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37" fontId="0" fillId="0" borderId="0" xfId="0" applyNumberFormat="1" applyFont="1" applyAlignment="1">
      <alignment/>
    </xf>
    <xf numFmtId="174" fontId="4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7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76" fontId="0" fillId="0" borderId="0" xfId="0" applyNumberFormat="1" applyAlignment="1">
      <alignment/>
    </xf>
    <xf numFmtId="164" fontId="3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74" fontId="11" fillId="0" borderId="0" xfId="0" applyNumberFormat="1" applyFont="1" applyBorder="1" applyAlignment="1">
      <alignment horizontal="right"/>
    </xf>
    <xf numFmtId="9" fontId="3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13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37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5" fontId="3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173" fontId="3" fillId="0" borderId="2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5" fillId="0" borderId="2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0" fontId="3" fillId="0" borderId="2" xfId="0" applyNumberFormat="1" applyFont="1" applyBorder="1" applyAlignment="1" applyProtection="1">
      <alignment/>
      <protection/>
    </xf>
    <xf numFmtId="2" fontId="0" fillId="0" borderId="2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/>
      <protection/>
    </xf>
    <xf numFmtId="7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5" zoomScaleNormal="75" workbookViewId="0" topLeftCell="A1">
      <selection activeCell="J17" sqref="J17"/>
    </sheetView>
  </sheetViews>
  <sheetFormatPr defaultColWidth="9.140625" defaultRowHeight="12.75"/>
  <cols>
    <col min="1" max="1" width="42.57421875" style="0" customWidth="1"/>
    <col min="2" max="2" width="11.8515625" style="0" customWidth="1"/>
    <col min="3" max="3" width="12.140625" style="0" customWidth="1"/>
    <col min="4" max="4" width="11.140625" style="0" customWidth="1"/>
    <col min="5" max="5" width="3.8515625" style="0" customWidth="1"/>
    <col min="6" max="6" width="10.7109375" style="0" customWidth="1"/>
    <col min="7" max="7" width="11.140625" style="0" customWidth="1"/>
    <col min="8" max="8" width="11.57421875" style="0" customWidth="1"/>
  </cols>
  <sheetData>
    <row r="1" spans="1:8" ht="12.75">
      <c r="A1" s="1" t="s">
        <v>607</v>
      </c>
      <c r="B1" s="108"/>
      <c r="C1" s="108"/>
      <c r="D1" s="108"/>
      <c r="E1" s="108"/>
      <c r="F1" s="108"/>
      <c r="G1" s="108"/>
      <c r="H1" s="108"/>
    </row>
    <row r="2" spans="1:8" ht="12.75">
      <c r="A2" s="1"/>
      <c r="B2" s="39" t="s">
        <v>22</v>
      </c>
      <c r="C2" s="7" t="s">
        <v>631</v>
      </c>
      <c r="D2" s="108"/>
      <c r="E2" s="108"/>
      <c r="F2" s="7" t="s">
        <v>630</v>
      </c>
      <c r="G2" s="108"/>
      <c r="H2" s="108"/>
    </row>
    <row r="3" spans="1:9" ht="12.75">
      <c r="A3" s="7"/>
      <c r="B3" s="137" t="s">
        <v>632</v>
      </c>
      <c r="C3" s="135" t="s">
        <v>628</v>
      </c>
      <c r="D3" s="135" t="s">
        <v>629</v>
      </c>
      <c r="E3" s="136"/>
      <c r="F3" s="135" t="s">
        <v>628</v>
      </c>
      <c r="G3" s="135" t="s">
        <v>629</v>
      </c>
      <c r="H3" s="108"/>
      <c r="I3" s="1" t="s">
        <v>654</v>
      </c>
    </row>
    <row r="4" spans="1:10" ht="12.75">
      <c r="A4" s="11" t="s">
        <v>578</v>
      </c>
      <c r="B4" s="124">
        <v>-0.2</v>
      </c>
      <c r="C4" s="124">
        <v>-0.3</v>
      </c>
      <c r="D4" s="124">
        <v>-0.1</v>
      </c>
      <c r="E4" s="19"/>
      <c r="F4" s="124">
        <v>-0.2</v>
      </c>
      <c r="G4" s="124">
        <v>-0.2</v>
      </c>
      <c r="I4" s="1" t="s">
        <v>655</v>
      </c>
      <c r="J4" s="124"/>
    </row>
    <row r="5" spans="1:10" ht="12.75">
      <c r="A5" s="19" t="s">
        <v>515</v>
      </c>
      <c r="B5" s="117">
        <v>9</v>
      </c>
      <c r="C5" s="117">
        <v>9</v>
      </c>
      <c r="D5" s="117">
        <v>9</v>
      </c>
      <c r="E5" s="19"/>
      <c r="F5" s="117">
        <v>13.5</v>
      </c>
      <c r="G5" s="117">
        <v>4.5</v>
      </c>
      <c r="I5" s="1" t="s">
        <v>656</v>
      </c>
      <c r="J5" s="117"/>
    </row>
    <row r="6" spans="1:10" ht="12.75">
      <c r="A6" s="19" t="s">
        <v>604</v>
      </c>
      <c r="B6" s="117">
        <v>13</v>
      </c>
      <c r="C6" s="117">
        <v>13</v>
      </c>
      <c r="D6" s="117">
        <v>13</v>
      </c>
      <c r="E6" s="19"/>
      <c r="F6" s="117">
        <v>19.5</v>
      </c>
      <c r="G6" s="117">
        <v>6.5</v>
      </c>
      <c r="I6" s="1" t="s">
        <v>657</v>
      </c>
      <c r="J6" s="117"/>
    </row>
    <row r="7" spans="1:10" ht="12.75">
      <c r="A7" s="19" t="s">
        <v>605</v>
      </c>
      <c r="B7" s="117">
        <v>14</v>
      </c>
      <c r="C7" s="117">
        <v>14</v>
      </c>
      <c r="D7" s="117">
        <v>14</v>
      </c>
      <c r="E7" s="19"/>
      <c r="F7" s="117">
        <v>21</v>
      </c>
      <c r="G7" s="117">
        <v>7</v>
      </c>
      <c r="J7" s="117"/>
    </row>
    <row r="8" spans="1:10" ht="12.75">
      <c r="A8" s="19" t="s">
        <v>606</v>
      </c>
      <c r="B8" s="117">
        <v>3</v>
      </c>
      <c r="C8" s="117">
        <v>3</v>
      </c>
      <c r="D8" s="117">
        <v>3</v>
      </c>
      <c r="E8" s="19"/>
      <c r="F8" s="117">
        <v>4.5</v>
      </c>
      <c r="G8" s="117">
        <v>1.5</v>
      </c>
      <c r="J8" s="117"/>
    </row>
    <row r="9" spans="1:3" ht="12.75">
      <c r="A9" s="1"/>
      <c r="C9" s="109"/>
    </row>
    <row r="10" spans="1:3" ht="12.75">
      <c r="A10" s="7" t="s">
        <v>559</v>
      </c>
      <c r="C10" s="109"/>
    </row>
    <row r="11" spans="1:3" ht="12.75">
      <c r="A11" s="19" t="s">
        <v>539</v>
      </c>
      <c r="B11" s="2">
        <f>+'Table 8&amp;9'!B137</f>
        <v>70120.00000000003</v>
      </c>
      <c r="C11" s="119">
        <f>+B11/B13</f>
        <v>0.08000000000000003</v>
      </c>
    </row>
    <row r="12" spans="1:3" ht="12.75">
      <c r="A12" s="19" t="s">
        <v>540</v>
      </c>
      <c r="B12" s="2">
        <f>+'Table 8&amp;9'!B65</f>
        <v>12190</v>
      </c>
      <c r="C12" s="119">
        <f>+B12/B13</f>
        <v>0.013907586993725043</v>
      </c>
    </row>
    <row r="13" spans="1:3" ht="13.5" customHeight="1">
      <c r="A13" s="19" t="s">
        <v>541</v>
      </c>
      <c r="B13" s="2">
        <f>+'Table 8&amp;9'!B130</f>
        <v>876500</v>
      </c>
      <c r="C13" s="109"/>
    </row>
    <row r="14" spans="1:3" ht="13.5" customHeight="1">
      <c r="A14" s="19"/>
      <c r="B14" s="2"/>
      <c r="C14" s="109"/>
    </row>
    <row r="15" spans="1:8" ht="12.75">
      <c r="A15" s="1"/>
      <c r="B15" s="5" t="s">
        <v>21</v>
      </c>
      <c r="C15" s="5" t="s">
        <v>43</v>
      </c>
      <c r="D15" s="5" t="s">
        <v>44</v>
      </c>
      <c r="E15" s="5"/>
      <c r="F15" s="5" t="s">
        <v>46</v>
      </c>
      <c r="G15" s="5" t="s">
        <v>47</v>
      </c>
      <c r="H15" s="5" t="s">
        <v>48</v>
      </c>
    </row>
    <row r="16" spans="1:8" ht="12.75">
      <c r="A16" s="1" t="s">
        <v>633</v>
      </c>
      <c r="B16" s="122" t="s">
        <v>553</v>
      </c>
      <c r="C16" s="122" t="s">
        <v>642</v>
      </c>
      <c r="D16" s="122" t="s">
        <v>646</v>
      </c>
      <c r="E16" s="126"/>
      <c r="F16" s="122" t="s">
        <v>644</v>
      </c>
      <c r="G16" s="122" t="s">
        <v>645</v>
      </c>
      <c r="H16" s="127" t="s">
        <v>556</v>
      </c>
    </row>
    <row r="17" spans="1:8" ht="12.75">
      <c r="A17" s="7"/>
      <c r="B17" s="39"/>
      <c r="C17" s="39"/>
      <c r="D17" s="39"/>
      <c r="E17" s="108"/>
      <c r="F17" s="39"/>
      <c r="G17" s="39"/>
      <c r="H17" s="7"/>
    </row>
    <row r="18" spans="1:8" ht="12.75">
      <c r="A18" s="19" t="s">
        <v>560</v>
      </c>
      <c r="B18" s="117">
        <v>0</v>
      </c>
      <c r="C18" s="117">
        <f>+B6</f>
        <v>13</v>
      </c>
      <c r="D18" s="117">
        <f>+C18</f>
        <v>13</v>
      </c>
      <c r="E18" s="117"/>
      <c r="F18" s="117">
        <f>+B7</f>
        <v>14</v>
      </c>
      <c r="G18" s="117">
        <f>+F18</f>
        <v>14</v>
      </c>
      <c r="H18" s="117">
        <f>+B8</f>
        <v>3</v>
      </c>
    </row>
    <row r="19" spans="1:8" ht="12.75">
      <c r="A19" s="19"/>
      <c r="B19" s="117"/>
      <c r="C19" s="117"/>
      <c r="D19" s="117"/>
      <c r="E19" s="117"/>
      <c r="F19" s="117"/>
      <c r="G19" s="117"/>
      <c r="H19" s="117"/>
    </row>
    <row r="20" spans="1:8" ht="12.75">
      <c r="A20" s="100" t="s">
        <v>624</v>
      </c>
      <c r="B20" s="117">
        <f>+'Table 8&amp;9'!C90</f>
        <v>67.2946351495256</v>
      </c>
      <c r="C20" s="117">
        <f>+'Table 8&amp;9'!D90</f>
        <v>98.11493525933197</v>
      </c>
      <c r="D20" s="117">
        <f>+'Table 8&amp;9'!E90</f>
        <v>98.09976176894929</v>
      </c>
      <c r="E20" s="117"/>
      <c r="F20" s="117">
        <f>+'Table 8&amp;9'!G90</f>
        <v>98.47392466630049</v>
      </c>
      <c r="G20" s="117">
        <f>+'Table 8&amp;9'!H90</f>
        <v>98.51763759313948</v>
      </c>
      <c r="H20" s="117">
        <f>+'Table 8&amp;9'!I90</f>
        <v>92.14446677835863</v>
      </c>
    </row>
    <row r="21" spans="1:8" ht="12.75">
      <c r="A21" s="100" t="s">
        <v>494</v>
      </c>
      <c r="B21" s="117">
        <f>+'Table 8&amp;9'!C97</f>
        <v>0</v>
      </c>
      <c r="C21" s="117">
        <f>+'Table 8&amp;9'!D97</f>
        <v>3.0582535289689723</v>
      </c>
      <c r="D21" s="117">
        <f>+'Table 8&amp;9'!E97</f>
        <v>21.985306000310068</v>
      </c>
      <c r="E21" s="117"/>
      <c r="F21" s="117">
        <f>+'Table 8&amp;9'!G97</f>
        <v>1.7930528233345484</v>
      </c>
      <c r="G21" s="117">
        <f>+'Table 8&amp;9'!H97</f>
        <v>19.24745331797604</v>
      </c>
      <c r="H21" s="117">
        <f>+'Table 8&amp;9'!I97</f>
        <v>27.78085566371427</v>
      </c>
    </row>
    <row r="22" spans="1:8" ht="12.75">
      <c r="A22" s="100" t="s">
        <v>625</v>
      </c>
      <c r="B22" s="117">
        <f>SUM(B20:B21)</f>
        <v>67.2946351495256</v>
      </c>
      <c r="C22" s="117">
        <f>SUM(C20:C21)</f>
        <v>101.17318878830095</v>
      </c>
      <c r="D22" s="117">
        <f>SUM(D20:D21)</f>
        <v>120.08506776925935</v>
      </c>
      <c r="E22" s="117"/>
      <c r="F22" s="117">
        <f>SUM(F20:F21)</f>
        <v>100.26697748963504</v>
      </c>
      <c r="G22" s="117">
        <f>SUM(G20:G21)</f>
        <v>117.76509091111552</v>
      </c>
      <c r="H22" s="117">
        <f>SUM(H20:H21)</f>
        <v>119.92532244207291</v>
      </c>
    </row>
    <row r="23" spans="1:8" ht="12.75">
      <c r="A23" s="103"/>
      <c r="B23" s="101"/>
      <c r="C23" s="101"/>
      <c r="D23" s="101"/>
      <c r="E23" s="101"/>
      <c r="F23" s="101"/>
      <c r="G23" s="101"/>
      <c r="H23" s="101"/>
    </row>
    <row r="24" spans="1:8" ht="12.75">
      <c r="A24" s="7" t="s">
        <v>561</v>
      </c>
      <c r="B24" s="117"/>
      <c r="C24" s="117"/>
      <c r="D24" s="117"/>
      <c r="E24" s="117"/>
      <c r="F24" s="117"/>
      <c r="G24" s="117"/>
      <c r="H24" s="117"/>
    </row>
    <row r="25" spans="1:8" ht="12.75">
      <c r="A25" s="100" t="s">
        <v>506</v>
      </c>
      <c r="B25" s="2">
        <f>+'Table 8&amp;9'!C9</f>
        <v>0</v>
      </c>
      <c r="C25" s="2">
        <f>+'Table 8&amp;9'!D9</f>
        <v>-357.9806648158701</v>
      </c>
      <c r="D25" s="2">
        <f>+'Table 8&amp;9'!E9</f>
        <v>-2573.4669750629982</v>
      </c>
      <c r="E25" s="2"/>
      <c r="F25" s="2">
        <f>+'Table 8&amp;9'!G9</f>
        <v>26867.50032964941</v>
      </c>
      <c r="G25" s="2">
        <f>+'Table 8&amp;9'!H9</f>
        <v>22808.178306771108</v>
      </c>
      <c r="H25" s="2">
        <f>+'Table 8&amp;9'!I9</f>
        <v>6672.044095669698</v>
      </c>
    </row>
    <row r="26" spans="1:8" ht="12.75">
      <c r="A26" s="100" t="s">
        <v>627</v>
      </c>
      <c r="B26" s="2">
        <f>+'Table 8&amp;9'!C10</f>
        <v>0</v>
      </c>
      <c r="C26" s="2">
        <f>+'Table 8&amp;9'!D10</f>
        <v>1493.5941713995126</v>
      </c>
      <c r="D26" s="2">
        <f>+'Table 8&amp;9'!E10</f>
        <v>10737.214749350147</v>
      </c>
      <c r="E26" s="2"/>
      <c r="F26" s="2">
        <f>+'Table 8&amp;9'!G10</f>
        <v>875.6936665243647</v>
      </c>
      <c r="G26" s="2">
        <f>+'Table 8&amp;9'!H10</f>
        <v>9400.09839527756</v>
      </c>
      <c r="H26" s="2">
        <f>+'Table 8&amp;9'!I10</f>
        <v>10041.471624630896</v>
      </c>
    </row>
    <row r="27" spans="1:8" ht="12.75">
      <c r="A27" s="11" t="s">
        <v>514</v>
      </c>
      <c r="B27" s="8">
        <f>+'Table 8&amp;9'!C11</f>
        <v>44985.43606827373</v>
      </c>
      <c r="C27" s="8">
        <f>+'Table 8&amp;9'!D11</f>
        <v>10731.96337805374</v>
      </c>
      <c r="D27" s="8">
        <f>+'Table 8&amp;9'!E11</f>
        <v>13571.26856026391</v>
      </c>
      <c r="E27" s="8"/>
      <c r="F27" s="8">
        <f>+'Table 8&amp;9'!G11</f>
        <v>14228.222025541589</v>
      </c>
      <c r="G27" s="8">
        <f>+'Table 8&amp;9'!H11</f>
        <v>16670.79762136785</v>
      </c>
      <c r="H27" s="8">
        <f>+'Table 8&amp;9'!I11</f>
        <v>204.47276314534247</v>
      </c>
    </row>
    <row r="28" spans="1:8" ht="12.75">
      <c r="A28" t="s">
        <v>576</v>
      </c>
      <c r="B28" s="2">
        <f>+B13+B27</f>
        <v>921485.4360682737</v>
      </c>
      <c r="C28" s="2">
        <f>+B13+C27</f>
        <v>887231.9633780537</v>
      </c>
      <c r="D28" s="2">
        <f>+B13+D27</f>
        <v>890071.2685602639</v>
      </c>
      <c r="E28" s="2"/>
      <c r="F28" s="2">
        <f>+B13+F27</f>
        <v>890728.2220255416</v>
      </c>
      <c r="G28" s="2">
        <f>+B13+G27</f>
        <v>893170.7976213678</v>
      </c>
      <c r="H28" s="2">
        <f>+B13+H27</f>
        <v>876704.4727631453</v>
      </c>
    </row>
    <row r="29" spans="1:8" ht="12.75">
      <c r="A29" s="100" t="s">
        <v>486</v>
      </c>
      <c r="B29" s="2">
        <f>+'Table 8&amp;9'!C76</f>
        <v>104211.79731829808</v>
      </c>
      <c r="C29" s="2">
        <f>+'Table 8&amp;9'!D76</f>
        <v>119142.0524440505</v>
      </c>
      <c r="D29" s="2">
        <f>+'Table 8&amp;9'!E76</f>
        <v>130094.65852614887</v>
      </c>
      <c r="E29" s="2"/>
      <c r="F29" s="2">
        <f>+'Table 8&amp;9'!G76</f>
        <v>127682.74212118611</v>
      </c>
      <c r="G29" s="2">
        <f>+'Table 8&amp;9'!H76</f>
        <v>136789.6237234467</v>
      </c>
      <c r="H29" s="2">
        <f>+'Table 8&amp;9'!I76</f>
        <v>298920.1361125211</v>
      </c>
    </row>
    <row r="30" spans="1:8" ht="12.75">
      <c r="A30" s="100"/>
      <c r="B30" s="2"/>
      <c r="C30" s="2"/>
      <c r="D30" s="2"/>
      <c r="E30" s="2"/>
      <c r="F30" s="2"/>
      <c r="G30" s="2"/>
      <c r="H30" s="2"/>
    </row>
    <row r="31" ht="12.75">
      <c r="A31" s="7" t="s">
        <v>562</v>
      </c>
    </row>
    <row r="32" spans="1:8" ht="12.75">
      <c r="A32" s="19" t="str">
        <f>+'Table 8&amp;9'!A16</f>
        <v>Adjusted annual revenues from tolls (mil.$)</v>
      </c>
      <c r="B32" s="116">
        <f>+'Table 8&amp;9'!C16</f>
        <v>0</v>
      </c>
      <c r="C32" s="116">
        <f>+'Table 8&amp;9'!D16</f>
        <v>135.9437402818736</v>
      </c>
      <c r="D32" s="116">
        <f>+'Table 8&amp;9'!E16</f>
        <v>126.79711479914039</v>
      </c>
      <c r="E32" s="116"/>
      <c r="F32" s="116">
        <f>+'Table 8&amp;9'!G16</f>
        <v>106.82735610801127</v>
      </c>
      <c r="G32" s="116">
        <f>+'Table 8&amp;9'!H16</f>
        <v>101.47745409689497</v>
      </c>
      <c r="H32" s="116">
        <f>+'Table 8&amp;9'!I16</f>
        <v>246.48517939420347</v>
      </c>
    </row>
    <row r="33" spans="1:8" ht="12.75">
      <c r="A33" t="str">
        <f>+'Table 8&amp;9'!A22</f>
        <v>Total annualized highway costs</v>
      </c>
      <c r="B33" s="76">
        <f>+'Table 8&amp;9'!C22</f>
        <v>67.2946351495256</v>
      </c>
      <c r="C33" s="76">
        <f>+'Table 8&amp;9'!D22</f>
        <v>98.11493525933197</v>
      </c>
      <c r="D33" s="76">
        <f>+'Table 8&amp;9'!E22</f>
        <v>98.09976176894929</v>
      </c>
      <c r="E33" s="76"/>
      <c r="F33" s="76">
        <f>+'Table 8&amp;9'!G22</f>
        <v>98.47392466630049</v>
      </c>
      <c r="G33" s="76">
        <f>+'Table 8&amp;9'!H22</f>
        <v>98.51763759313948</v>
      </c>
      <c r="H33" s="76">
        <f>+'Table 8&amp;9'!I22</f>
        <v>92.14446677835863</v>
      </c>
    </row>
    <row r="34" spans="1:8" ht="12.75">
      <c r="A34" t="s">
        <v>517</v>
      </c>
      <c r="B34" s="76">
        <f>+'Table 8&amp;9'!C23</f>
        <v>-67.2946351495256</v>
      </c>
      <c r="C34" s="76">
        <f>+'Table 8&amp;9'!D23</f>
        <v>37.82880502254163</v>
      </c>
      <c r="D34" s="76">
        <f>+'Table 8&amp;9'!E23</f>
        <v>28.697353030191096</v>
      </c>
      <c r="E34" s="76"/>
      <c r="F34" s="76">
        <f>+'Table 8&amp;9'!G23</f>
        <v>8.353431441710782</v>
      </c>
      <c r="G34" s="76">
        <f>+'Table 8&amp;9'!H23</f>
        <v>2.9598165037554907</v>
      </c>
      <c r="H34" s="76">
        <f>+'Table 8&amp;9'!I23</f>
        <v>154.34071261584484</v>
      </c>
    </row>
    <row r="35" spans="1:8" ht="12.75">
      <c r="A35" t="str">
        <f>+'Table 8&amp;9'!A29</f>
        <v>Total annual other mode costs (mil $)</v>
      </c>
      <c r="B35" s="76">
        <f>+'Table 8&amp;9'!C29</f>
        <v>0</v>
      </c>
      <c r="C35" s="76">
        <f>+'Table 8&amp;9'!D29</f>
        <v>3.0582535289689723</v>
      </c>
      <c r="D35" s="76">
        <f>+'Table 8&amp;9'!E29</f>
        <v>21.985306000310068</v>
      </c>
      <c r="E35" s="76"/>
      <c r="F35" s="76">
        <f>+'Table 8&amp;9'!G29</f>
        <v>1.7930528233345484</v>
      </c>
      <c r="G35" s="76">
        <f>+'Table 8&amp;9'!H29</f>
        <v>19.24745331797604</v>
      </c>
      <c r="H35" s="76">
        <f>+'Table 8&amp;9'!I29</f>
        <v>27.78085566371427</v>
      </c>
    </row>
    <row r="36" spans="1:8" ht="12.75">
      <c r="A36" t="s">
        <v>518</v>
      </c>
      <c r="B36" s="76">
        <f>+'Table 8&amp;9'!C32</f>
        <v>-67.2946351495256</v>
      </c>
      <c r="C36" s="76">
        <f>+'Table 8&amp;9'!D32</f>
        <v>34.770551493572654</v>
      </c>
      <c r="D36" s="76">
        <f>+'Table 8&amp;9'!E32</f>
        <v>6.712047029881035</v>
      </c>
      <c r="E36" s="76"/>
      <c r="F36" s="76">
        <f>+'Table 8&amp;9'!G32</f>
        <v>6.560378618376234</v>
      </c>
      <c r="G36" s="76">
        <f>+'Table 8&amp;9'!H32</f>
        <v>-16.287636814220548</v>
      </c>
      <c r="H36" s="76">
        <f>+'Table 8&amp;9'!I32</f>
        <v>126.55985695213056</v>
      </c>
    </row>
    <row r="37" spans="2:8" ht="12.75">
      <c r="B37" s="76"/>
      <c r="C37" s="76"/>
      <c r="D37" s="76"/>
      <c r="E37" s="76"/>
      <c r="F37" s="76"/>
      <c r="G37" s="76"/>
      <c r="H37" s="76"/>
    </row>
    <row r="38" spans="1:8" ht="12.75">
      <c r="A38" s="7" t="s">
        <v>563</v>
      </c>
      <c r="B38" s="76"/>
      <c r="C38" s="76"/>
      <c r="D38" s="76"/>
      <c r="E38" s="76"/>
      <c r="F38" s="76"/>
      <c r="G38" s="76"/>
      <c r="H38" s="76"/>
    </row>
    <row r="39" spans="1:8" ht="12.75">
      <c r="A39" s="19" t="str">
        <f>+'Table 8&amp;9'!A37</f>
        <v>Net present value (mil. $)</v>
      </c>
      <c r="B39" s="116">
        <f>+'Table 8&amp;9'!C37</f>
        <v>3183.3383785604615</v>
      </c>
      <c r="C39" s="116">
        <f>+'Table 8&amp;9'!D37</f>
        <v>3408.0931579217963</v>
      </c>
      <c r="D39" s="116">
        <f>+'Table 8&amp;9'!E37</f>
        <v>4027.4719638215006</v>
      </c>
      <c r="E39" s="116"/>
      <c r="F39" s="116">
        <f>+'Table 8&amp;9'!G37</f>
        <v>3746.6929826068235</v>
      </c>
      <c r="G39" s="116">
        <f>+'Table 8&amp;9'!H37</f>
        <v>4280.609482060247</v>
      </c>
      <c r="H39" s="116">
        <f>+'Table 8&amp;9'!I37</f>
        <v>6190.898582013111</v>
      </c>
    </row>
    <row r="40" spans="1:8" ht="12.75">
      <c r="A40" s="100" t="s">
        <v>486</v>
      </c>
      <c r="B40" s="2">
        <f>+'Table 8&amp;9'!C107</f>
        <v>104211.79731829808</v>
      </c>
      <c r="C40" s="2">
        <f>+'Table 8&amp;9'!D107</f>
        <v>119142.0524440505</v>
      </c>
      <c r="D40" s="2">
        <f>+'Table 8&amp;9'!E107</f>
        <v>130094.65852614887</v>
      </c>
      <c r="E40" s="2"/>
      <c r="F40" s="2">
        <f>+'Table 8&amp;9'!G107</f>
        <v>127682.74212118611</v>
      </c>
      <c r="G40" s="2">
        <f>+'Table 8&amp;9'!H107</f>
        <v>136789.6237234467</v>
      </c>
      <c r="H40" s="2">
        <f>+'Table 8&amp;9'!I107</f>
        <v>298920.1361125211</v>
      </c>
    </row>
    <row r="41" spans="1:8" ht="12.75">
      <c r="A41" s="100" t="s">
        <v>510</v>
      </c>
      <c r="B41" s="77">
        <f>+'Table 8&amp;9'!C108</f>
        <v>2.5302063093819602</v>
      </c>
      <c r="C41" s="77">
        <f>+'Table 8&amp;9'!D108</f>
        <v>3.024803961754604</v>
      </c>
      <c r="D41" s="77">
        <f>+'Table 8&amp;9'!E108</f>
        <v>2.7701471861114304</v>
      </c>
      <c r="E41" s="77"/>
      <c r="F41" s="77">
        <f>+'Table 8&amp;9'!G108</f>
        <v>2.885130332607526</v>
      </c>
      <c r="G41" s="77">
        <f>+'Table 8&amp;9'!H108</f>
        <v>2.693050409942721</v>
      </c>
      <c r="H41" s="77">
        <f>+'Table 8&amp;9'!I108</f>
        <v>0.9519974737801257</v>
      </c>
    </row>
    <row r="42" spans="1:8" ht="12.75">
      <c r="A42" s="95" t="s">
        <v>511</v>
      </c>
      <c r="B42" s="77">
        <f>+'Table 8&amp;9'!C109</f>
        <v>2.5829948962106477</v>
      </c>
      <c r="C42" s="77">
        <f>+'Table 8&amp;9'!D109</f>
        <v>3.3967247235668436</v>
      </c>
      <c r="D42" s="77">
        <f>+'Table 8&amp;9'!E109</f>
        <v>3.6922366876460924</v>
      </c>
      <c r="E42" s="77"/>
      <c r="F42" s="77">
        <f>+'Table 8&amp;9'!G109</f>
        <v>3.141128576153847</v>
      </c>
      <c r="G42" s="77">
        <f>+'Table 8&amp;9'!H109</f>
        <v>3.443684914265314</v>
      </c>
      <c r="H42" s="77">
        <f>+'Table 8&amp;9'!I109</f>
        <v>1.6047807819400963</v>
      </c>
    </row>
    <row r="43" spans="1:8" ht="12.75">
      <c r="A43" t="s">
        <v>577</v>
      </c>
      <c r="B43" s="123">
        <f>+B40*60/B28</f>
        <v>6.785465721277678</v>
      </c>
      <c r="C43" s="123">
        <f aca="true" t="shared" si="0" ref="C43:H43">+C40*60/C28</f>
        <v>8.057107319968148</v>
      </c>
      <c r="D43" s="123">
        <f t="shared" si="0"/>
        <v>8.769724163993093</v>
      </c>
      <c r="E43" s="123"/>
      <c r="F43" s="123">
        <f t="shared" si="0"/>
        <v>8.600787914690649</v>
      </c>
      <c r="G43" s="123">
        <f t="shared" si="0"/>
        <v>9.189034667573253</v>
      </c>
      <c r="H43" s="123">
        <f t="shared" si="0"/>
        <v>20.457530130106598</v>
      </c>
    </row>
    <row r="44" spans="2:8" ht="12.75">
      <c r="B44" s="2"/>
      <c r="C44" s="2"/>
      <c r="D44" s="2"/>
      <c r="E44" s="2"/>
      <c r="F44" s="2"/>
      <c r="G44" s="2"/>
      <c r="H44" s="2"/>
    </row>
    <row r="45" spans="1:8" ht="12.75">
      <c r="A45" s="1" t="s">
        <v>585</v>
      </c>
      <c r="B45" s="173" t="str">
        <f>+B15</f>
        <v>No 1</v>
      </c>
      <c r="C45" s="173" t="str">
        <f>+C15</f>
        <v>No 2</v>
      </c>
      <c r="D45" s="173" t="str">
        <f>+D15</f>
        <v>No 3</v>
      </c>
      <c r="E45" s="173"/>
      <c r="F45" s="173" t="str">
        <f>+F15</f>
        <v>No 4</v>
      </c>
      <c r="G45" s="173" t="str">
        <f>+G15</f>
        <v>No 5</v>
      </c>
      <c r="H45" s="173" t="str">
        <f>+H15</f>
        <v>No 6</v>
      </c>
    </row>
    <row r="46" spans="2:8" ht="12.75">
      <c r="B46" s="174" t="str">
        <f aca="true" t="shared" si="1" ref="B46:H46">+B16</f>
        <v>10 GP Ln</v>
      </c>
      <c r="C46" s="174" t="str">
        <f t="shared" si="1"/>
        <v>4 ET+EB</v>
      </c>
      <c r="D46" s="174" t="str">
        <f t="shared" si="1"/>
        <v>4 ET+BRT</v>
      </c>
      <c r="E46" s="174"/>
      <c r="F46" s="174" t="str">
        <f t="shared" si="1"/>
        <v>4 HOT+EB</v>
      </c>
      <c r="G46" s="174" t="str">
        <f t="shared" si="1"/>
        <v>4 HOT+BRT</v>
      </c>
      <c r="H46" s="174" t="str">
        <f t="shared" si="1"/>
        <v>10 H + BRT</v>
      </c>
    </row>
    <row r="47" spans="1:3" ht="12.75">
      <c r="A47" s="111" t="s">
        <v>579</v>
      </c>
      <c r="B47" s="124"/>
      <c r="C47" s="25"/>
    </row>
    <row r="48" spans="1:8" ht="12.75">
      <c r="A48" s="53" t="s">
        <v>580</v>
      </c>
      <c r="B48" s="117"/>
      <c r="C48" s="109"/>
      <c r="D48" s="116"/>
      <c r="E48" s="116"/>
      <c r="F48" s="116"/>
      <c r="G48" s="116"/>
      <c r="H48" s="116"/>
    </row>
    <row r="49" spans="1:8" ht="12.75">
      <c r="A49" s="19" t="s">
        <v>519</v>
      </c>
      <c r="B49" s="15">
        <v>59729.85029806162</v>
      </c>
      <c r="C49" s="15">
        <v>13640.926870484836</v>
      </c>
      <c r="D49" s="15">
        <v>17239.09584588441</v>
      </c>
      <c r="E49" s="15"/>
      <c r="F49" s="15">
        <v>18073.816409139545</v>
      </c>
      <c r="G49" s="15">
        <v>21187.968217703747</v>
      </c>
      <c r="H49" s="15">
        <v>328.4104442332173</v>
      </c>
    </row>
    <row r="50" spans="1:8" ht="12.75">
      <c r="A50" s="19" t="str">
        <f>+A32</f>
        <v>Adjusted annual revenues from tolls (mil.$)</v>
      </c>
      <c r="B50" s="125">
        <v>0</v>
      </c>
      <c r="C50" s="125">
        <v>139.38137941323353</v>
      </c>
      <c r="D50" s="125">
        <v>131.0890161109713</v>
      </c>
      <c r="E50" s="125"/>
      <c r="F50" s="125">
        <v>110.6774260989337</v>
      </c>
      <c r="G50" s="125">
        <v>105.9838463754926</v>
      </c>
      <c r="H50" s="125">
        <v>246.03669830338293</v>
      </c>
    </row>
    <row r="51" spans="1:8" ht="12.75">
      <c r="A51" t="str">
        <f>+A39</f>
        <v>Net present value (mil. $)</v>
      </c>
      <c r="B51" s="125">
        <v>2722.994537445949</v>
      </c>
      <c r="C51" s="125">
        <v>3312.6656793913085</v>
      </c>
      <c r="D51" s="125">
        <v>3912.4206632020428</v>
      </c>
      <c r="E51" s="125"/>
      <c r="F51" s="125">
        <v>3620.967775961769</v>
      </c>
      <c r="G51" s="125">
        <v>4139.2861533241285</v>
      </c>
      <c r="H51" s="125">
        <v>6202.026211376039</v>
      </c>
    </row>
    <row r="52" spans="2:8" ht="12.75">
      <c r="B52" s="76"/>
      <c r="C52" s="76"/>
      <c r="D52" s="76"/>
      <c r="E52" s="76"/>
      <c r="F52" s="76"/>
      <c r="G52" s="76"/>
      <c r="H52" s="76"/>
    </row>
    <row r="53" spans="1:8" ht="12.75">
      <c r="A53" s="53" t="s">
        <v>581</v>
      </c>
      <c r="B53" s="116"/>
      <c r="C53" s="116"/>
      <c r="D53" s="116"/>
      <c r="E53" s="116"/>
      <c r="F53" s="116"/>
      <c r="G53" s="116"/>
      <c r="H53" s="116"/>
    </row>
    <row r="54" spans="1:8" ht="12.75">
      <c r="A54" s="19" t="s">
        <v>519</v>
      </c>
      <c r="B54" s="15">
        <v>25857.8876427589</v>
      </c>
      <c r="C54" s="15">
        <v>6558.2685835149605</v>
      </c>
      <c r="D54" s="15">
        <v>8302.222393368138</v>
      </c>
      <c r="E54" s="15"/>
      <c r="F54" s="15">
        <v>8704.29728687054</v>
      </c>
      <c r="G54" s="15">
        <v>10192.065604656585</v>
      </c>
      <c r="H54" s="15">
        <v>90.7238747831434</v>
      </c>
    </row>
    <row r="55" spans="1:8" ht="12.75">
      <c r="A55" s="19" t="s">
        <v>516</v>
      </c>
      <c r="B55" s="76">
        <v>0</v>
      </c>
      <c r="C55" s="76">
        <v>130.9241774932783</v>
      </c>
      <c r="D55" s="76">
        <v>120.5454998739653</v>
      </c>
      <c r="E55" s="76"/>
      <c r="F55" s="76">
        <v>101.2273203518549</v>
      </c>
      <c r="G55" s="76">
        <v>94.96396927781402</v>
      </c>
      <c r="H55" s="76">
        <v>247.11833373937355</v>
      </c>
    </row>
    <row r="56" spans="1:8" ht="12.75">
      <c r="A56" t="s">
        <v>455</v>
      </c>
      <c r="B56" s="125">
        <v>3740.279539318633</v>
      </c>
      <c r="C56" s="125">
        <v>3542.909718224249</v>
      </c>
      <c r="D56" s="125">
        <v>4189.31415803462</v>
      </c>
      <c r="E56" s="125"/>
      <c r="F56" s="125">
        <v>3923.2651842863334</v>
      </c>
      <c r="G56" s="125">
        <v>4477.5292658818325</v>
      </c>
      <c r="H56" s="125">
        <v>6176.336101278279</v>
      </c>
    </row>
    <row r="57" spans="2:8" ht="12.75">
      <c r="B57" s="2"/>
      <c r="C57" s="2"/>
      <c r="D57" s="2"/>
      <c r="E57" s="2"/>
      <c r="F57" s="2"/>
      <c r="G57" s="2"/>
      <c r="H57" s="2"/>
    </row>
    <row r="58" spans="1:8" ht="12.75">
      <c r="A58" s="111" t="s">
        <v>582</v>
      </c>
      <c r="B58" s="2"/>
      <c r="C58" s="2"/>
      <c r="D58" s="2"/>
      <c r="E58" s="2"/>
      <c r="F58" s="2"/>
      <c r="G58" s="2"/>
      <c r="H58" s="2"/>
    </row>
    <row r="59" spans="1:8" ht="12.75">
      <c r="A59" s="53" t="s">
        <v>583</v>
      </c>
      <c r="B59" s="2"/>
      <c r="C59" s="2"/>
      <c r="D59" s="2"/>
      <c r="E59" s="2"/>
      <c r="F59" s="2"/>
      <c r="G59" s="2"/>
      <c r="H59" s="2"/>
    </row>
    <row r="60" spans="1:8" ht="12.75">
      <c r="A60" s="19" t="s">
        <v>519</v>
      </c>
      <c r="B60" s="15">
        <v>44985.43606827373</v>
      </c>
      <c r="C60" s="15">
        <v>10731.96337805374</v>
      </c>
      <c r="D60" s="15">
        <v>13571.26856026391</v>
      </c>
      <c r="E60" s="15"/>
      <c r="F60" s="15">
        <v>14228.222025541589</v>
      </c>
      <c r="G60" s="15">
        <v>16670.79762136785</v>
      </c>
      <c r="H60" s="15">
        <v>204.47276314534247</v>
      </c>
    </row>
    <row r="61" spans="1:8" ht="12.75">
      <c r="A61" s="19" t="s">
        <v>516</v>
      </c>
      <c r="B61" s="76">
        <v>0</v>
      </c>
      <c r="C61" s="76">
        <v>203.91561042281043</v>
      </c>
      <c r="D61" s="76">
        <v>190.19567219871064</v>
      </c>
      <c r="E61" s="76"/>
      <c r="F61" s="76">
        <v>160.24103416201692</v>
      </c>
      <c r="G61" s="76">
        <v>152.2161811453425</v>
      </c>
      <c r="H61" s="76">
        <v>369.7277690913052</v>
      </c>
    </row>
    <row r="62" spans="1:8" ht="12.75">
      <c r="A62" t="str">
        <f>+A51</f>
        <v>Net present value (mil. $)</v>
      </c>
      <c r="B62" s="125">
        <v>4610.719049356761</v>
      </c>
      <c r="C62" s="125">
        <v>5074.694571761243</v>
      </c>
      <c r="D62" s="125">
        <v>6059.952753758571</v>
      </c>
      <c r="E62" s="125"/>
      <c r="F62" s="125">
        <v>5529.288753818188</v>
      </c>
      <c r="G62" s="125">
        <v>6387.886511579849</v>
      </c>
      <c r="H62" s="125">
        <v>8932.198087110217</v>
      </c>
    </row>
    <row r="63" spans="2:8" ht="12.75">
      <c r="B63" s="76"/>
      <c r="C63" s="76"/>
      <c r="D63" s="76"/>
      <c r="E63" s="76"/>
      <c r="F63" s="76"/>
      <c r="G63" s="76"/>
      <c r="H63" s="76"/>
    </row>
    <row r="64" spans="1:8" ht="12.75">
      <c r="A64" s="53" t="s">
        <v>584</v>
      </c>
      <c r="B64" s="76"/>
      <c r="C64" s="76"/>
      <c r="D64" s="76"/>
      <c r="E64" s="76"/>
      <c r="F64" s="76"/>
      <c r="G64" s="76"/>
      <c r="H64" s="76"/>
    </row>
    <row r="65" spans="1:8" ht="12.75">
      <c r="A65" s="19" t="s">
        <v>519</v>
      </c>
      <c r="B65" s="15">
        <v>44985.43606827373</v>
      </c>
      <c r="C65" s="15">
        <v>10731.96337805374</v>
      </c>
      <c r="D65" s="15">
        <v>13571.26856026391</v>
      </c>
      <c r="E65" s="15"/>
      <c r="F65" s="15">
        <v>14228.222025541589</v>
      </c>
      <c r="G65" s="15">
        <v>16670.79762136785</v>
      </c>
      <c r="H65" s="15">
        <v>204.47276314534247</v>
      </c>
    </row>
    <row r="66" spans="1:8" ht="12.75">
      <c r="A66" s="19" t="s">
        <v>516</v>
      </c>
      <c r="B66" s="76">
        <v>0</v>
      </c>
      <c r="C66" s="76">
        <v>67.9718701409368</v>
      </c>
      <c r="D66" s="76">
        <v>63.398557399570194</v>
      </c>
      <c r="E66" s="76"/>
      <c r="F66" s="76">
        <v>53.413678054005636</v>
      </c>
      <c r="G66" s="76">
        <v>50.73872704844749</v>
      </c>
      <c r="H66" s="76">
        <v>123.24258969710174</v>
      </c>
    </row>
    <row r="67" spans="1:8" ht="12.75">
      <c r="A67" t="s">
        <v>455</v>
      </c>
      <c r="B67" s="125">
        <v>1755.9577077641607</v>
      </c>
      <c r="C67" s="125">
        <v>1741.4917440823474</v>
      </c>
      <c r="D67" s="125">
        <v>1994.9911738844303</v>
      </c>
      <c r="E67" s="125"/>
      <c r="F67" s="125">
        <v>1964.0972113954606</v>
      </c>
      <c r="G67" s="125">
        <v>2173.332452540647</v>
      </c>
      <c r="H67" s="125">
        <v>3449.5990769160044</v>
      </c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9"/>
  <sheetViews>
    <sheetView view="pageBreakPreview" zoomScale="60" zoomScaleNormal="75" workbookViewId="0" topLeftCell="A1">
      <selection activeCell="B1" sqref="B1"/>
    </sheetView>
  </sheetViews>
  <sheetFormatPr defaultColWidth="9.140625" defaultRowHeight="12.75"/>
  <cols>
    <col min="1" max="1" width="5.140625" style="0" customWidth="1"/>
    <col min="2" max="2" width="54.421875" style="0" customWidth="1"/>
    <col min="3" max="3" width="15.421875" style="0" customWidth="1"/>
    <col min="4" max="4" width="16.421875" style="0" customWidth="1"/>
    <col min="5" max="5" width="16.57421875" style="0" customWidth="1"/>
    <col min="6" max="6" width="5.140625" style="0" customWidth="1"/>
    <col min="7" max="7" width="4.140625" style="0" customWidth="1"/>
    <col min="8" max="9" width="3.421875" style="0" customWidth="1"/>
    <col min="10" max="10" width="3.8515625" style="0" customWidth="1"/>
    <col min="11" max="11" width="4.421875" style="0" customWidth="1"/>
    <col min="12" max="12" width="4.8515625" style="0" customWidth="1"/>
    <col min="13" max="13" width="3.7109375" style="0" customWidth="1"/>
    <col min="14" max="14" width="4.57421875" style="0" customWidth="1"/>
    <col min="15" max="15" width="5.140625" style="0" customWidth="1"/>
    <col min="16" max="16" width="43.7109375" style="0" customWidth="1"/>
    <col min="17" max="17" width="15.7109375" style="0" customWidth="1"/>
    <col min="18" max="18" width="18.140625" style="0" customWidth="1"/>
    <col min="19" max="19" width="13.140625" style="0" customWidth="1"/>
    <col min="20" max="20" width="5.8515625" style="0" customWidth="1"/>
    <col min="21" max="22" width="5.57421875" style="0" customWidth="1"/>
    <col min="23" max="23" width="4.8515625" style="0" customWidth="1"/>
    <col min="24" max="24" width="3.8515625" style="0" customWidth="1"/>
    <col min="25" max="25" width="5.57421875" style="0" customWidth="1"/>
    <col min="26" max="26" width="4.57421875" style="0" customWidth="1"/>
    <col min="27" max="27" width="4.140625" style="0" customWidth="1"/>
    <col min="28" max="28" width="4.421875" style="0" customWidth="1"/>
    <col min="29" max="29" width="5.57421875" style="0" customWidth="1"/>
    <col min="30" max="30" width="43.7109375" style="0" customWidth="1"/>
    <col min="31" max="31" width="18.00390625" style="0" customWidth="1"/>
    <col min="32" max="32" width="17.421875" style="0" customWidth="1"/>
    <col min="33" max="33" width="15.5742187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410</v>
      </c>
      <c r="B3" s="17"/>
      <c r="C3" s="18"/>
      <c r="D3" s="21"/>
      <c r="E3" s="21"/>
      <c r="O3" s="17" t="s">
        <v>410</v>
      </c>
      <c r="P3" s="17"/>
      <c r="Q3" s="18"/>
      <c r="R3" s="21"/>
      <c r="S3" s="21"/>
      <c r="AC3" s="17" t="s">
        <v>410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+'alt 1'!C7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462</v>
      </c>
      <c r="D39" s="21"/>
      <c r="E39" s="21"/>
      <c r="O39" s="11"/>
      <c r="P39" s="11"/>
      <c r="Q39" s="21" t="s">
        <v>463</v>
      </c>
      <c r="R39" s="21"/>
      <c r="S39" s="21"/>
      <c r="AC39" s="11"/>
      <c r="AD39" s="11"/>
      <c r="AE39" s="21" t="s">
        <v>462</v>
      </c>
      <c r="AF39" s="21"/>
      <c r="AG39" s="21"/>
    </row>
    <row r="40" spans="1:33" ht="12.75">
      <c r="A40" s="11"/>
      <c r="B40" s="11"/>
      <c r="C40" s="24" t="s">
        <v>92</v>
      </c>
      <c r="D40" s="24" t="s">
        <v>395</v>
      </c>
      <c r="E40" s="24" t="s">
        <v>40</v>
      </c>
      <c r="O40" s="11"/>
      <c r="P40" s="11"/>
      <c r="Q40" s="24" t="s">
        <v>92</v>
      </c>
      <c r="R40" s="24" t="s">
        <v>395</v>
      </c>
      <c r="S40" s="24" t="s">
        <v>40</v>
      </c>
      <c r="AC40" s="11"/>
      <c r="AD40" s="11"/>
      <c r="AE40" s="24" t="s">
        <v>92</v>
      </c>
      <c r="AF40" s="24" t="s">
        <v>395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170436.54856104584</v>
      </c>
      <c r="D43" s="30">
        <f>+'mode ch'!F139</f>
        <v>97026.338028169</v>
      </c>
      <c r="E43" s="30">
        <f>+'mode ch'!F129</f>
        <v>267462.88658921485</v>
      </c>
      <c r="O43" s="11" t="s">
        <v>96</v>
      </c>
      <c r="P43" s="11" t="s">
        <v>365</v>
      </c>
      <c r="Q43" s="30">
        <f>+S43-R43</f>
        <v>178026.09514175518</v>
      </c>
      <c r="R43" s="30">
        <f>+'mode ch'!T139</f>
        <v>98452.39436619719</v>
      </c>
      <c r="S43" s="30">
        <f>+'mode ch'!T129</f>
        <v>276478.48950795236</v>
      </c>
      <c r="AC43" s="11" t="s">
        <v>96</v>
      </c>
      <c r="AD43" s="11" t="s">
        <v>365</v>
      </c>
      <c r="AE43" s="30">
        <f>+AG43-AF43</f>
        <v>147667.90881891755</v>
      </c>
      <c r="AF43" s="30">
        <f>+'mode ch'!AH139</f>
        <v>92748.1690140845</v>
      </c>
      <c r="AG43" s="30">
        <f>+'mode ch'!AH129</f>
        <v>240416.07783300205</v>
      </c>
    </row>
    <row r="44" spans="1:33" ht="12.75">
      <c r="A44" s="11" t="s">
        <v>97</v>
      </c>
      <c r="B44" s="11" t="s">
        <v>98</v>
      </c>
      <c r="C44" s="30">
        <f>+'mode ch'!F112</f>
        <v>13860</v>
      </c>
      <c r="D44" s="30">
        <f>+'mode ch'!F111</f>
        <v>9120</v>
      </c>
      <c r="E44" s="14"/>
      <c r="O44" s="11" t="s">
        <v>97</v>
      </c>
      <c r="P44" s="11" t="s">
        <v>98</v>
      </c>
      <c r="Q44" s="30">
        <f>+'mode ch'!T112</f>
        <v>13860</v>
      </c>
      <c r="R44" s="30">
        <f>+'mode ch'!T111</f>
        <v>9120</v>
      </c>
      <c r="S44" s="14"/>
      <c r="AC44" s="11" t="s">
        <v>97</v>
      </c>
      <c r="AD44" s="11" t="s">
        <v>98</v>
      </c>
      <c r="AE44" s="30">
        <f>+'mode ch'!AH112</f>
        <v>13860</v>
      </c>
      <c r="AF44" s="30">
        <f>+'mode ch'!AH111</f>
        <v>9120</v>
      </c>
      <c r="AG44" s="14"/>
    </row>
    <row r="45" spans="1:33" ht="12.75">
      <c r="A45" s="11" t="s">
        <v>99</v>
      </c>
      <c r="B45" s="11" t="s">
        <v>65</v>
      </c>
      <c r="C45" s="14">
        <f>C43/C44</f>
        <v>12.297009275688733</v>
      </c>
      <c r="D45" s="14"/>
      <c r="E45" s="14"/>
      <c r="O45" s="11" t="s">
        <v>99</v>
      </c>
      <c r="P45" s="11" t="s">
        <v>65</v>
      </c>
      <c r="Q45" s="14">
        <f>Q43/Q44</f>
        <v>12.844595609073245</v>
      </c>
      <c r="R45" s="14"/>
      <c r="S45" s="14"/>
      <c r="AC45" s="11" t="s">
        <v>99</v>
      </c>
      <c r="AD45" s="11" t="s">
        <v>65</v>
      </c>
      <c r="AE45" s="14">
        <f>AE43/AE44</f>
        <v>10.654250275535176</v>
      </c>
      <c r="AF45" s="14"/>
      <c r="AG45" s="14"/>
    </row>
    <row r="46" spans="1:33" ht="12.75">
      <c r="A46" s="11" t="s">
        <v>100</v>
      </c>
      <c r="B46" s="11" t="s">
        <v>67</v>
      </c>
      <c r="C46" s="14">
        <f>C44</f>
        <v>13860</v>
      </c>
      <c r="D46" s="14"/>
      <c r="E46" s="14"/>
      <c r="O46" s="11" t="s">
        <v>100</v>
      </c>
      <c r="P46" s="11" t="s">
        <v>67</v>
      </c>
      <c r="Q46" s="14">
        <f>Q44</f>
        <v>13860</v>
      </c>
      <c r="R46" s="14"/>
      <c r="S46" s="14"/>
      <c r="AC46" s="11" t="s">
        <v>100</v>
      </c>
      <c r="AD46" s="11" t="s">
        <v>67</v>
      </c>
      <c r="AE46" s="14">
        <f>AE44</f>
        <v>13860</v>
      </c>
      <c r="AF46" s="14"/>
      <c r="AG46" s="14"/>
    </row>
    <row r="47" spans="1:33" ht="12.75">
      <c r="A47" s="11" t="s">
        <v>101</v>
      </c>
      <c r="B47" s="11" t="s">
        <v>69</v>
      </c>
      <c r="C47" s="31">
        <f>0.0551483782*(C45)^3-0.0189486676*(C45)^4+0.0023287974*((C45)^5)-(0.0001133801*((C45)^6))+(0.0000018954*((C45)^7))</f>
        <v>12.64179626325469</v>
      </c>
      <c r="D47" s="31"/>
      <c r="E47" s="31"/>
      <c r="O47" s="11" t="s">
        <v>101</v>
      </c>
      <c r="P47" s="11" t="s">
        <v>69</v>
      </c>
      <c r="Q47" s="31">
        <f>0.0551483782*(Q45)^3-0.0189486676*(Q45)^4+0.0023287974*((Q45)^5)-(0.0001133801*((Q45)^6))+(0.0000018954*((Q45)^7))</f>
        <v>15.462738714239464</v>
      </c>
      <c r="R47" s="31"/>
      <c r="S47" s="31"/>
      <c r="AC47" s="11" t="s">
        <v>101</v>
      </c>
      <c r="AD47" s="11" t="s">
        <v>69</v>
      </c>
      <c r="AE47" s="31">
        <f>0.0551483782*(AE45)^3-0.0189486676*(AE45)^4+0.0023287974*((AE45)^5)-(0.0001133801*((AE45)^6))+(0.0000018954*((AE45)^7))</f>
        <v>5.943660134345585</v>
      </c>
      <c r="AF47" s="31"/>
      <c r="AG47" s="31"/>
    </row>
    <row r="48" spans="1:33" ht="12.75">
      <c r="A48" s="11" t="s">
        <v>102</v>
      </c>
      <c r="B48" s="11" t="s">
        <v>71</v>
      </c>
      <c r="C48" s="31">
        <f>1/((1/60)+C47/1000)</f>
        <v>34.11983775440807</v>
      </c>
      <c r="D48" s="31"/>
      <c r="E48" s="31"/>
      <c r="O48" s="11" t="s">
        <v>102</v>
      </c>
      <c r="P48" s="11" t="s">
        <v>71</v>
      </c>
      <c r="Q48" s="31">
        <f>1/((1/60)+Q47/1000)</f>
        <v>31.124136539242652</v>
      </c>
      <c r="R48" s="31"/>
      <c r="S48" s="31"/>
      <c r="AC48" s="11" t="s">
        <v>102</v>
      </c>
      <c r="AD48" s="11" t="s">
        <v>71</v>
      </c>
      <c r="AE48" s="31">
        <f>1/((1/60)+AE47/1000)</f>
        <v>44.227578345096305</v>
      </c>
      <c r="AF48" s="31"/>
      <c r="AG48" s="31"/>
    </row>
    <row r="49" spans="1:33" ht="12.75">
      <c r="A49" s="11" t="s">
        <v>103</v>
      </c>
      <c r="B49" s="11" t="s">
        <v>73</v>
      </c>
      <c r="C49" s="14">
        <f>(1/C48)*C15</f>
        <v>8215.133650115742</v>
      </c>
      <c r="D49" s="14"/>
      <c r="E49" s="14"/>
      <c r="O49" s="11" t="s">
        <v>103</v>
      </c>
      <c r="P49" s="11" t="s">
        <v>73</v>
      </c>
      <c r="Q49" s="14">
        <f>(1/Q48)*Q15</f>
        <v>9309.408751808527</v>
      </c>
      <c r="R49" s="14"/>
      <c r="S49" s="14"/>
      <c r="AC49" s="11" t="s">
        <v>103</v>
      </c>
      <c r="AD49" s="11" t="s">
        <v>73</v>
      </c>
      <c r="AE49" s="14">
        <f>(1/AE48)*AE15</f>
        <v>5696.766389790749</v>
      </c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>
        <f>+C19/C28</f>
        <v>1.1075949367088607</v>
      </c>
      <c r="D51" s="14"/>
      <c r="E51" s="14"/>
      <c r="O51" s="11"/>
      <c r="P51" s="11" t="s">
        <v>402</v>
      </c>
      <c r="Q51" s="31">
        <f>+Q19/Q28</f>
        <v>1.1075949367088607</v>
      </c>
      <c r="R51" s="14"/>
      <c r="S51" s="14"/>
      <c r="AC51" s="11"/>
      <c r="AD51" s="11" t="s">
        <v>402</v>
      </c>
      <c r="AE51" s="31">
        <f>+AE19/AE28</f>
        <v>1.1075949367088604</v>
      </c>
      <c r="AF51" s="14"/>
      <c r="AG51" s="14"/>
    </row>
    <row r="52" spans="1:33" ht="12.75">
      <c r="A52" s="11"/>
      <c r="B52" s="11" t="s">
        <v>403</v>
      </c>
      <c r="C52" s="14">
        <f>+C44*C16*C51</f>
        <v>819608548.1012659</v>
      </c>
      <c r="D52" s="14"/>
      <c r="E52" s="14"/>
      <c r="O52" s="11"/>
      <c r="P52" s="11" t="s">
        <v>403</v>
      </c>
      <c r="Q52" s="14">
        <f>+Q44*Q16*Q51</f>
        <v>847235802.5316457</v>
      </c>
      <c r="R52" s="14"/>
      <c r="S52" s="14"/>
      <c r="AC52" s="11"/>
      <c r="AD52" s="11" t="s">
        <v>403</v>
      </c>
      <c r="AE52" s="14">
        <f>+AE44*AE16*AE51</f>
        <v>736726784.8101265</v>
      </c>
      <c r="AF52" s="14"/>
      <c r="AG52" s="14"/>
    </row>
    <row r="53" spans="1:33" ht="12.75">
      <c r="A53" s="11"/>
      <c r="B53" s="11" t="s">
        <v>472</v>
      </c>
      <c r="C53" s="14">
        <f>+C43*C29</f>
        <v>681746194.2441834</v>
      </c>
      <c r="D53" s="14"/>
      <c r="E53" s="14"/>
      <c r="O53" s="11"/>
      <c r="P53" s="11" t="s">
        <v>472</v>
      </c>
      <c r="Q53" s="14">
        <f>+Q43*Q29</f>
        <v>712104380.5670208</v>
      </c>
      <c r="R53" s="14"/>
      <c r="S53" s="14"/>
      <c r="AC53" s="11"/>
      <c r="AD53" s="11" t="s">
        <v>404</v>
      </c>
      <c r="AE53" s="14">
        <f>+AE43*AE29</f>
        <v>590671635.2756702</v>
      </c>
      <c r="AF53" s="14"/>
      <c r="AG53" s="14"/>
    </row>
    <row r="54" spans="1:33" ht="12.75">
      <c r="A54" s="11"/>
      <c r="B54" s="11" t="s">
        <v>405</v>
      </c>
      <c r="C54" s="14">
        <f>+C52-C53</f>
        <v>137862353.8570825</v>
      </c>
      <c r="D54" s="14"/>
      <c r="E54" s="14"/>
      <c r="O54" s="11"/>
      <c r="P54" s="11" t="s">
        <v>405</v>
      </c>
      <c r="Q54" s="14">
        <f>+Q52-Q53</f>
        <v>135131421.96462488</v>
      </c>
      <c r="R54" s="14"/>
      <c r="S54" s="14"/>
      <c r="AC54" s="11"/>
      <c r="AD54" s="11" t="s">
        <v>405</v>
      </c>
      <c r="AE54" s="14">
        <f>+AE52-AE53</f>
        <v>146055149.53445637</v>
      </c>
      <c r="AF54" s="14"/>
      <c r="AG54" s="14"/>
    </row>
    <row r="55" spans="1:33" ht="12.75">
      <c r="A55" s="11"/>
      <c r="B55" s="11" t="s">
        <v>406</v>
      </c>
      <c r="C55" s="14">
        <f>+C44*C51</f>
        <v>15351.26582278481</v>
      </c>
      <c r="D55" s="14"/>
      <c r="E55" s="14"/>
      <c r="O55" s="11"/>
      <c r="P55" s="11" t="s">
        <v>406</v>
      </c>
      <c r="Q55" s="14">
        <f>+Q44*Q51</f>
        <v>15351.26582278481</v>
      </c>
      <c r="R55" s="14"/>
      <c r="S55" s="14"/>
      <c r="AC55" s="11"/>
      <c r="AD55" s="11" t="s">
        <v>406</v>
      </c>
      <c r="AE55" s="14">
        <f>+AE44*AE51</f>
        <v>15351.265822784806</v>
      </c>
      <c r="AF55" s="14"/>
      <c r="AG55" s="14"/>
    </row>
    <row r="56" spans="1:33" ht="12.75">
      <c r="A56" s="11"/>
      <c r="B56" s="11" t="s">
        <v>407</v>
      </c>
      <c r="C56" s="14">
        <f>+C29</f>
        <v>4000</v>
      </c>
      <c r="D56" s="14"/>
      <c r="E56" s="14"/>
      <c r="O56" s="11"/>
      <c r="P56" s="11" t="s">
        <v>407</v>
      </c>
      <c r="Q56" s="14">
        <f>+Q29</f>
        <v>4000</v>
      </c>
      <c r="R56" s="14"/>
      <c r="S56" s="14"/>
      <c r="AC56" s="11"/>
      <c r="AD56" s="11" t="s">
        <v>407</v>
      </c>
      <c r="AE56" s="14">
        <f>+AE29</f>
        <v>4000</v>
      </c>
      <c r="AF56" s="14"/>
      <c r="AG56" s="14"/>
    </row>
    <row r="57" spans="1:33" ht="12.75">
      <c r="A57" s="11"/>
      <c r="B57" s="11" t="s">
        <v>408</v>
      </c>
      <c r="C57" s="14">
        <f>SUM(C55:C56)</f>
        <v>19351.265822784808</v>
      </c>
      <c r="D57" s="14"/>
      <c r="E57" s="14"/>
      <c r="O57" s="11"/>
      <c r="P57" s="11" t="s">
        <v>408</v>
      </c>
      <c r="Q57" s="14">
        <f>SUM(Q55:Q56)</f>
        <v>19351.265822784808</v>
      </c>
      <c r="R57" s="14"/>
      <c r="S57" s="14"/>
      <c r="AC57" s="11"/>
      <c r="AD57" s="11" t="s">
        <v>408</v>
      </c>
      <c r="AE57" s="14">
        <f>SUM(AE55:AE56)</f>
        <v>19351.265822784808</v>
      </c>
      <c r="AF57" s="14"/>
      <c r="AG57" s="14"/>
    </row>
    <row r="58" spans="1:33" ht="12.75">
      <c r="A58" s="11" t="s">
        <v>104</v>
      </c>
      <c r="B58" s="11" t="s">
        <v>105</v>
      </c>
      <c r="C58" s="14">
        <f>+C54/C57</f>
        <v>7124.203404552423</v>
      </c>
      <c r="D58" s="14">
        <v>0</v>
      </c>
      <c r="E58" s="14"/>
      <c r="O58" s="11" t="s">
        <v>104</v>
      </c>
      <c r="P58" s="11" t="s">
        <v>105</v>
      </c>
      <c r="Q58" s="14">
        <f>+Q54/Q57</f>
        <v>6983.07920536737</v>
      </c>
      <c r="R58" s="14">
        <v>0</v>
      </c>
      <c r="S58" s="14"/>
      <c r="AC58" s="11" t="s">
        <v>104</v>
      </c>
      <c r="AD58" s="11" t="s">
        <v>105</v>
      </c>
      <c r="AE58" s="14">
        <f>+AE54/AE57</f>
        <v>7547.57600210764</v>
      </c>
      <c r="AF58" s="14">
        <v>0</v>
      </c>
      <c r="AG58" s="14"/>
    </row>
    <row r="59" spans="1:33" ht="12.75">
      <c r="A59" s="11" t="s">
        <v>106</v>
      </c>
      <c r="B59" s="11" t="s">
        <v>107</v>
      </c>
      <c r="C59" s="14">
        <f>+C43+C58</f>
        <v>177560.75196559826</v>
      </c>
      <c r="D59" s="14">
        <f>D43+D58</f>
        <v>97026.338028169</v>
      </c>
      <c r="E59" s="14"/>
      <c r="O59" s="11" t="s">
        <v>106</v>
      </c>
      <c r="P59" s="11" t="s">
        <v>107</v>
      </c>
      <c r="Q59" s="14">
        <f>+Q43+Q58</f>
        <v>185009.17434712255</v>
      </c>
      <c r="R59" s="14">
        <f>R43+R58</f>
        <v>98452.39436619719</v>
      </c>
      <c r="S59" s="14"/>
      <c r="AC59" s="11" t="s">
        <v>106</v>
      </c>
      <c r="AD59" s="11" t="s">
        <v>107</v>
      </c>
      <c r="AE59" s="14">
        <f>+AE43+AE58</f>
        <v>155215.4848210252</v>
      </c>
      <c r="AF59" s="14">
        <f>AF43+AF58</f>
        <v>92748.1690140845</v>
      </c>
      <c r="AG59" s="14"/>
    </row>
    <row r="60" spans="1:33" ht="12.75">
      <c r="A60" s="11" t="s">
        <v>108</v>
      </c>
      <c r="B60" s="11" t="s">
        <v>109</v>
      </c>
      <c r="C60" s="31">
        <f>C59/C44</f>
        <v>12.81102106533898</v>
      </c>
      <c r="D60" s="31"/>
      <c r="E60" s="31"/>
      <c r="O60" s="11" t="s">
        <v>108</v>
      </c>
      <c r="P60" s="11" t="s">
        <v>109</v>
      </c>
      <c r="Q60" s="31">
        <f>Q59/Q44</f>
        <v>13.34842527757017</v>
      </c>
      <c r="R60" s="31"/>
      <c r="S60" s="31"/>
      <c r="AC60" s="11" t="s">
        <v>108</v>
      </c>
      <c r="AD60" s="11" t="s">
        <v>109</v>
      </c>
      <c r="AE60" s="31">
        <f>AE59/AE44</f>
        <v>11.198808428645396</v>
      </c>
      <c r="AF60" s="31"/>
      <c r="AG60" s="31"/>
    </row>
    <row r="61" spans="1:33" ht="12.75">
      <c r="A61" s="11" t="s">
        <v>110</v>
      </c>
      <c r="B61" s="11" t="s">
        <v>111</v>
      </c>
      <c r="C61" s="31">
        <f>0.0551483782*(C60)^3-0.0189486676*(C60)^4+0.0023287974*((C60)^5)-(0.0001133801*((C60)^6))+(0.0000018954*((C60)^7))</f>
        <v>15.283160256585518</v>
      </c>
      <c r="D61" s="31"/>
      <c r="E61" s="31"/>
      <c r="O61" s="11" t="s">
        <v>110</v>
      </c>
      <c r="P61" s="11" t="s">
        <v>111</v>
      </c>
      <c r="Q61" s="31">
        <f>0.0551483782*(Q60)^3-0.0189486676*(Q60)^4+0.0023287974*((Q60)^5)-(0.0001133801*((Q60)^6))+(0.0000018954*((Q60)^7))</f>
        <v>18.23994980157397</v>
      </c>
      <c r="R61" s="31"/>
      <c r="S61" s="31"/>
      <c r="AC61" s="11" t="s">
        <v>110</v>
      </c>
      <c r="AD61" s="11" t="s">
        <v>111</v>
      </c>
      <c r="AE61" s="31">
        <f>0.0551483782*(AE60)^3-0.0189486676*(AE60)^4+0.0023287974*((AE60)^5)-(0.0001133801*((AE60)^6))+(0.0000018954*((AE60)^7))</f>
        <v>7.836750358311775</v>
      </c>
      <c r="AF61" s="31"/>
      <c r="AG61" s="31"/>
    </row>
    <row r="62" spans="1:33" ht="12.75">
      <c r="A62" s="11" t="s">
        <v>112</v>
      </c>
      <c r="B62" s="11" t="s">
        <v>113</v>
      </c>
      <c r="C62" s="31">
        <f>1/((1/60)+C61/1000)</f>
        <v>31.299074088950015</v>
      </c>
      <c r="D62" s="31"/>
      <c r="E62" s="31"/>
      <c r="O62" s="11" t="s">
        <v>112</v>
      </c>
      <c r="P62" s="11" t="s">
        <v>113</v>
      </c>
      <c r="Q62" s="31">
        <f>1/((1/60)+Q61/1000)</f>
        <v>28.64786396326432</v>
      </c>
      <c r="R62" s="31"/>
      <c r="S62" s="31"/>
      <c r="AC62" s="11" t="s">
        <v>112</v>
      </c>
      <c r="AD62" s="11" t="s">
        <v>113</v>
      </c>
      <c r="AE62" s="31">
        <f>1/((1/60)+AE61/1000)</f>
        <v>40.81063465477545</v>
      </c>
      <c r="AF62" s="31"/>
      <c r="AG62" s="31"/>
    </row>
    <row r="63" spans="1:33" ht="12.75">
      <c r="A63" s="11" t="s">
        <v>114</v>
      </c>
      <c r="B63" s="11" t="s">
        <v>115</v>
      </c>
      <c r="C63" s="14">
        <f>(1/C62)*C15</f>
        <v>8955.50540811958</v>
      </c>
      <c r="D63" s="14"/>
      <c r="E63" s="14"/>
      <c r="O63" s="11" t="s">
        <v>114</v>
      </c>
      <c r="P63" s="11" t="s">
        <v>115</v>
      </c>
      <c r="Q63" s="14">
        <f>(1/Q62)*Q15</f>
        <v>10114.098191141138</v>
      </c>
      <c r="R63" s="14"/>
      <c r="S63" s="14"/>
      <c r="AC63" s="11" t="s">
        <v>114</v>
      </c>
      <c r="AD63" s="11" t="s">
        <v>115</v>
      </c>
      <c r="AE63" s="14">
        <f>(1/AE62)*AE15</f>
        <v>6173.73838827815</v>
      </c>
      <c r="AF63" s="14"/>
      <c r="AG63" s="14"/>
    </row>
    <row r="64" spans="1:33" ht="12.75">
      <c r="A64" s="11" t="s">
        <v>116</v>
      </c>
      <c r="B64" s="11" t="s">
        <v>117</v>
      </c>
      <c r="C64" s="14">
        <f>+C58/1000</f>
        <v>7.124203404552423</v>
      </c>
      <c r="D64" s="14"/>
      <c r="E64" s="14"/>
      <c r="O64" s="11" t="s">
        <v>116</v>
      </c>
      <c r="P64" s="11" t="s">
        <v>117</v>
      </c>
      <c r="Q64" s="14">
        <f>+Q58/1000</f>
        <v>6.98307920536737</v>
      </c>
      <c r="R64" s="14"/>
      <c r="S64" s="14"/>
      <c r="AC64" s="11" t="s">
        <v>116</v>
      </c>
      <c r="AD64" s="11" t="s">
        <v>117</v>
      </c>
      <c r="AE64" s="14">
        <f>+AE58/1000</f>
        <v>7.547576002107641</v>
      </c>
      <c r="AF64" s="14"/>
      <c r="AG64" s="14"/>
    </row>
    <row r="65" spans="1:33" ht="12.75">
      <c r="A65" s="11" t="s">
        <v>118</v>
      </c>
      <c r="B65" s="11" t="s">
        <v>119</v>
      </c>
      <c r="C65" s="14">
        <f>+C43/1000</f>
        <v>170.43654856104584</v>
      </c>
      <c r="D65" s="14"/>
      <c r="E65" s="14"/>
      <c r="O65" s="11" t="s">
        <v>118</v>
      </c>
      <c r="P65" s="11" t="s">
        <v>119</v>
      </c>
      <c r="Q65" s="14">
        <f>+Q43/1000</f>
        <v>178.02609514175518</v>
      </c>
      <c r="R65" s="14"/>
      <c r="S65" s="14"/>
      <c r="AC65" s="11" t="s">
        <v>118</v>
      </c>
      <c r="AD65" s="11" t="s">
        <v>119</v>
      </c>
      <c r="AE65" s="14">
        <f>+AE43/1000</f>
        <v>147.66790881891754</v>
      </c>
      <c r="AF65" s="14"/>
      <c r="AG65" s="14"/>
    </row>
    <row r="66" spans="1:33" ht="12.75">
      <c r="A66" s="11" t="s">
        <v>120</v>
      </c>
      <c r="B66" s="11" t="s">
        <v>121</v>
      </c>
      <c r="C66" s="14">
        <f>C63-C49</f>
        <v>740.3717580038374</v>
      </c>
      <c r="D66" s="14"/>
      <c r="E66" s="14"/>
      <c r="O66" s="11" t="s">
        <v>120</v>
      </c>
      <c r="P66" s="11" t="s">
        <v>121</v>
      </c>
      <c r="Q66" s="14">
        <f>Q63-Q49</f>
        <v>804.6894393326111</v>
      </c>
      <c r="R66" s="14"/>
      <c r="S66" s="14"/>
      <c r="AC66" s="11" t="s">
        <v>120</v>
      </c>
      <c r="AD66" s="11" t="s">
        <v>121</v>
      </c>
      <c r="AE66" s="14">
        <f>AE63-AE49</f>
        <v>476.9719984874009</v>
      </c>
      <c r="AF66" s="14"/>
      <c r="AG66" s="14"/>
    </row>
    <row r="67" spans="1:33" ht="12.75">
      <c r="A67" s="11" t="s">
        <v>122</v>
      </c>
      <c r="B67" s="11" t="s">
        <v>123</v>
      </c>
      <c r="C67" s="31">
        <f>C66/C64</f>
        <v>103.92344462410125</v>
      </c>
      <c r="D67" s="31"/>
      <c r="E67" s="31"/>
      <c r="O67" s="11" t="s">
        <v>122</v>
      </c>
      <c r="P67" s="11" t="s">
        <v>123</v>
      </c>
      <c r="Q67" s="31">
        <f>Q66/Q64</f>
        <v>115.23418475822335</v>
      </c>
      <c r="R67" s="31"/>
      <c r="S67" s="31"/>
      <c r="AC67" s="11" t="s">
        <v>122</v>
      </c>
      <c r="AD67" s="11" t="s">
        <v>123</v>
      </c>
      <c r="AE67" s="31">
        <f>AE66/AE64</f>
        <v>63.195388606117746</v>
      </c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>
        <f>C59/C24</f>
        <v>7658.466030200304</v>
      </c>
      <c r="D70" s="14">
        <f>D43/D24</f>
        <v>4184.893854018248</v>
      </c>
      <c r="E70" s="14"/>
      <c r="O70" s="11" t="s">
        <v>125</v>
      </c>
      <c r="P70" s="11" t="s">
        <v>126</v>
      </c>
      <c r="Q70" s="14">
        <f>Q59/Q24</f>
        <v>8477.754113741365</v>
      </c>
      <c r="R70" s="14">
        <f>R43/R24</f>
        <v>4511.425878422552</v>
      </c>
      <c r="S70" s="14"/>
      <c r="AC70" s="11" t="s">
        <v>125</v>
      </c>
      <c r="AD70" s="11" t="s">
        <v>126</v>
      </c>
      <c r="AE70" s="14">
        <f>AE59/AE24</f>
        <v>5365.880470276622</v>
      </c>
      <c r="AF70" s="14">
        <f>AF43/AF24</f>
        <v>3206.3526303237445</v>
      </c>
      <c r="AG70" s="14"/>
    </row>
    <row r="71" spans="1:33" ht="12.75">
      <c r="A71" s="11" t="s">
        <v>127</v>
      </c>
      <c r="B71" s="11" t="s">
        <v>128</v>
      </c>
      <c r="C71" s="14">
        <f>C59/C62</f>
        <v>5673.035293663374</v>
      </c>
      <c r="D71" s="14"/>
      <c r="E71" s="14"/>
      <c r="O71" s="11" t="s">
        <v>127</v>
      </c>
      <c r="P71" s="11" t="s">
        <v>128</v>
      </c>
      <c r="Q71" s="14">
        <f>Q59/Q62</f>
        <v>6458.044292040872</v>
      </c>
      <c r="R71" s="14"/>
      <c r="S71" s="14"/>
      <c r="AC71" s="11" t="s">
        <v>127</v>
      </c>
      <c r="AD71" s="11" t="s">
        <v>128</v>
      </c>
      <c r="AE71" s="14">
        <f>AE59/AE62</f>
        <v>3803.309753303792</v>
      </c>
      <c r="AF71" s="14"/>
      <c r="AG71" s="14"/>
    </row>
    <row r="72" spans="1:33" ht="12.75">
      <c r="A72" s="11" t="s">
        <v>129</v>
      </c>
      <c r="B72" s="11" t="s">
        <v>130</v>
      </c>
      <c r="C72" s="14">
        <f>C70-C71</f>
        <v>1985.4307365369295</v>
      </c>
      <c r="D72" s="14"/>
      <c r="E72" s="14"/>
      <c r="O72" s="11" t="s">
        <v>129</v>
      </c>
      <c r="P72" s="11" t="s">
        <v>130</v>
      </c>
      <c r="Q72" s="14">
        <f>Q70-Q71</f>
        <v>2019.7098217004923</v>
      </c>
      <c r="R72" s="14"/>
      <c r="S72" s="14"/>
      <c r="AC72" s="11" t="s">
        <v>129</v>
      </c>
      <c r="AD72" s="11" t="s">
        <v>130</v>
      </c>
      <c r="AE72" s="14">
        <f>AE70-AE71</f>
        <v>1562.5707169728298</v>
      </c>
      <c r="AF72" s="14"/>
      <c r="AG72" s="14"/>
    </row>
    <row r="73" spans="1:33" ht="12.75">
      <c r="A73" s="11" t="s">
        <v>131</v>
      </c>
      <c r="B73" s="11" t="s">
        <v>132</v>
      </c>
      <c r="C73" s="14">
        <f>C72/((+C67/1000)-(1/(+C7*C62)))</f>
        <v>7529.909792883788</v>
      </c>
      <c r="D73" s="14">
        <v>0</v>
      </c>
      <c r="E73" s="14"/>
      <c r="O73" s="11" t="s">
        <v>131</v>
      </c>
      <c r="P73" s="11" t="s">
        <v>132</v>
      </c>
      <c r="Q73" s="14">
        <f>Q72/((+Q67/1000)-(1/(+Q7*Q62)))</f>
        <v>6970.110329982434</v>
      </c>
      <c r="R73" s="14">
        <v>0</v>
      </c>
      <c r="S73" s="14"/>
      <c r="AC73" s="11" t="s">
        <v>131</v>
      </c>
      <c r="AD73" s="11" t="s">
        <v>132</v>
      </c>
      <c r="AE73" s="14">
        <f>AE72/((+AE67/1000)-(1/(+AE7*AE62)))</f>
        <v>8413.924415416983</v>
      </c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>
        <f>C59+C73</f>
        <v>185090.66175848205</v>
      </c>
      <c r="D75" s="14">
        <f>D59+D73</f>
        <v>97026.338028169</v>
      </c>
      <c r="E75" s="14">
        <f>SUM(C75:D75)</f>
        <v>282116.99978665105</v>
      </c>
      <c r="O75" s="11" t="s">
        <v>134</v>
      </c>
      <c r="P75" s="11" t="s">
        <v>135</v>
      </c>
      <c r="Q75" s="14">
        <f>Q59+Q73</f>
        <v>191979.284677105</v>
      </c>
      <c r="R75" s="14">
        <f>R59+R73</f>
        <v>98452.39436619719</v>
      </c>
      <c r="S75" s="14">
        <f>SUM(Q75:R75)</f>
        <v>290431.6790433022</v>
      </c>
      <c r="AC75" s="11" t="s">
        <v>134</v>
      </c>
      <c r="AD75" s="11" t="s">
        <v>135</v>
      </c>
      <c r="AE75" s="14">
        <f>AE59+AE73</f>
        <v>163629.40923644218</v>
      </c>
      <c r="AF75" s="14">
        <f>AF59+AF73</f>
        <v>92748.1690140845</v>
      </c>
      <c r="AG75" s="14">
        <f>SUM(AE75:AF75)</f>
        <v>256377.57825052668</v>
      </c>
    </row>
    <row r="76" spans="1:33" ht="12.75">
      <c r="A76" s="11" t="s">
        <v>136</v>
      </c>
      <c r="B76" s="11" t="s">
        <v>137</v>
      </c>
      <c r="C76" s="13">
        <f>(+C75-C15)/C15</f>
        <v>-0.3396671277835322</v>
      </c>
      <c r="D76" s="13"/>
      <c r="E76" s="13"/>
      <c r="O76" s="11" t="s">
        <v>136</v>
      </c>
      <c r="P76" s="11" t="s">
        <v>137</v>
      </c>
      <c r="Q76" s="13">
        <f>(+Q75-Q15)/Q15</f>
        <v>-0.3374251333707092</v>
      </c>
      <c r="R76" s="13"/>
      <c r="S76" s="13"/>
      <c r="AC76" s="11" t="s">
        <v>136</v>
      </c>
      <c r="AD76" s="11" t="s">
        <v>137</v>
      </c>
      <c r="AE76" s="13">
        <f>(+AE75-AE15)/AE15</f>
        <v>-0.35055886726848456</v>
      </c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>
        <f>C75/C44</f>
        <v>13.35430460017908</v>
      </c>
      <c r="D79" s="31"/>
      <c r="E79" s="31"/>
      <c r="O79" s="11" t="s">
        <v>139</v>
      </c>
      <c r="P79" s="11" t="s">
        <v>140</v>
      </c>
      <c r="Q79" s="31">
        <f>Q75/Q44</f>
        <v>13.851319240772366</v>
      </c>
      <c r="R79" s="31"/>
      <c r="S79" s="31"/>
      <c r="AC79" s="11" t="s">
        <v>139</v>
      </c>
      <c r="AD79" s="11" t="s">
        <v>140</v>
      </c>
      <c r="AE79" s="31">
        <f>AE75/AE44</f>
        <v>11.805873682282986</v>
      </c>
      <c r="AF79" s="31"/>
      <c r="AG79" s="31"/>
    </row>
    <row r="80" spans="1:33" ht="12.75">
      <c r="A80" s="11" t="s">
        <v>141</v>
      </c>
      <c r="B80" s="11" t="s">
        <v>142</v>
      </c>
      <c r="C80" s="31">
        <f>0.0551483782*(C79)^3-0.0189486676*(C79)^4+0.0023287974*((C79)^5)-(0.0001133801*((C79)^6))+(0.0000018954*((C79)^7))</f>
        <v>18.273131471633178</v>
      </c>
      <c r="D80" s="31"/>
      <c r="E80" s="31"/>
      <c r="O80" s="11" t="s">
        <v>141</v>
      </c>
      <c r="P80" s="11" t="s">
        <v>142</v>
      </c>
      <c r="Q80" s="31">
        <f>0.0551483782*(Q79)^3-0.0189486676*(Q79)^4+0.0023287974*((Q79)^5)-(0.0001133801*((Q79)^6))+(0.0000018954*((Q79)^7))</f>
        <v>21.11898565280248</v>
      </c>
      <c r="R80" s="31"/>
      <c r="S80" s="31"/>
      <c r="AC80" s="11" t="s">
        <v>141</v>
      </c>
      <c r="AD80" s="11" t="s">
        <v>142</v>
      </c>
      <c r="AE80" s="31">
        <f>0.0551483782*(AE79)^3-0.0189486676*(AE79)^4+0.0023287974*((AE79)^5)-(0.0001133801*((AE79)^6))+(0.0000018954*((AE79)^7))</f>
        <v>10.338277759917482</v>
      </c>
      <c r="AF80" s="31"/>
      <c r="AG80" s="31"/>
    </row>
    <row r="81" spans="1:33" ht="12.75">
      <c r="A81" s="11" t="s">
        <v>143</v>
      </c>
      <c r="B81" s="11" t="s">
        <v>144</v>
      </c>
      <c r="C81" s="31">
        <f>1/((1/60)+C80/1000)</f>
        <v>28.62065762491722</v>
      </c>
      <c r="D81" s="31">
        <v>60</v>
      </c>
      <c r="E81" s="31"/>
      <c r="O81" s="11" t="s">
        <v>143</v>
      </c>
      <c r="P81" s="11" t="s">
        <v>144</v>
      </c>
      <c r="Q81" s="31">
        <f>1/((1/60)+Q80/1000)</f>
        <v>26.465071756475872</v>
      </c>
      <c r="R81" s="31">
        <v>60</v>
      </c>
      <c r="S81" s="31"/>
      <c r="AC81" s="11" t="s">
        <v>143</v>
      </c>
      <c r="AD81" s="11" t="s">
        <v>144</v>
      </c>
      <c r="AE81" s="31">
        <f>1/((1/60)+AE80/1000)</f>
        <v>37.030255800696345</v>
      </c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>
        <f>C43/C81</f>
        <v>5955.0186021114805</v>
      </c>
      <c r="D82" s="14">
        <f>D43/D81</f>
        <v>1617.1056338028168</v>
      </c>
      <c r="E82" s="14"/>
      <c r="O82" s="11" t="s">
        <v>145</v>
      </c>
      <c r="P82" s="11" t="s">
        <v>146</v>
      </c>
      <c r="Q82" s="14">
        <f>Q43/Q81</f>
        <v>6726.8321348190975</v>
      </c>
      <c r="R82" s="14">
        <f>R43/R81</f>
        <v>1640.8732394366198</v>
      </c>
      <c r="S82" s="14"/>
      <c r="AC82" s="11" t="s">
        <v>145</v>
      </c>
      <c r="AD82" s="11" t="s">
        <v>146</v>
      </c>
      <c r="AE82" s="14">
        <f>AE43/AE81</f>
        <v>3987.7636712447634</v>
      </c>
      <c r="AF82" s="14">
        <f>AF43/AF81</f>
        <v>1545.8028169014083</v>
      </c>
      <c r="AG82" s="14"/>
    </row>
    <row r="83" spans="1:33" ht="12.75">
      <c r="A83" s="11" t="s">
        <v>147</v>
      </c>
      <c r="B83" s="11" t="s">
        <v>148</v>
      </c>
      <c r="C83" s="14">
        <f>C70-C82</f>
        <v>1703.4474280888235</v>
      </c>
      <c r="D83" s="14">
        <f>D70-D82</f>
        <v>2567.7882202154315</v>
      </c>
      <c r="E83" s="14"/>
      <c r="O83" s="11" t="s">
        <v>147</v>
      </c>
      <c r="P83" s="11" t="s">
        <v>148</v>
      </c>
      <c r="Q83" s="14">
        <f>Q70-Q82</f>
        <v>1750.921978922267</v>
      </c>
      <c r="R83" s="14">
        <f>R70-R82</f>
        <v>2870.5526389859324</v>
      </c>
      <c r="S83" s="14"/>
      <c r="AC83" s="11" t="s">
        <v>147</v>
      </c>
      <c r="AD83" s="11" t="s">
        <v>148</v>
      </c>
      <c r="AE83" s="14">
        <f>AE70-AE82</f>
        <v>1378.1167990318586</v>
      </c>
      <c r="AF83" s="14">
        <f>AF70-AF82</f>
        <v>1660.5498134223362</v>
      </c>
      <c r="AG83" s="14"/>
    </row>
    <row r="84" spans="1:33" ht="12.75">
      <c r="A84" s="11" t="s">
        <v>149</v>
      </c>
      <c r="B84" s="11" t="s">
        <v>150</v>
      </c>
      <c r="C84" s="31">
        <f>(+C83/C43)*60</f>
        <v>0.5996768096293714</v>
      </c>
      <c r="D84" s="31">
        <f>(+D83/D43)*60</f>
        <v>1.5878914565259237</v>
      </c>
      <c r="E84" s="31"/>
      <c r="O84" s="11" t="s">
        <v>149</v>
      </c>
      <c r="P84" s="11" t="s">
        <v>150</v>
      </c>
      <c r="Q84" s="31">
        <f>(+Q83/Q43)*60</f>
        <v>0.5901119083226793</v>
      </c>
      <c r="R84" s="31">
        <f>(+R83/R43)*60</f>
        <v>1.7494054811762991</v>
      </c>
      <c r="S84" s="31"/>
      <c r="AC84" s="11" t="s">
        <v>149</v>
      </c>
      <c r="AD84" s="11" t="s">
        <v>150</v>
      </c>
      <c r="AE84" s="31">
        <f>(+AE83/AE43)*60</f>
        <v>0.5599524541470217</v>
      </c>
      <c r="AF84" s="31">
        <f>(+AF83/AF43)*60</f>
        <v>1.0742313283856868</v>
      </c>
      <c r="AG84" s="31"/>
    </row>
    <row r="85" spans="1:33" ht="12.75">
      <c r="A85" s="11"/>
      <c r="B85" s="11" t="s">
        <v>151</v>
      </c>
      <c r="C85" s="35">
        <f>+'mode ch'!F152</f>
        <v>1.2708662532084287</v>
      </c>
      <c r="D85" s="35">
        <f>+'mode ch'!F145</f>
        <v>1.6546643562750207</v>
      </c>
      <c r="E85" s="31"/>
      <c r="O85" s="11"/>
      <c r="P85" s="11" t="s">
        <v>151</v>
      </c>
      <c r="Q85" s="35">
        <f>+'mode ch'!T152</f>
        <v>1.2687239852833985</v>
      </c>
      <c r="R85" s="35">
        <f>+'mode ch'!T145</f>
        <v>1.6669294183391106</v>
      </c>
      <c r="S85" s="31"/>
      <c r="AC85" s="11"/>
      <c r="AD85" s="11" t="s">
        <v>151</v>
      </c>
      <c r="AE85" s="35">
        <f>+'mode ch'!AH152</f>
        <v>1.2785266851652777</v>
      </c>
      <c r="AF85" s="35">
        <f>+'mode ch'!AH145</f>
        <v>1.615606181647026</v>
      </c>
      <c r="AG85" s="31"/>
    </row>
    <row r="86" spans="1:33" ht="12.75">
      <c r="A86" s="11"/>
      <c r="B86" s="11" t="s">
        <v>152</v>
      </c>
      <c r="C86" s="31">
        <f>+C85*C83</f>
        <v>2164.8538504727776</v>
      </c>
      <c r="D86" s="31">
        <f>+D85*D83</f>
        <v>4248.827642453348</v>
      </c>
      <c r="E86" s="31"/>
      <c r="O86" s="11"/>
      <c r="P86" s="11" t="s">
        <v>152</v>
      </c>
      <c r="Q86" s="31">
        <f>+Q85*Q83</f>
        <v>2221.436711018553</v>
      </c>
      <c r="R86" s="31">
        <f>+R85*R83</f>
        <v>4785.008640816619</v>
      </c>
      <c r="S86" s="31"/>
      <c r="AC86" s="11"/>
      <c r="AD86" s="11" t="s">
        <v>152</v>
      </c>
      <c r="AE86" s="31">
        <f>+AE85*AE83</f>
        <v>1761.9591028367854</v>
      </c>
      <c r="AF86" s="31">
        <f>+AF85*AF83</f>
        <v>2682.794543497942</v>
      </c>
      <c r="AG86" s="31"/>
    </row>
    <row r="87" spans="1:33" ht="12.75">
      <c r="A87" s="11" t="s">
        <v>153</v>
      </c>
      <c r="B87" s="11" t="s">
        <v>154</v>
      </c>
      <c r="C87" s="36">
        <f>+'Sensitivity Anal'!B5</f>
        <v>9</v>
      </c>
      <c r="D87" s="36">
        <f>+C87</f>
        <v>9</v>
      </c>
      <c r="E87" s="36"/>
      <c r="O87" s="11" t="s">
        <v>153</v>
      </c>
      <c r="P87" s="11" t="s">
        <v>154</v>
      </c>
      <c r="Q87" s="36">
        <f>+C87</f>
        <v>9</v>
      </c>
      <c r="R87" s="36">
        <f>+C87</f>
        <v>9</v>
      </c>
      <c r="S87" s="36"/>
      <c r="AC87" s="11" t="s">
        <v>153</v>
      </c>
      <c r="AD87" s="11" t="s">
        <v>154</v>
      </c>
      <c r="AE87" s="36">
        <f>+C87</f>
        <v>9</v>
      </c>
      <c r="AF87" s="36">
        <f>+AE87</f>
        <v>9</v>
      </c>
      <c r="AG87" s="36"/>
    </row>
    <row r="88" spans="1:33" ht="12.75">
      <c r="A88" s="11" t="s">
        <v>155</v>
      </c>
      <c r="B88" s="11" t="s">
        <v>156</v>
      </c>
      <c r="C88" s="37">
        <f>C86*C87</f>
        <v>19483.684654254997</v>
      </c>
      <c r="D88" s="37">
        <f>D86*D87</f>
        <v>38239.44878208013</v>
      </c>
      <c r="E88" s="37"/>
      <c r="O88" s="11" t="s">
        <v>155</v>
      </c>
      <c r="P88" s="11" t="s">
        <v>156</v>
      </c>
      <c r="Q88" s="37">
        <f>Q86*Q87</f>
        <v>19992.930399166977</v>
      </c>
      <c r="R88" s="37">
        <f>R86*R87</f>
        <v>43065.07776734957</v>
      </c>
      <c r="S88" s="37"/>
      <c r="AC88" s="11" t="s">
        <v>155</v>
      </c>
      <c r="AD88" s="11" t="s">
        <v>156</v>
      </c>
      <c r="AE88" s="37">
        <f>AE86*AE87</f>
        <v>15857.631925531068</v>
      </c>
      <c r="AF88" s="37">
        <f>AF86*AF87</f>
        <v>24145.150891481477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>
        <f>C58</f>
        <v>7124.203404552423</v>
      </c>
      <c r="D91" s="14">
        <f>D58</f>
        <v>0</v>
      </c>
      <c r="E91" s="14"/>
      <c r="O91" s="11" t="s">
        <v>158</v>
      </c>
      <c r="P91" s="11" t="s">
        <v>159</v>
      </c>
      <c r="Q91" s="14">
        <f>Q58</f>
        <v>6983.07920536737</v>
      </c>
      <c r="R91" s="14">
        <f>R58</f>
        <v>0</v>
      </c>
      <c r="S91" s="14"/>
      <c r="AC91" s="11" t="s">
        <v>158</v>
      </c>
      <c r="AD91" s="11" t="s">
        <v>159</v>
      </c>
      <c r="AE91" s="14">
        <f>AE58</f>
        <v>7547.57600210764</v>
      </c>
      <c r="AF91" s="14">
        <f>AF58</f>
        <v>0</v>
      </c>
      <c r="AG91" s="14"/>
    </row>
    <row r="92" spans="1:33" ht="12.75">
      <c r="A92" s="11" t="s">
        <v>160</v>
      </c>
      <c r="B92" s="11" t="s">
        <v>161</v>
      </c>
      <c r="C92" s="31">
        <f>C101</f>
        <v>0.2998384048146857</v>
      </c>
      <c r="D92" s="31">
        <f>D101</f>
        <v>0.7939457282629618</v>
      </c>
      <c r="E92" s="31"/>
      <c r="O92" s="11" t="s">
        <v>160</v>
      </c>
      <c r="P92" s="11" t="s">
        <v>161</v>
      </c>
      <c r="Q92" s="31">
        <f>Q101</f>
        <v>0.2950559541613397</v>
      </c>
      <c r="R92" s="31">
        <f>R101</f>
        <v>0.8747027405881496</v>
      </c>
      <c r="S92" s="31"/>
      <c r="AC92" s="11" t="s">
        <v>160</v>
      </c>
      <c r="AD92" s="11" t="s">
        <v>161</v>
      </c>
      <c r="AE92" s="31">
        <f>AE101</f>
        <v>0.27997622707351083</v>
      </c>
      <c r="AF92" s="31">
        <f>AF101</f>
        <v>0.5371156641928434</v>
      </c>
      <c r="AG92" s="31"/>
    </row>
    <row r="93" spans="1:33" ht="12.75">
      <c r="A93" s="11" t="s">
        <v>162</v>
      </c>
      <c r="B93" s="11" t="s">
        <v>163</v>
      </c>
      <c r="C93" s="31">
        <f>(+C91*C92)/60</f>
        <v>35.60182973993919</v>
      </c>
      <c r="D93" s="31">
        <f>(+D91*D92)/60</f>
        <v>0</v>
      </c>
      <c r="E93" s="31"/>
      <c r="O93" s="11" t="s">
        <v>162</v>
      </c>
      <c r="P93" s="11" t="s">
        <v>163</v>
      </c>
      <c r="Q93" s="31">
        <f>(+Q91*Q92)/60</f>
        <v>34.33998496539799</v>
      </c>
      <c r="R93" s="31">
        <f>(+R91*R92)/60</f>
        <v>0</v>
      </c>
      <c r="S93" s="31"/>
      <c r="AC93" s="11" t="s">
        <v>162</v>
      </c>
      <c r="AD93" s="11" t="s">
        <v>163</v>
      </c>
      <c r="AE93" s="31">
        <f>(+AE91*AE92)/60</f>
        <v>35.219030877011164</v>
      </c>
      <c r="AF93" s="31">
        <f>(+AF91*AF92)/60</f>
        <v>0</v>
      </c>
      <c r="AG93" s="31"/>
    </row>
    <row r="94" spans="1:33" ht="12.75">
      <c r="A94" s="11"/>
      <c r="B94" s="11" t="s">
        <v>151</v>
      </c>
      <c r="C94" s="31">
        <f>+C85</f>
        <v>1.2708662532084287</v>
      </c>
      <c r="D94" s="31">
        <f>+D85</f>
        <v>1.6546643562750207</v>
      </c>
      <c r="E94" s="31"/>
      <c r="O94" s="11"/>
      <c r="P94" s="11" t="s">
        <v>151</v>
      </c>
      <c r="Q94" s="31">
        <f>+Q85</f>
        <v>1.2687239852833985</v>
      </c>
      <c r="R94" s="31">
        <f>+R85</f>
        <v>1.6669294183391106</v>
      </c>
      <c r="S94" s="31"/>
      <c r="AC94" s="11"/>
      <c r="AD94" s="11" t="s">
        <v>151</v>
      </c>
      <c r="AE94" s="31">
        <f>+AE85</f>
        <v>1.2785266851652777</v>
      </c>
      <c r="AF94" s="31">
        <f>+AF85</f>
        <v>1.615606181647026</v>
      </c>
      <c r="AG94" s="31"/>
    </row>
    <row r="95" spans="1:33" ht="12.75">
      <c r="A95" s="11"/>
      <c r="B95" s="11" t="s">
        <v>152</v>
      </c>
      <c r="C95" s="31">
        <f>+C94*C93</f>
        <v>45.24516396896093</v>
      </c>
      <c r="D95" s="31">
        <f>+D94*D93</f>
        <v>0</v>
      </c>
      <c r="E95" s="31"/>
      <c r="O95" s="11"/>
      <c r="P95" s="11" t="s">
        <v>152</v>
      </c>
      <c r="Q95" s="31">
        <f>+Q94*Q93</f>
        <v>43.567962579871725</v>
      </c>
      <c r="R95" s="31">
        <f>+R94*R93</f>
        <v>0</v>
      </c>
      <c r="S95" s="31"/>
      <c r="AC95" s="11"/>
      <c r="AD95" s="11" t="s">
        <v>152</v>
      </c>
      <c r="AE95" s="31">
        <f>+AE94*AE93</f>
        <v>45.028470801918644</v>
      </c>
      <c r="AF95" s="31">
        <f>+AF94*AF93</f>
        <v>0</v>
      </c>
      <c r="AG95" s="31"/>
    </row>
    <row r="96" spans="1:33" ht="12.75">
      <c r="A96" s="11" t="s">
        <v>164</v>
      </c>
      <c r="B96" s="11" t="s">
        <v>154</v>
      </c>
      <c r="C96" s="38">
        <f>C87</f>
        <v>9</v>
      </c>
      <c r="D96" s="38">
        <f>D87</f>
        <v>9</v>
      </c>
      <c r="E96" s="38"/>
      <c r="O96" s="11" t="s">
        <v>164</v>
      </c>
      <c r="P96" s="11" t="s">
        <v>154</v>
      </c>
      <c r="Q96" s="38">
        <f>Q87</f>
        <v>9</v>
      </c>
      <c r="R96" s="38">
        <f>R87</f>
        <v>9</v>
      </c>
      <c r="S96" s="38"/>
      <c r="AC96" s="11" t="s">
        <v>164</v>
      </c>
      <c r="AD96" s="11" t="s">
        <v>154</v>
      </c>
      <c r="AE96" s="38">
        <f>AE87</f>
        <v>9</v>
      </c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>
        <f>C95*C96</f>
        <v>407.20647572064837</v>
      </c>
      <c r="D97" s="37">
        <f>D95*D96</f>
        <v>0</v>
      </c>
      <c r="E97" s="37"/>
      <c r="O97" s="11" t="s">
        <v>165</v>
      </c>
      <c r="P97" s="11" t="s">
        <v>156</v>
      </c>
      <c r="Q97" s="37">
        <f>Q95*Q96</f>
        <v>392.11166321884554</v>
      </c>
      <c r="R97" s="37">
        <f>R95*R96</f>
        <v>0</v>
      </c>
      <c r="S97" s="37"/>
      <c r="AC97" s="11" t="s">
        <v>165</v>
      </c>
      <c r="AD97" s="11" t="s">
        <v>156</v>
      </c>
      <c r="AE97" s="37">
        <f>AE95*AE96</f>
        <v>405.25623721726777</v>
      </c>
      <c r="AF97" s="37">
        <f>AF95*AF96</f>
        <v>0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>
        <f>C73</f>
        <v>7529.909792883788</v>
      </c>
      <c r="D100" s="14">
        <f>D73</f>
        <v>0</v>
      </c>
      <c r="E100" s="14"/>
      <c r="O100" s="11" t="s">
        <v>167</v>
      </c>
      <c r="P100" s="11" t="s">
        <v>132</v>
      </c>
      <c r="Q100" s="14">
        <f>Q73</f>
        <v>6970.110329982434</v>
      </c>
      <c r="R100" s="14">
        <f>R73</f>
        <v>0</v>
      </c>
      <c r="S100" s="14"/>
      <c r="AC100" s="11" t="s">
        <v>167</v>
      </c>
      <c r="AD100" s="11" t="s">
        <v>132</v>
      </c>
      <c r="AE100" s="14">
        <f>AE73</f>
        <v>8413.924415416983</v>
      </c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>
        <f>C84/2</f>
        <v>0.2998384048146857</v>
      </c>
      <c r="D101" s="31">
        <f>D84/2</f>
        <v>0.7939457282629618</v>
      </c>
      <c r="E101" s="31"/>
      <c r="O101" s="11" t="s">
        <v>168</v>
      </c>
      <c r="P101" s="11" t="s">
        <v>169</v>
      </c>
      <c r="Q101" s="31">
        <f>Q84/2</f>
        <v>0.2950559541613397</v>
      </c>
      <c r="R101" s="31">
        <f>R84/2</f>
        <v>0.8747027405881496</v>
      </c>
      <c r="S101" s="31"/>
      <c r="AC101" s="11" t="s">
        <v>168</v>
      </c>
      <c r="AD101" s="11" t="s">
        <v>169</v>
      </c>
      <c r="AE101" s="31">
        <f>AE84/2</f>
        <v>0.27997622707351083</v>
      </c>
      <c r="AF101" s="31">
        <f>AF84/2</f>
        <v>0.5371156641928434</v>
      </c>
      <c r="AG101" s="31"/>
    </row>
    <row r="102" spans="1:33" ht="12.75">
      <c r="A102" s="11" t="s">
        <v>170</v>
      </c>
      <c r="B102" s="11" t="s">
        <v>171</v>
      </c>
      <c r="C102" s="31">
        <f>(+C100*C101)/60</f>
        <v>37.62926901161259</v>
      </c>
      <c r="D102" s="31">
        <f>(+D100*D101)/60</f>
        <v>0</v>
      </c>
      <c r="E102" s="31"/>
      <c r="O102" s="11" t="s">
        <v>170</v>
      </c>
      <c r="P102" s="11" t="s">
        <v>171</v>
      </c>
      <c r="Q102" s="31">
        <f>(+Q100*Q101)/60</f>
        <v>34.276209233712954</v>
      </c>
      <c r="R102" s="31">
        <f>(+R100*R101)/60</f>
        <v>0</v>
      </c>
      <c r="S102" s="31"/>
      <c r="AC102" s="11" t="s">
        <v>170</v>
      </c>
      <c r="AD102" s="11" t="s">
        <v>171</v>
      </c>
      <c r="AE102" s="31">
        <f>(+AE100*AE101)/60</f>
        <v>39.26164687850237</v>
      </c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>
        <f>+C94</f>
        <v>1.2708662532084287</v>
      </c>
      <c r="D103" s="31">
        <f>+D94</f>
        <v>1.6546643562750207</v>
      </c>
      <c r="E103" s="31"/>
      <c r="O103" s="11"/>
      <c r="P103" s="11" t="s">
        <v>151</v>
      </c>
      <c r="Q103" s="31">
        <f>+Q94</f>
        <v>1.2687239852833985</v>
      </c>
      <c r="R103" s="31">
        <f>+R94</f>
        <v>1.6669294183391106</v>
      </c>
      <c r="S103" s="31"/>
      <c r="AC103" s="11"/>
      <c r="AD103" s="11" t="s">
        <v>151</v>
      </c>
      <c r="AE103" s="31">
        <f>+AE94</f>
        <v>1.2785266851652777</v>
      </c>
      <c r="AF103" s="31">
        <f>+AF94</f>
        <v>1.615606181647026</v>
      </c>
      <c r="AG103" s="31"/>
    </row>
    <row r="104" spans="1:33" ht="12.75">
      <c r="A104" s="11"/>
      <c r="B104" s="11" t="s">
        <v>152</v>
      </c>
      <c r="C104" s="31">
        <f>+C103*C102</f>
        <v>47.82176811976013</v>
      </c>
      <c r="D104" s="31">
        <f>+D103*D102</f>
        <v>0</v>
      </c>
      <c r="E104" s="31"/>
      <c r="O104" s="11"/>
      <c r="P104" s="11" t="s">
        <v>152</v>
      </c>
      <c r="Q104" s="31">
        <f>+Q103*Q102</f>
        <v>43.48704877940392</v>
      </c>
      <c r="R104" s="31">
        <f>+R103*R102</f>
        <v>0</v>
      </c>
      <c r="S104" s="31"/>
      <c r="AC104" s="11"/>
      <c r="AD104" s="11" t="s">
        <v>152</v>
      </c>
      <c r="AE104" s="31">
        <f>+AE103*AE102</f>
        <v>50.19706323770131</v>
      </c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>
        <f>C87</f>
        <v>9</v>
      </c>
      <c r="D105" s="38">
        <f>D87</f>
        <v>9</v>
      </c>
      <c r="E105" s="38"/>
      <c r="O105" s="11" t="s">
        <v>172</v>
      </c>
      <c r="P105" s="11" t="s">
        <v>154</v>
      </c>
      <c r="Q105" s="38">
        <f>Q87</f>
        <v>9</v>
      </c>
      <c r="R105" s="38">
        <f>R87</f>
        <v>9</v>
      </c>
      <c r="S105" s="38"/>
      <c r="AC105" s="11" t="s">
        <v>172</v>
      </c>
      <c r="AD105" s="11" t="s">
        <v>154</v>
      </c>
      <c r="AE105" s="38">
        <f>AE87</f>
        <v>9</v>
      </c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>
        <f>C104*C105</f>
        <v>430.39591307784116</v>
      </c>
      <c r="D106" s="37">
        <f>D104*D105</f>
        <v>0</v>
      </c>
      <c r="E106" s="37"/>
      <c r="O106" s="11" t="s">
        <v>173</v>
      </c>
      <c r="P106" s="11" t="s">
        <v>156</v>
      </c>
      <c r="Q106" s="37">
        <f>Q104*Q105</f>
        <v>391.3834390146353</v>
      </c>
      <c r="R106" s="37">
        <f>R104*R105</f>
        <v>0</v>
      </c>
      <c r="S106" s="37"/>
      <c r="AC106" s="11" t="s">
        <v>173</v>
      </c>
      <c r="AD106" s="11" t="s">
        <v>156</v>
      </c>
      <c r="AE106" s="37">
        <f>AE104*AE105</f>
        <v>451.77356913931175</v>
      </c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>
        <f>+C88+C97+C106</f>
        <v>20321.28704305349</v>
      </c>
      <c r="D108" s="37">
        <f>+D88+D97+D106</f>
        <v>38239.44878208013</v>
      </c>
      <c r="E108" s="37">
        <f>SUM(C108:D108)</f>
        <v>58560.73582513362</v>
      </c>
      <c r="O108" s="11"/>
      <c r="P108" s="11" t="s">
        <v>391</v>
      </c>
      <c r="Q108" s="37">
        <f>+Q88+Q97+Q106</f>
        <v>20776.42550140046</v>
      </c>
      <c r="R108" s="37">
        <f>+R88+R97+R106</f>
        <v>43065.07776734957</v>
      </c>
      <c r="S108" s="37">
        <f>SUM(Q108:R108)</f>
        <v>63841.50326875003</v>
      </c>
      <c r="AC108" s="11"/>
      <c r="AD108" s="11" t="s">
        <v>391</v>
      </c>
      <c r="AE108" s="37">
        <f>+AE88+AE97+AE106</f>
        <v>16714.661731887645</v>
      </c>
      <c r="AF108" s="37">
        <f>+AF88+AF97+AF106</f>
        <v>24145.150891481477</v>
      </c>
      <c r="AG108" s="37">
        <f>SUM(AE108:AF108)</f>
        <v>40859.81262336912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3846.8934669525515</v>
      </c>
      <c r="D117" s="14"/>
      <c r="E117" s="14"/>
      <c r="O117" s="11" t="s">
        <v>180</v>
      </c>
      <c r="P117" s="11" t="s">
        <v>181</v>
      </c>
      <c r="Q117" s="14">
        <f>(1/Q116)*Q121</f>
        <v>4189.3742458598845</v>
      </c>
      <c r="R117" s="14"/>
      <c r="S117" s="14"/>
      <c r="AC117" s="11" t="s">
        <v>180</v>
      </c>
      <c r="AD117" s="11" t="s">
        <v>181</v>
      </c>
      <c r="AE117" s="14">
        <f>(1/AE116)*AE121</f>
        <v>2963.6224826278185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C58</f>
        <v>7124.203404552423</v>
      </c>
      <c r="D120" s="14"/>
      <c r="E120" s="14"/>
      <c r="O120" s="11" t="s">
        <v>182</v>
      </c>
      <c r="P120" s="11" t="s">
        <v>183</v>
      </c>
      <c r="Q120" s="14">
        <f>Q58</f>
        <v>6983.07920536737</v>
      </c>
      <c r="R120" s="14"/>
      <c r="S120" s="14"/>
      <c r="AC120" s="11" t="s">
        <v>182</v>
      </c>
      <c r="AD120" s="11" t="s">
        <v>183</v>
      </c>
      <c r="AE120" s="14">
        <f>AE58</f>
        <v>7547.57600210764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46266.08750453849</v>
      </c>
      <c r="D121" s="14"/>
      <c r="E121" s="14"/>
      <c r="O121" s="11" t="s">
        <v>184</v>
      </c>
      <c r="P121" s="11" t="s">
        <v>185</v>
      </c>
      <c r="Q121" s="14">
        <f>Q16-Q120</f>
        <v>48206.88443099627</v>
      </c>
      <c r="R121" s="14"/>
      <c r="S121" s="14"/>
      <c r="AC121" s="11" t="s">
        <v>184</v>
      </c>
      <c r="AD121" s="11" t="s">
        <v>185</v>
      </c>
      <c r="AE121" s="14">
        <f>AE16-AE120</f>
        <v>40443.69672516509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11.566521876134622</v>
      </c>
      <c r="D122" s="31"/>
      <c r="E122" s="31"/>
      <c r="O122" s="11" t="s">
        <v>186</v>
      </c>
      <c r="P122" s="11" t="s">
        <v>187</v>
      </c>
      <c r="Q122" s="31">
        <f>Q121/Q114</f>
        <v>12.051721107749069</v>
      </c>
      <c r="R122" s="31"/>
      <c r="S122" s="31"/>
      <c r="AC122" s="11" t="s">
        <v>186</v>
      </c>
      <c r="AD122" s="11" t="s">
        <v>187</v>
      </c>
      <c r="AE122" s="31">
        <f>AE121/AE114</f>
        <v>10.110924181291272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45.59167528953118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48.629429882646235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38.134398598052776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324.8043683169266</v>
      </c>
      <c r="D124" s="31"/>
      <c r="E124" s="31"/>
      <c r="O124" s="11" t="s">
        <v>190</v>
      </c>
      <c r="P124" s="11" t="s">
        <v>191</v>
      </c>
      <c r="Q124" s="31">
        <f>Q120*Q123/1000</f>
        <v>339.5831605823775</v>
      </c>
      <c r="R124" s="31"/>
      <c r="S124" s="31"/>
      <c r="AC124" s="11" t="s">
        <v>190</v>
      </c>
      <c r="AD124" s="11" t="s">
        <v>191</v>
      </c>
      <c r="AE124" s="31">
        <f>AE120*AE123/1000</f>
        <v>287.8222717134704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14.165976312341478</v>
      </c>
      <c r="D125" s="31"/>
      <c r="E125" s="31"/>
      <c r="O125" s="11" t="s">
        <v>192</v>
      </c>
      <c r="P125" s="11" t="s">
        <v>193</v>
      </c>
      <c r="Q125" s="31">
        <f>1/((1/40)+(Q123/1000))</f>
        <v>13.581525778399252</v>
      </c>
      <c r="R125" s="31"/>
      <c r="S125" s="31"/>
      <c r="AC125" s="11" t="s">
        <v>192</v>
      </c>
      <c r="AD125" s="11" t="s">
        <v>193</v>
      </c>
      <c r="AE125" s="31">
        <f>1/((1/40)+(AE123/1000))</f>
        <v>15.839225876950737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3266.000626037417</v>
      </c>
      <c r="D126" s="14"/>
      <c r="E126" s="14"/>
      <c r="O126" s="11" t="s">
        <v>194</v>
      </c>
      <c r="P126" s="11" t="s">
        <v>195</v>
      </c>
      <c r="Q126" s="14">
        <f>(1/Q125)*Q121</f>
        <v>3549.4454170728704</v>
      </c>
      <c r="R126" s="14"/>
      <c r="S126" s="14"/>
      <c r="AC126" s="11" t="s">
        <v>194</v>
      </c>
      <c r="AD126" s="11" t="s">
        <v>195</v>
      </c>
      <c r="AE126" s="14">
        <f>(1/AE125)*AE121</f>
        <v>2553.388469825335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7.124203404552423</v>
      </c>
      <c r="D127" s="14"/>
      <c r="E127" s="14"/>
      <c r="O127" s="11" t="s">
        <v>196</v>
      </c>
      <c r="P127" s="11" t="s">
        <v>197</v>
      </c>
      <c r="Q127" s="14">
        <f>Q120/1000</f>
        <v>6.98307920536737</v>
      </c>
      <c r="R127" s="14"/>
      <c r="S127" s="14"/>
      <c r="AC127" s="11" t="s">
        <v>196</v>
      </c>
      <c r="AD127" s="11" t="s">
        <v>197</v>
      </c>
      <c r="AE127" s="14">
        <f>AE120/1000</f>
        <v>7.547576002107641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46.26608750453849</v>
      </c>
      <c r="D128" s="14"/>
      <c r="E128" s="14"/>
      <c r="O128" s="11" t="s">
        <v>198</v>
      </c>
      <c r="P128" s="11" t="s">
        <v>199</v>
      </c>
      <c r="Q128" s="14">
        <f>Q121/1000</f>
        <v>48.206884430996276</v>
      </c>
      <c r="R128" s="14"/>
      <c r="S128" s="14"/>
      <c r="AC128" s="11" t="s">
        <v>198</v>
      </c>
      <c r="AD128" s="11" t="s">
        <v>199</v>
      </c>
      <c r="AE128" s="14">
        <f>AE121/1000</f>
        <v>40.44369672516509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580.8928409151345</v>
      </c>
      <c r="D129" s="14"/>
      <c r="E129" s="14"/>
      <c r="O129" s="11" t="s">
        <v>200</v>
      </c>
      <c r="P129" s="11" t="s">
        <v>201</v>
      </c>
      <c r="Q129" s="14">
        <f>Q117-Q126</f>
        <v>639.928828787014</v>
      </c>
      <c r="R129" s="14"/>
      <c r="S129" s="14"/>
      <c r="AC129" s="11" t="s">
        <v>200</v>
      </c>
      <c r="AD129" s="11" t="s">
        <v>201</v>
      </c>
      <c r="AE129" s="14">
        <f>AE117-AE126</f>
        <v>410.23401280248345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81.5379359528027</v>
      </c>
      <c r="D130" s="31"/>
      <c r="E130" s="31"/>
      <c r="O130" s="11" t="s">
        <v>202</v>
      </c>
      <c r="P130" s="11" t="s">
        <v>203</v>
      </c>
      <c r="Q130" s="31">
        <f>Q129/Q127</f>
        <v>91.6399212964889</v>
      </c>
      <c r="R130" s="31"/>
      <c r="S130" s="31"/>
      <c r="AC130" s="11" t="s">
        <v>202</v>
      </c>
      <c r="AD130" s="11" t="s">
        <v>203</v>
      </c>
      <c r="AE130" s="31">
        <f>AE129/AE127</f>
        <v>54.35308139830943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747.5422898815465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738.5661368385204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777.8453181559812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47013.629794420034</v>
      </c>
      <c r="D135" s="14"/>
      <c r="E135" s="14"/>
      <c r="O135" s="11" t="s">
        <v>207</v>
      </c>
      <c r="P135" s="11" t="s">
        <v>208</v>
      </c>
      <c r="Q135" s="14">
        <f>Q121+Q133</f>
        <v>48945.45056783479</v>
      </c>
      <c r="R135" s="14"/>
      <c r="S135" s="14"/>
      <c r="AC135" s="11" t="s">
        <v>207</v>
      </c>
      <c r="AD135" s="11" t="s">
        <v>208</v>
      </c>
      <c r="AE135" s="14">
        <f>AE121+AE133</f>
        <v>41221.542043321075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-0.11943484491456685</v>
      </c>
      <c r="D136" s="13"/>
      <c r="E136" s="13"/>
      <c r="O136" s="11" t="s">
        <v>209</v>
      </c>
      <c r="P136" s="11" t="s">
        <v>210</v>
      </c>
      <c r="Q136" s="13">
        <f>(+Q135-Q16)/Q16</f>
        <v>-0.1131458087139318</v>
      </c>
      <c r="R136" s="13"/>
      <c r="S136" s="13"/>
      <c r="AC136" s="11" t="s">
        <v>209</v>
      </c>
      <c r="AD136" s="11" t="s">
        <v>210</v>
      </c>
      <c r="AE136" s="13">
        <f>(+AE135-AE16)/AE16</f>
        <v>-0.14106170349811378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C75+C135</f>
        <v>232104.29155290208</v>
      </c>
      <c r="D138" s="14"/>
      <c r="E138" s="14">
        <f>SUM(C138:D138)</f>
        <v>232104.29155290208</v>
      </c>
      <c r="O138" s="11" t="s">
        <v>213</v>
      </c>
      <c r="P138" s="11" t="s">
        <v>214</v>
      </c>
      <c r="Q138" s="14">
        <f>Q75+Q135</f>
        <v>240924.7352449398</v>
      </c>
      <c r="R138" s="14"/>
      <c r="S138" s="14">
        <f>SUM(Q138:R138)</f>
        <v>240924.7352449398</v>
      </c>
      <c r="AC138" s="11" t="s">
        <v>213</v>
      </c>
      <c r="AD138" s="11" t="s">
        <v>214</v>
      </c>
      <c r="AE138" s="14">
        <f>AE75+AE135</f>
        <v>204850.95127976325</v>
      </c>
      <c r="AF138" s="14"/>
      <c r="AG138" s="14">
        <f>SUM(AE138:AF138)</f>
        <v>204850.95127976325</v>
      </c>
    </row>
    <row r="139" spans="1:33" ht="12.75">
      <c r="A139" s="11" t="s">
        <v>215</v>
      </c>
      <c r="B139" s="11" t="s">
        <v>216</v>
      </c>
      <c r="C139" s="13">
        <f>(+C138-C137)/C138</f>
        <v>-0.437669747290142</v>
      </c>
      <c r="D139" s="13"/>
      <c r="E139" s="13"/>
      <c r="O139" s="11" t="s">
        <v>215</v>
      </c>
      <c r="P139" s="11" t="s">
        <v>216</v>
      </c>
      <c r="Q139" s="13">
        <f>(+Q138-Q137)/Q138</f>
        <v>-0.4317221200911022</v>
      </c>
      <c r="R139" s="13"/>
      <c r="S139" s="13"/>
      <c r="AC139" s="11" t="s">
        <v>215</v>
      </c>
      <c r="AD139" s="11" t="s">
        <v>216</v>
      </c>
      <c r="AE139" s="13">
        <f>(+AE138-AE137)/AE138</f>
        <v>-0.4642131397077161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11.753407448605008</v>
      </c>
      <c r="D142" s="31"/>
      <c r="E142" s="31"/>
      <c r="O142" s="11" t="s">
        <v>217</v>
      </c>
      <c r="P142" s="11" t="s">
        <v>218</v>
      </c>
      <c r="Q142" s="31">
        <f>Q135/Q114</f>
        <v>12.236362641958697</v>
      </c>
      <c r="R142" s="31"/>
      <c r="S142" s="31"/>
      <c r="AC142" s="11" t="s">
        <v>217</v>
      </c>
      <c r="AD142" s="11" t="s">
        <v>218</v>
      </c>
      <c r="AE142" s="31">
        <f>AE135/AE114</f>
        <v>10.305385510830268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46.72773482629677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49.86120862787889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38.995092162254174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13.941608534295728</v>
      </c>
      <c r="D144" s="31"/>
      <c r="E144" s="31"/>
      <c r="O144" s="11" t="s">
        <v>221</v>
      </c>
      <c r="P144" s="11" t="s">
        <v>222</v>
      </c>
      <c r="Q144" s="31">
        <f>1/((1/40)+Q143/1000)</f>
        <v>13.35805310024867</v>
      </c>
      <c r="R144" s="31"/>
      <c r="S144" s="31"/>
      <c r="AC144" s="11" t="s">
        <v>221</v>
      </c>
      <c r="AD144" s="11" t="s">
        <v>222</v>
      </c>
      <c r="AE144" s="31">
        <f>1/((1/40)+AE143/1000)</f>
        <v>15.62619829446583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3318.561655975779</v>
      </c>
      <c r="D145" s="14"/>
      <c r="E145" s="14"/>
      <c r="O145" s="11" t="s">
        <v>223</v>
      </c>
      <c r="P145" s="11" t="s">
        <v>224</v>
      </c>
      <c r="Q145" s="14">
        <f>(+Q121)/Q144</f>
        <v>3608.8256326888586</v>
      </c>
      <c r="R145" s="14"/>
      <c r="S145" s="14"/>
      <c r="AC145" s="11" t="s">
        <v>223</v>
      </c>
      <c r="AD145" s="11" t="s">
        <v>224</v>
      </c>
      <c r="AE145" s="14">
        <f>(+AE121)/AE144</f>
        <v>2588.198099309198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3846.893466952551</v>
      </c>
      <c r="D146" s="14"/>
      <c r="E146" s="14"/>
      <c r="O146" s="11" t="s">
        <v>225</v>
      </c>
      <c r="P146" s="11" t="s">
        <v>226</v>
      </c>
      <c r="Q146" s="14">
        <f>Q121/Q116</f>
        <v>4189.374245859885</v>
      </c>
      <c r="R146" s="14"/>
      <c r="S146" s="14"/>
      <c r="AC146" s="11" t="s">
        <v>225</v>
      </c>
      <c r="AD146" s="11" t="s">
        <v>226</v>
      </c>
      <c r="AE146" s="14">
        <f>AE121/AE116</f>
        <v>2963.6224826278185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528.331810976772</v>
      </c>
      <c r="D147" s="14"/>
      <c r="E147" s="14"/>
      <c r="O147" s="11" t="s">
        <v>227</v>
      </c>
      <c r="P147" s="11" t="s">
        <v>148</v>
      </c>
      <c r="Q147" s="14">
        <f>Q146-Q145</f>
        <v>580.5486131710268</v>
      </c>
      <c r="R147" s="14"/>
      <c r="S147" s="14"/>
      <c r="AC147" s="11" t="s">
        <v>227</v>
      </c>
      <c r="AD147" s="11" t="s">
        <v>148</v>
      </c>
      <c r="AE147" s="14">
        <f>AE146-AE145</f>
        <v>375.4243833186206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0.6851651040407665</v>
      </c>
      <c r="D148" s="31"/>
      <c r="E148" s="31"/>
      <c r="O148" s="11" t="s">
        <v>228</v>
      </c>
      <c r="P148" s="11" t="s">
        <v>150</v>
      </c>
      <c r="Q148" s="31">
        <f>(+Q147/Q121)*60</f>
        <v>0.7225714169543922</v>
      </c>
      <c r="R148" s="31"/>
      <c r="S148" s="31"/>
      <c r="AC148" s="11" t="s">
        <v>228</v>
      </c>
      <c r="AD148" s="11" t="s">
        <v>150</v>
      </c>
      <c r="AE148" s="31">
        <f>(+AE147/AE121)*60</f>
        <v>0.5569585577745004</v>
      </c>
      <c r="AF148" s="31"/>
      <c r="AG148" s="31"/>
    </row>
    <row r="149" spans="1:33" ht="12.75">
      <c r="A149" s="11"/>
      <c r="B149" s="11" t="s">
        <v>151</v>
      </c>
      <c r="C149" s="31">
        <f>+C85</f>
        <v>1.2708662532084287</v>
      </c>
      <c r="D149" s="31"/>
      <c r="E149" s="31"/>
      <c r="O149" s="11"/>
      <c r="P149" s="11" t="s">
        <v>151</v>
      </c>
      <c r="Q149" s="31">
        <f>+Q85</f>
        <v>1.2687239852833985</v>
      </c>
      <c r="R149" s="31"/>
      <c r="S149" s="31"/>
      <c r="AC149" s="11"/>
      <c r="AD149" s="11" t="s">
        <v>151</v>
      </c>
      <c r="AE149" s="31">
        <f>+AE85</f>
        <v>1.2785266851652777</v>
      </c>
      <c r="AF149" s="31"/>
      <c r="AG149" s="31"/>
    </row>
    <row r="150" spans="1:33" ht="12.75">
      <c r="A150" s="11"/>
      <c r="B150" s="11" t="s">
        <v>152</v>
      </c>
      <c r="C150" s="31">
        <f>+C149*C147</f>
        <v>671.439069066874</v>
      </c>
      <c r="D150" s="31"/>
      <c r="E150" s="31"/>
      <c r="O150" s="11"/>
      <c r="P150" s="11" t="s">
        <v>152</v>
      </c>
      <c r="Q150" s="31">
        <f>+Q149*Q147</f>
        <v>736.5559501530952</v>
      </c>
      <c r="R150" s="31"/>
      <c r="S150" s="31"/>
      <c r="AC150" s="11"/>
      <c r="AD150" s="11" t="s">
        <v>152</v>
      </c>
      <c r="AE150" s="31">
        <f>+AE149*AE147</f>
        <v>479.99009233457457</v>
      </c>
      <c r="AF150" s="31"/>
      <c r="AG150" s="31"/>
    </row>
    <row r="151" spans="1:33" ht="12.75">
      <c r="A151" s="11" t="s">
        <v>229</v>
      </c>
      <c r="B151" s="11" t="s">
        <v>154</v>
      </c>
      <c r="C151" s="38">
        <f>C105</f>
        <v>9</v>
      </c>
      <c r="D151" s="38"/>
      <c r="E151" s="38"/>
      <c r="O151" s="11" t="s">
        <v>229</v>
      </c>
      <c r="P151" s="11" t="s">
        <v>154</v>
      </c>
      <c r="Q151" s="38">
        <f>Q105</f>
        <v>9</v>
      </c>
      <c r="R151" s="38"/>
      <c r="S151" s="38"/>
      <c r="AC151" s="11" t="s">
        <v>229</v>
      </c>
      <c r="AD151" s="11" t="s">
        <v>154</v>
      </c>
      <c r="AE151" s="38">
        <f>AE105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6042.9516216018665</v>
      </c>
      <c r="D152" s="37"/>
      <c r="E152" s="37"/>
      <c r="O152" s="11" t="s">
        <v>230</v>
      </c>
      <c r="P152" s="11" t="s">
        <v>156</v>
      </c>
      <c r="Q152" s="37">
        <f>Q150*Q151</f>
        <v>6629.003551377857</v>
      </c>
      <c r="R152" s="37"/>
      <c r="S152" s="37"/>
      <c r="AC152" s="11" t="s">
        <v>230</v>
      </c>
      <c r="AD152" s="11" t="s">
        <v>156</v>
      </c>
      <c r="AE152" s="37">
        <f>AE150*AE151</f>
        <v>4319.9108310111715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747.5422898815465</v>
      </c>
      <c r="D155" s="14"/>
      <c r="E155" s="14"/>
      <c r="O155" s="11" t="s">
        <v>231</v>
      </c>
      <c r="P155" s="11" t="s">
        <v>205</v>
      </c>
      <c r="Q155" s="14">
        <f>Q133</f>
        <v>738.5661368385204</v>
      </c>
      <c r="R155" s="14"/>
      <c r="S155" s="14"/>
      <c r="AC155" s="11" t="s">
        <v>231</v>
      </c>
      <c r="AD155" s="11" t="s">
        <v>205</v>
      </c>
      <c r="AE155" s="14">
        <f>AE133</f>
        <v>777.8453181559812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0.34258255202038324</v>
      </c>
      <c r="D156" s="31"/>
      <c r="E156" s="31"/>
      <c r="O156" s="11" t="s">
        <v>232</v>
      </c>
      <c r="P156" s="11" t="s">
        <v>169</v>
      </c>
      <c r="Q156" s="31">
        <f>Q148/2</f>
        <v>0.3612857084771961</v>
      </c>
      <c r="R156" s="31"/>
      <c r="S156" s="31"/>
      <c r="AC156" s="11" t="s">
        <v>232</v>
      </c>
      <c r="AD156" s="11" t="s">
        <v>169</v>
      </c>
      <c r="AE156" s="31">
        <f>AE148/2</f>
        <v>0.2784792788872502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4.268249090179689</v>
      </c>
      <c r="D157" s="31"/>
      <c r="E157" s="31"/>
      <c r="O157" s="11" t="s">
        <v>233</v>
      </c>
      <c r="P157" s="11" t="s">
        <v>234</v>
      </c>
      <c r="Q157" s="31">
        <f>(+Q155*Q156)/60</f>
        <v>4.44722316674951</v>
      </c>
      <c r="R157" s="31"/>
      <c r="S157" s="31"/>
      <c r="AC157" s="11" t="s">
        <v>233</v>
      </c>
      <c r="AD157" s="11" t="s">
        <v>234</v>
      </c>
      <c r="AE157" s="31">
        <f>(+AE155*AE156)/60</f>
        <v>3.610230054765023</v>
      </c>
      <c r="AF157" s="31"/>
      <c r="AG157" s="31"/>
    </row>
    <row r="158" spans="1:33" ht="12.75">
      <c r="A158" s="11"/>
      <c r="B158" s="11" t="s">
        <v>151</v>
      </c>
      <c r="C158" s="31">
        <f>+C85</f>
        <v>1.2708662532084287</v>
      </c>
      <c r="D158" s="31"/>
      <c r="E158" s="31"/>
      <c r="O158" s="11"/>
      <c r="P158" s="11" t="s">
        <v>151</v>
      </c>
      <c r="Q158" s="31">
        <f>+Q85</f>
        <v>1.2687239852833985</v>
      </c>
      <c r="R158" s="31"/>
      <c r="S158" s="31"/>
      <c r="AC158" s="11"/>
      <c r="AD158" s="11" t="s">
        <v>151</v>
      </c>
      <c r="AE158" s="31">
        <f>+AE85</f>
        <v>1.2785266851652777</v>
      </c>
      <c r="AF158" s="31"/>
      <c r="AG158" s="31"/>
    </row>
    <row r="159" spans="1:33" ht="12.75">
      <c r="A159" s="11"/>
      <c r="B159" s="11" t="s">
        <v>152</v>
      </c>
      <c r="C159" s="31">
        <f>+C158*C157</f>
        <v>5.424373728996946</v>
      </c>
      <c r="D159" s="31"/>
      <c r="E159" s="31"/>
      <c r="O159" s="11"/>
      <c r="P159" s="11" t="s">
        <v>152</v>
      </c>
      <c r="Q159" s="31">
        <f>+Q158*Q157</f>
        <v>5.642298699563095</v>
      </c>
      <c r="R159" s="31"/>
      <c r="S159" s="31"/>
      <c r="AC159" s="11"/>
      <c r="AD159" s="11" t="s">
        <v>152</v>
      </c>
      <c r="AE159" s="31">
        <f>+AE158*AE157</f>
        <v>4.615775464602783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48.81936356097251</v>
      </c>
      <c r="D161" s="37"/>
      <c r="E161" s="37"/>
      <c r="O161" s="11" t="s">
        <v>236</v>
      </c>
      <c r="P161" s="11" t="s">
        <v>156</v>
      </c>
      <c r="Q161" s="37">
        <f>Q159*Q160</f>
        <v>50.78068829606785</v>
      </c>
      <c r="R161" s="37"/>
      <c r="S161" s="37"/>
      <c r="AC161" s="11" t="s">
        <v>236</v>
      </c>
      <c r="AD161" s="11" t="s">
        <v>156</v>
      </c>
      <c r="AE161" s="37">
        <f>AE159*AE160</f>
        <v>41.54197918142505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6091.770985162839</v>
      </c>
      <c r="D163" s="37">
        <f>+D143+D152+D161</f>
        <v>0</v>
      </c>
      <c r="E163" s="37">
        <f>SUM(C163:D163)</f>
        <v>6091.770985162839</v>
      </c>
      <c r="O163" s="18"/>
      <c r="P163" s="11" t="s">
        <v>391</v>
      </c>
      <c r="Q163" s="37">
        <f>+Q152+Q161</f>
        <v>6679.784239673924</v>
      </c>
      <c r="R163" s="37">
        <f>+R143+R152+R161</f>
        <v>0</v>
      </c>
      <c r="S163" s="37">
        <f>SUM(Q163:R163)</f>
        <v>6679.784239673924</v>
      </c>
      <c r="AC163" s="18"/>
      <c r="AD163" s="11" t="s">
        <v>391</v>
      </c>
      <c r="AE163" s="37">
        <f>+AE152+AE161</f>
        <v>4361.452810192596</v>
      </c>
      <c r="AF163" s="37">
        <f>+AF143+AF152+AF161</f>
        <v>0</v>
      </c>
      <c r="AG163" s="37">
        <f>SUM(AE163:AF163)</f>
        <v>4361.452810192596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395</v>
      </c>
      <c r="E166" s="46"/>
      <c r="O166" s="18"/>
      <c r="P166" s="18"/>
      <c r="Q166" s="39" t="s">
        <v>92</v>
      </c>
      <c r="R166" s="24" t="s">
        <v>395</v>
      </c>
      <c r="S166" s="46"/>
      <c r="AC166" s="18"/>
      <c r="AD166" s="18"/>
      <c r="AE166" s="39" t="s">
        <v>92</v>
      </c>
      <c r="AF166" s="24" t="s">
        <v>395</v>
      </c>
      <c r="AG166" s="46"/>
    </row>
    <row r="167" spans="1:33" ht="12.75">
      <c r="A167" s="11" t="s">
        <v>237</v>
      </c>
      <c r="B167" s="11" t="s">
        <v>238</v>
      </c>
      <c r="C167" s="37">
        <f>C88</f>
        <v>19483.684654254997</v>
      </c>
      <c r="D167" s="37">
        <f>D88</f>
        <v>38239.44878208013</v>
      </c>
      <c r="E167" s="37"/>
      <c r="O167" s="11" t="s">
        <v>237</v>
      </c>
      <c r="P167" s="11" t="s">
        <v>238</v>
      </c>
      <c r="Q167" s="37">
        <f>Q88</f>
        <v>19992.930399166977</v>
      </c>
      <c r="R167" s="37">
        <f>R88</f>
        <v>43065.07776734957</v>
      </c>
      <c r="S167" s="37"/>
      <c r="AC167" s="11" t="s">
        <v>237</v>
      </c>
      <c r="AD167" s="11" t="s">
        <v>238</v>
      </c>
      <c r="AE167" s="37">
        <f>AE88</f>
        <v>15857.631925531068</v>
      </c>
      <c r="AF167" s="37">
        <f>AF88</f>
        <v>24145.150891481477</v>
      </c>
      <c r="AG167" s="37"/>
    </row>
    <row r="168" spans="1:33" ht="12.75">
      <c r="A168" s="11" t="s">
        <v>239</v>
      </c>
      <c r="B168" s="11" t="s">
        <v>240</v>
      </c>
      <c r="C168" s="37">
        <f>C97</f>
        <v>407.20647572064837</v>
      </c>
      <c r="D168" s="37">
        <f>D97</f>
        <v>0</v>
      </c>
      <c r="E168" s="37"/>
      <c r="O168" s="11" t="s">
        <v>239</v>
      </c>
      <c r="P168" s="11" t="s">
        <v>240</v>
      </c>
      <c r="Q168" s="37">
        <f>Q97</f>
        <v>392.11166321884554</v>
      </c>
      <c r="R168" s="37">
        <f>R97</f>
        <v>0</v>
      </c>
      <c r="S168" s="37"/>
      <c r="AC168" s="11" t="s">
        <v>239</v>
      </c>
      <c r="AD168" s="11" t="s">
        <v>240</v>
      </c>
      <c r="AE168" s="37">
        <f>AE97</f>
        <v>405.25623721726777</v>
      </c>
      <c r="AF168" s="37">
        <f>AF97</f>
        <v>0</v>
      </c>
      <c r="AG168" s="37"/>
    </row>
    <row r="169" spans="1:33" ht="12.75">
      <c r="A169" s="11" t="s">
        <v>241</v>
      </c>
      <c r="B169" s="11" t="s">
        <v>242</v>
      </c>
      <c r="C169" s="37">
        <f>C106</f>
        <v>430.39591307784116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391.3834390146353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451.77356913931175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6042.9516216018665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6629.003551377857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4319.9108310111715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48.81936356097251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50.78068829606785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41.54197918142505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26413.05802821633</v>
      </c>
      <c r="D172" s="37">
        <f>SUM(D167:D171)</f>
        <v>38239.44878208013</v>
      </c>
      <c r="E172" s="37">
        <f>SUM(C172:D172)</f>
        <v>64652.50681029646</v>
      </c>
      <c r="O172" s="11" t="s">
        <v>247</v>
      </c>
      <c r="P172" s="11" t="s">
        <v>248</v>
      </c>
      <c r="Q172" s="37">
        <f>SUM(Q167:Q171)</f>
        <v>27456.209741074385</v>
      </c>
      <c r="R172" s="37">
        <f>SUM(R167:R171)</f>
        <v>43065.07776734957</v>
      </c>
      <c r="S172" s="37">
        <f>SUM(Q172:R172)</f>
        <v>70521.28750842395</v>
      </c>
      <c r="AC172" s="11" t="s">
        <v>247</v>
      </c>
      <c r="AD172" s="11" t="s">
        <v>248</v>
      </c>
      <c r="AE172" s="37">
        <f>SUM(AE167:AE171)</f>
        <v>21076.11454208024</v>
      </c>
      <c r="AF172" s="37">
        <f>SUM(AF167:AF171)</f>
        <v>24145.150891481477</v>
      </c>
      <c r="AG172" s="37">
        <f>SUM(AE172:AF172)</f>
        <v>45221.26543356171</v>
      </c>
    </row>
    <row r="173" spans="1:33" ht="12.75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185090.66175848205</v>
      </c>
      <c r="D185" s="14">
        <f>D75</f>
        <v>97026.338028169</v>
      </c>
      <c r="E185" s="14"/>
      <c r="O185" s="11" t="s">
        <v>258</v>
      </c>
      <c r="P185" s="11" t="s">
        <v>259</v>
      </c>
      <c r="Q185" s="14">
        <f>Q75</f>
        <v>191979.284677105</v>
      </c>
      <c r="R185" s="14">
        <f>R75</f>
        <v>98452.39436619719</v>
      </c>
      <c r="S185" s="14"/>
      <c r="AC185" s="11" t="s">
        <v>258</v>
      </c>
      <c r="AD185" s="11" t="s">
        <v>259</v>
      </c>
      <c r="AE185" s="14">
        <f>AE75</f>
        <v>163629.40923644218</v>
      </c>
      <c r="AF185" s="14">
        <f>AF75</f>
        <v>92748.1690140845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47013.629794420034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48945.45056783479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41221.542043321075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232104.29155290208</v>
      </c>
      <c r="D187" s="14">
        <f>D185+D186</f>
        <v>97026.338028169</v>
      </c>
      <c r="E187" s="14"/>
      <c r="O187" s="11" t="s">
        <v>262</v>
      </c>
      <c r="P187" s="11" t="s">
        <v>263</v>
      </c>
      <c r="Q187" s="14">
        <f>Q185+Q186</f>
        <v>240924.7352449398</v>
      </c>
      <c r="R187" s="14">
        <f>R185+R186</f>
        <v>98452.39436619719</v>
      </c>
      <c r="S187" s="14"/>
      <c r="AC187" s="11" t="s">
        <v>262</v>
      </c>
      <c r="AD187" s="11" t="s">
        <v>263</v>
      </c>
      <c r="AE187" s="14">
        <f>AE185+AE186</f>
        <v>204850.95127976325</v>
      </c>
      <c r="AF187" s="14">
        <f>AF185+AF186</f>
        <v>92748.1690140845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-95208.36551424523</v>
      </c>
      <c r="D189" s="14">
        <f>D185-D181</f>
        <v>97026.338028169</v>
      </c>
      <c r="E189" s="14"/>
      <c r="O189" s="11" t="s">
        <v>264</v>
      </c>
      <c r="P189" s="11" t="s">
        <v>265</v>
      </c>
      <c r="Q189" s="14">
        <f>Q185-Q181</f>
        <v>-97768.02441380409</v>
      </c>
      <c r="R189" s="14">
        <f>R185-R181</f>
        <v>98452.39436619719</v>
      </c>
      <c r="S189" s="14"/>
      <c r="AC189" s="11" t="s">
        <v>264</v>
      </c>
      <c r="AD189" s="11" t="s">
        <v>265</v>
      </c>
      <c r="AE189" s="14">
        <f>AE185-AE181</f>
        <v>-88324.77258173961</v>
      </c>
      <c r="AF189" s="14">
        <f>AF185-AF181</f>
        <v>92748.1690140845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-6376.661114670882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-6244.513068528853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-6769.7306839516605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-101585.02662891612</v>
      </c>
      <c r="D191" s="14">
        <f>D189+D190</f>
        <v>97026.33522517871</v>
      </c>
      <c r="E191" s="14"/>
      <c r="O191" s="11" t="s">
        <v>268</v>
      </c>
      <c r="P191" s="11" t="s">
        <v>269</v>
      </c>
      <c r="Q191" s="14">
        <f>Q189+Q190</f>
        <v>-104012.53748233293</v>
      </c>
      <c r="R191" s="14">
        <f>R189+R190</f>
        <v>98452.39146872408</v>
      </c>
      <c r="S191" s="14"/>
      <c r="AC191" s="11" t="s">
        <v>268</v>
      </c>
      <c r="AD191" s="11" t="s">
        <v>269</v>
      </c>
      <c r="AE191" s="14">
        <f>AE189+AE190</f>
        <v>-95094.50326569128</v>
      </c>
      <c r="AF191" s="14">
        <f>AF189+AF190</f>
        <v>92748.16649454267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>
        <f>(1/C81)*C185</f>
        <v>6467.030359125697</v>
      </c>
      <c r="D199" s="14">
        <f>(1/D81)*D185</f>
        <v>1617.1056338028168</v>
      </c>
      <c r="E199" s="14"/>
      <c r="O199" s="11" t="s">
        <v>280</v>
      </c>
      <c r="P199" s="11" t="s">
        <v>281</v>
      </c>
      <c r="Q199" s="14">
        <f>(1/Q81)*Q185</f>
        <v>7254.062503349481</v>
      </c>
      <c r="R199" s="14">
        <f>(1/R81)*R185</f>
        <v>1640.8732394366198</v>
      </c>
      <c r="S199" s="14"/>
      <c r="AC199" s="11" t="s">
        <v>280</v>
      </c>
      <c r="AD199" s="11" t="s">
        <v>281</v>
      </c>
      <c r="AE199" s="14">
        <f>(1/AE81)*AE185</f>
        <v>4418.803102984915</v>
      </c>
      <c r="AF199" s="14">
        <f>(1/AF81)*AF185</f>
        <v>1545.8028169014083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3372.1811711158452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3664.1155863442136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2637.976382132568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>
        <f>C199+C200</f>
        <v>9839.211530241542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>
        <f>Q199+Q200</f>
        <v>10918.178089693694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>
        <f>AE199+AE200</f>
        <v>7056.779485117483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>
        <f>C187/C201</f>
        <v>23.589724729416826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>
        <f>Q187/Q201</f>
        <v>22.06638628402322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>
        <f>AE187/AE201</f>
        <v>29.02895743189754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>
        <f>1/C202</f>
        <v>0.042391338240288214</v>
      </c>
      <c r="D203" s="41" t="e">
        <f>1/D202</f>
        <v>#DIV/0!</v>
      </c>
      <c r="E203" s="41"/>
      <c r="O203" s="11" t="s">
        <v>288</v>
      </c>
      <c r="P203" s="11" t="s">
        <v>289</v>
      </c>
      <c r="Q203" s="41">
        <f>1/Q202</f>
        <v>0.04531779635907273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>
        <f>1/AE202</f>
        <v>0.03444836082542813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>
        <f>(C203-C197)/C197</f>
        <v>-0.1441975949571991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>
        <f>(Q203-Q197)/Q197</f>
        <v>-0.1350959469965592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>
        <f>(AE203-AE197)/AE197</f>
        <v>-0.15492508190414372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-0.3044299625244978</v>
      </c>
      <c r="D206" s="13">
        <f>D191/D183</f>
        <v>34615294.8448299</v>
      </c>
      <c r="E206" s="13"/>
      <c r="O206" s="11" t="s">
        <v>292</v>
      </c>
      <c r="P206" s="11" t="s">
        <v>293</v>
      </c>
      <c r="Q206" s="13">
        <f>Q191/Q183</f>
        <v>-0.30154044142562475</v>
      </c>
      <c r="R206" s="13">
        <f>R191/R183</f>
        <v>33978707.61351395</v>
      </c>
      <c r="S206" s="13"/>
      <c r="AC206" s="11" t="s">
        <v>292</v>
      </c>
      <c r="AD206" s="11" t="s">
        <v>293</v>
      </c>
      <c r="AE206" s="13">
        <f>AE191/AE183</f>
        <v>-0.31703932106522525</v>
      </c>
      <c r="AF206" s="13">
        <f>AF191/AF183</f>
        <v>36811520.79287</v>
      </c>
      <c r="AG206" s="13"/>
    </row>
    <row r="207" spans="1:33" ht="12.75" hidden="1">
      <c r="A207" s="11" t="s">
        <v>294</v>
      </c>
      <c r="B207" s="11" t="s">
        <v>295</v>
      </c>
      <c r="C207" s="33">
        <f>C206/C205</f>
        <v>2.111200000352704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>
        <f>Q206/Q205</f>
        <v>2.232046542693874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>
        <f>AE206/AE205</f>
        <v>2.0464040887929684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177560.75196559826</v>
      </c>
      <c r="D210" s="14">
        <f>D59</f>
        <v>97026.338028169</v>
      </c>
      <c r="E210" s="14"/>
      <c r="O210" s="11" t="s">
        <v>297</v>
      </c>
      <c r="P210" s="11" t="s">
        <v>298</v>
      </c>
      <c r="Q210" s="14">
        <f>Q59</f>
        <v>185009.17434712255</v>
      </c>
      <c r="R210" s="14">
        <f>R59</f>
        <v>98452.39436619719</v>
      </c>
      <c r="S210" s="14"/>
      <c r="AC210" s="11" t="s">
        <v>297</v>
      </c>
      <c r="AD210" s="11" t="s">
        <v>298</v>
      </c>
      <c r="AE210" s="14">
        <f>AE59</f>
        <v>155215.4848210252</v>
      </c>
      <c r="AF210" s="14">
        <f>AF59</f>
        <v>92748.1690140845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31.299074088950015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28.64786396326432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40.81063465477545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>
        <f>(1/C211)*C210</f>
        <v>5673.035293663374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>
        <f>(1/Q211)*Q210</f>
        <v>6458.044292040872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>
        <f>(1/AE211)*AE210</f>
        <v>3803.3097533037917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46266.08750453849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48206.88443099627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40443.69672516509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14.165976312341478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13.581525778399252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15.839225876950737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3266.000626037417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3549.4454170728704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2553.388469825335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223826.83947013674</v>
      </c>
      <c r="D216" s="14">
        <f>D210+D213</f>
        <v>97026.338028169</v>
      </c>
      <c r="E216" s="14"/>
      <c r="O216" s="11" t="s">
        <v>309</v>
      </c>
      <c r="P216" s="11" t="s">
        <v>310</v>
      </c>
      <c r="Q216" s="14">
        <f>Q210+Q213</f>
        <v>233216.0587781188</v>
      </c>
      <c r="R216" s="14">
        <f>R210+R213</f>
        <v>98452.39436619719</v>
      </c>
      <c r="S216" s="14"/>
      <c r="AC216" s="11" t="s">
        <v>309</v>
      </c>
      <c r="AD216" s="11" t="s">
        <v>310</v>
      </c>
      <c r="AE216" s="14">
        <f>AE210+AE213</f>
        <v>195659.1815461903</v>
      </c>
      <c r="AF216" s="14">
        <f>AF210+AF213</f>
        <v>92748.1690140845</v>
      </c>
      <c r="AG216" s="14"/>
    </row>
    <row r="217" spans="1:33" ht="12.75" hidden="1">
      <c r="A217" s="11" t="s">
        <v>311</v>
      </c>
      <c r="B217" s="11" t="s">
        <v>312</v>
      </c>
      <c r="C217" s="14">
        <f>C212+C215</f>
        <v>8939.035919700791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>
        <f>Q212+Q215</f>
        <v>10007.489709113743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>
        <f>AE212+AE215</f>
        <v>6356.698223129127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>
        <f>C216/C217</f>
        <v>25.039259432534948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>
        <f>Q216/Q217</f>
        <v>23.304151746039846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>
        <f>AE216/AE217</f>
        <v>30.78000161062794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>
        <f>1/C218</f>
        <v>0.039937283396674364</v>
      </c>
      <c r="D219" s="42" t="e">
        <f>1/D218</f>
        <v>#DIV/0!</v>
      </c>
      <c r="E219" s="42"/>
      <c r="O219" s="11" t="s">
        <v>315</v>
      </c>
      <c r="P219" s="11" t="s">
        <v>316</v>
      </c>
      <c r="Q219" s="42">
        <f>1/Q218</f>
        <v>0.04291080880770241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>
        <f>1/AE218</f>
        <v>0.03248862727982161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>
        <f>C203</f>
        <v>0.042391338240288214</v>
      </c>
      <c r="D220" s="42" t="e">
        <f>D203</f>
        <v>#DIV/0!</v>
      </c>
      <c r="E220" s="42"/>
      <c r="O220" s="11" t="s">
        <v>317</v>
      </c>
      <c r="P220" s="11" t="s">
        <v>289</v>
      </c>
      <c r="Q220" s="42">
        <f>Q203</f>
        <v>0.04531779635907273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>
        <f>AE203</f>
        <v>0.03444836082542813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>
        <f>(C220-C219)/C219</f>
        <v>0.06144771589091616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>
        <f>(Q220-Q219)/Q219</f>
        <v>0.0560928031479629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>
        <f>(AE220-AE219)/AE219</f>
        <v>0.060320601690170395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-0.3044299625244978</v>
      </c>
      <c r="D222" s="13">
        <f>D206</f>
        <v>34615294.8448299</v>
      </c>
      <c r="E222" s="13"/>
      <c r="O222" s="11" t="s">
        <v>319</v>
      </c>
      <c r="P222" s="11" t="s">
        <v>293</v>
      </c>
      <c r="Q222" s="13">
        <f>Q206</f>
        <v>-0.30154044142562475</v>
      </c>
      <c r="R222" s="13">
        <f>R206</f>
        <v>33978707.61351395</v>
      </c>
      <c r="S222" s="13"/>
      <c r="AC222" s="11" t="s">
        <v>319</v>
      </c>
      <c r="AD222" s="11" t="s">
        <v>293</v>
      </c>
      <c r="AE222" s="13">
        <f>AE206</f>
        <v>-0.31703932106522525</v>
      </c>
      <c r="AF222" s="13">
        <f>AF206</f>
        <v>36811520.79287</v>
      </c>
      <c r="AG222" s="13"/>
    </row>
    <row r="223" spans="1:33" ht="12.75" hidden="1">
      <c r="A223" s="11" t="s">
        <v>320</v>
      </c>
      <c r="B223" s="11" t="s">
        <v>321</v>
      </c>
      <c r="C223" s="42">
        <f>C221/C222</f>
        <v>-0.20184516458681823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>
        <f>Q221/Q222</f>
        <v>-0.18602082985209878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>
        <f>AE221/AE222</f>
        <v>-0.1902622093925078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 hidden="1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395</v>
      </c>
      <c r="E229" s="24" t="s">
        <v>40</v>
      </c>
      <c r="O229" s="11"/>
      <c r="P229" s="11"/>
      <c r="Q229" s="24" t="s">
        <v>92</v>
      </c>
      <c r="R229" s="24" t="s">
        <v>395</v>
      </c>
      <c r="S229" s="24" t="s">
        <v>40</v>
      </c>
      <c r="AC229" s="11"/>
      <c r="AD229" s="11"/>
      <c r="AE229" s="24" t="s">
        <v>92</v>
      </c>
      <c r="AF229" s="24" t="s">
        <v>395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>
        <f>+C43</f>
        <v>170436.54856104584</v>
      </c>
      <c r="D231" s="14">
        <f>+D43</f>
        <v>97026.338028169</v>
      </c>
      <c r="E231" s="14">
        <f>SUM(C231:D231)</f>
        <v>267462.88658921485</v>
      </c>
      <c r="O231" s="11"/>
      <c r="P231" s="11" t="s">
        <v>325</v>
      </c>
      <c r="Q231" s="14">
        <f>+Q43</f>
        <v>178026.09514175518</v>
      </c>
      <c r="R231" s="14">
        <f>+R43</f>
        <v>98452.39436619719</v>
      </c>
      <c r="S231" s="14">
        <f>SUM(Q231:R231)</f>
        <v>276478.48950795236</v>
      </c>
      <c r="AC231" s="11"/>
      <c r="AD231" s="11" t="s">
        <v>325</v>
      </c>
      <c r="AE231" s="14">
        <f>+AE43</f>
        <v>147667.90881891755</v>
      </c>
      <c r="AF231" s="14">
        <f>+AF43</f>
        <v>92748.1690140845</v>
      </c>
      <c r="AG231" s="14">
        <f>SUM(AE231:AF231)</f>
        <v>240416.07783300205</v>
      </c>
    </row>
    <row r="232" spans="1:33" ht="12.75">
      <c r="A232" s="11"/>
      <c r="B232" s="11" t="s">
        <v>326</v>
      </c>
      <c r="C232" s="14">
        <f>C58</f>
        <v>7124.203404552423</v>
      </c>
      <c r="D232" s="14">
        <f>D58</f>
        <v>0</v>
      </c>
      <c r="E232" s="14"/>
      <c r="O232" s="11"/>
      <c r="P232" s="11" t="s">
        <v>326</v>
      </c>
      <c r="Q232" s="14">
        <f>Q58</f>
        <v>6983.07920536737</v>
      </c>
      <c r="R232" s="14">
        <f>R58</f>
        <v>0</v>
      </c>
      <c r="S232" s="14"/>
      <c r="AC232" s="11"/>
      <c r="AD232" s="11" t="s">
        <v>326</v>
      </c>
      <c r="AE232" s="14">
        <f>AE58</f>
        <v>7547.57600210764</v>
      </c>
      <c r="AF232" s="14">
        <f>AF58</f>
        <v>0</v>
      </c>
      <c r="AG232" s="14"/>
    </row>
    <row r="233" spans="1:33" ht="12.75">
      <c r="A233" s="11"/>
      <c r="B233" s="11" t="s">
        <v>327</v>
      </c>
      <c r="C233" s="14">
        <f>C73</f>
        <v>7529.909792883788</v>
      </c>
      <c r="D233" s="14">
        <f>D73</f>
        <v>0</v>
      </c>
      <c r="E233" s="14"/>
      <c r="O233" s="11"/>
      <c r="P233" s="11" t="s">
        <v>327</v>
      </c>
      <c r="Q233" s="14">
        <f>Q73</f>
        <v>6970.110329982434</v>
      </c>
      <c r="R233" s="14">
        <f>R73</f>
        <v>0</v>
      </c>
      <c r="S233" s="14"/>
      <c r="AC233" s="11"/>
      <c r="AD233" s="11" t="s">
        <v>327</v>
      </c>
      <c r="AE233" s="14">
        <f>AE73</f>
        <v>8413.924415416983</v>
      </c>
      <c r="AF233" s="14">
        <f>AF73</f>
        <v>0</v>
      </c>
      <c r="AG233" s="14"/>
    </row>
    <row r="234" spans="1:33" ht="12.75">
      <c r="A234" s="11"/>
      <c r="B234" s="11" t="s">
        <v>328</v>
      </c>
      <c r="C234" s="14">
        <f>C231+C232+C233</f>
        <v>185090.66175848205</v>
      </c>
      <c r="D234" s="14">
        <f>D231+D232+D233</f>
        <v>97026.338028169</v>
      </c>
      <c r="E234" s="14">
        <f>SUM(C234:D234)</f>
        <v>282116.99978665105</v>
      </c>
      <c r="O234" s="11"/>
      <c r="P234" s="11" t="s">
        <v>328</v>
      </c>
      <c r="Q234" s="14">
        <f>Q231+Q232+Q233</f>
        <v>191979.284677105</v>
      </c>
      <c r="R234" s="14">
        <f>R231+R232+R233</f>
        <v>98452.39436619719</v>
      </c>
      <c r="S234" s="14">
        <f>SUM(Q234:R234)</f>
        <v>290431.6790433022</v>
      </c>
      <c r="AC234" s="11"/>
      <c r="AD234" s="11" t="s">
        <v>328</v>
      </c>
      <c r="AE234" s="14">
        <f>AE231+AE232+AE233</f>
        <v>163629.40923644218</v>
      </c>
      <c r="AF234" s="14">
        <f>AF231+AF232+AF233</f>
        <v>92748.1690140845</v>
      </c>
      <c r="AG234" s="14">
        <f>SUM(AE234:AF234)</f>
        <v>256377.57825052668</v>
      </c>
    </row>
    <row r="235" spans="1:33" ht="12.75">
      <c r="A235" s="11"/>
      <c r="B235" s="11" t="s">
        <v>293</v>
      </c>
      <c r="C235" s="13">
        <f>(+C234-C231)/C231</f>
        <v>0.085979875332828</v>
      </c>
      <c r="D235" s="13">
        <f>(+D234-D231)/D231</f>
        <v>0</v>
      </c>
      <c r="E235" s="13">
        <f>(+E234-E231)/E231</f>
        <v>0.05478933314565939</v>
      </c>
      <c r="O235" s="11"/>
      <c r="P235" s="11" t="s">
        <v>293</v>
      </c>
      <c r="Q235" s="13">
        <f>(+Q234-Q231)/Q231</f>
        <v>0.07837721500457241</v>
      </c>
      <c r="R235" s="13">
        <f>(+R234-R231)/R231</f>
        <v>0</v>
      </c>
      <c r="S235" s="13">
        <f>(+S234-S231)/S231</f>
        <v>0.050467541110276876</v>
      </c>
      <c r="AC235" s="11"/>
      <c r="AD235" s="11" t="s">
        <v>293</v>
      </c>
      <c r="AE235" s="13">
        <f>(+AE234-AE231)/AE231</f>
        <v>0.10809051570641474</v>
      </c>
      <c r="AF235" s="13">
        <f>(+AF234-AF231)/AF231</f>
        <v>0</v>
      </c>
      <c r="AG235" s="13">
        <f>(+AG234-AG231)/AG231</f>
        <v>0.06639115221159134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-7124.203404552423</v>
      </c>
      <c r="D239" s="14">
        <f>-D120</f>
        <v>0</v>
      </c>
      <c r="E239" s="14"/>
      <c r="O239" s="11"/>
      <c r="P239" s="11" t="s">
        <v>326</v>
      </c>
      <c r="Q239" s="14">
        <f>-Q120</f>
        <v>-6983.07920536737</v>
      </c>
      <c r="R239" s="14">
        <f>-R120</f>
        <v>0</v>
      </c>
      <c r="S239" s="14"/>
      <c r="AC239" s="11"/>
      <c r="AD239" s="11" t="s">
        <v>326</v>
      </c>
      <c r="AE239" s="14">
        <f>-AE120</f>
        <v>-7547.57600210764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747.5422898815465</v>
      </c>
      <c r="D240" s="14">
        <f>D133</f>
        <v>0</v>
      </c>
      <c r="E240" s="14"/>
      <c r="O240" s="11"/>
      <c r="P240" s="11" t="s">
        <v>327</v>
      </c>
      <c r="Q240" s="14">
        <f>Q133</f>
        <v>738.5661368385204</v>
      </c>
      <c r="R240" s="14">
        <f>R133</f>
        <v>0</v>
      </c>
      <c r="S240" s="14"/>
      <c r="AC240" s="11"/>
      <c r="AD240" s="11" t="s">
        <v>327</v>
      </c>
      <c r="AE240" s="14">
        <f>AE133</f>
        <v>777.8453181559812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47013.629794420034</v>
      </c>
      <c r="D241" s="14">
        <f>D238+D239+D240</f>
        <v>0.0028029902868116244</v>
      </c>
      <c r="E241" s="14">
        <f>SUM(C241:D241)</f>
        <v>47013.632597410324</v>
      </c>
      <c r="O241" s="11"/>
      <c r="P241" s="11" t="s">
        <v>328</v>
      </c>
      <c r="Q241" s="14">
        <f>Q238+Q239+Q240</f>
        <v>48945.45056783479</v>
      </c>
      <c r="R241" s="14">
        <f>R238+R239+R240</f>
        <v>0.0028974731054681956</v>
      </c>
      <c r="S241" s="14">
        <f>SUM(Q241:R241)</f>
        <v>48945.453465307895</v>
      </c>
      <c r="AC241" s="11"/>
      <c r="AD241" s="11" t="s">
        <v>328</v>
      </c>
      <c r="AE241" s="14">
        <f>AE238+AE239+AE240</f>
        <v>41221.542043321075</v>
      </c>
      <c r="AF241" s="14">
        <f>AF238+AF239+AF240</f>
        <v>0.002519541830841909</v>
      </c>
      <c r="AG241" s="14">
        <f>SUM(AE241:AF241)</f>
        <v>41221.5445628629</v>
      </c>
    </row>
    <row r="242" spans="1:33" ht="12.75">
      <c r="A242" s="11"/>
      <c r="B242" s="11" t="s">
        <v>293</v>
      </c>
      <c r="C242" s="13">
        <f>(+C241-C238)/C238</f>
        <v>-0.11943484491456685</v>
      </c>
      <c r="D242" s="13">
        <f>(+D241-D238)/D238</f>
        <v>0</v>
      </c>
      <c r="E242" s="13">
        <f>(+E241-E238)/E238</f>
        <v>-0.11943483864423779</v>
      </c>
      <c r="O242" s="11"/>
      <c r="P242" s="11" t="s">
        <v>293</v>
      </c>
      <c r="Q242" s="13">
        <f>(+Q241-Q238)/Q238</f>
        <v>-0.1131458087139318</v>
      </c>
      <c r="R242" s="13">
        <f>(+R241-R238)/R238</f>
        <v>0</v>
      </c>
      <c r="S242" s="13">
        <f>(+S241-S238)/S238</f>
        <v>-0.11314580277377713</v>
      </c>
      <c r="AC242" s="11"/>
      <c r="AD242" s="11" t="s">
        <v>293</v>
      </c>
      <c r="AE242" s="13">
        <f>(+AE241-AE238)/AE238</f>
        <v>-0.14106170349811378</v>
      </c>
      <c r="AF242" s="13">
        <f>(+AF241-AF238)/AF238</f>
        <v>0</v>
      </c>
      <c r="AG242" s="13">
        <f>(+AG241-AG238)/AG238</f>
        <v>-0.1410616960923747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223826.83947013677</v>
      </c>
      <c r="D245" s="14">
        <f t="shared" si="0"/>
        <v>97026.3408311593</v>
      </c>
      <c r="E245" s="14">
        <f>SUM(C245:D245)</f>
        <v>320853.18030129606</v>
      </c>
      <c r="O245" s="11"/>
      <c r="P245" s="11" t="s">
        <v>325</v>
      </c>
      <c r="Q245" s="14">
        <f aca="true" t="shared" si="1" ref="Q245:R247">Q231+Q238</f>
        <v>233216.05877811884</v>
      </c>
      <c r="R245" s="14">
        <f t="shared" si="1"/>
        <v>98452.3972636703</v>
      </c>
      <c r="S245" s="14">
        <f>SUM(Q245:R245)</f>
        <v>331668.45604178915</v>
      </c>
      <c r="AC245" s="11"/>
      <c r="AD245" s="11" t="s">
        <v>325</v>
      </c>
      <c r="AE245" s="14">
        <f aca="true" t="shared" si="2" ref="AE245:AF247">AE231+AE238</f>
        <v>195659.1815461903</v>
      </c>
      <c r="AF245" s="14">
        <f t="shared" si="2"/>
        <v>92748.17153362633</v>
      </c>
      <c r="AG245" s="14">
        <f>SUM(AE245:AF245)</f>
        <v>288407.3530798166</v>
      </c>
    </row>
    <row r="246" spans="1:33" ht="12.75">
      <c r="A246" s="11"/>
      <c r="B246" s="11" t="s">
        <v>326</v>
      </c>
      <c r="C246" s="14">
        <f t="shared" si="0"/>
        <v>0</v>
      </c>
      <c r="D246" s="14">
        <f t="shared" si="0"/>
        <v>0</v>
      </c>
      <c r="E246" s="14"/>
      <c r="O246" s="11"/>
      <c r="P246" s="11" t="s">
        <v>326</v>
      </c>
      <c r="Q246" s="14">
        <f t="shared" si="1"/>
        <v>0</v>
      </c>
      <c r="R246" s="14">
        <f t="shared" si="1"/>
        <v>0</v>
      </c>
      <c r="S246" s="14"/>
      <c r="AC246" s="11"/>
      <c r="AD246" s="11" t="s">
        <v>326</v>
      </c>
      <c r="AE246" s="14">
        <f t="shared" si="2"/>
        <v>0</v>
      </c>
      <c r="AF246" s="14">
        <f t="shared" si="2"/>
        <v>0</v>
      </c>
      <c r="AG246" s="14"/>
    </row>
    <row r="247" spans="1:33" ht="12.75">
      <c r="A247" s="11"/>
      <c r="B247" s="11" t="s">
        <v>327</v>
      </c>
      <c r="C247" s="14">
        <f t="shared" si="0"/>
        <v>8277.452082765334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7708.676466820954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9191.769733572964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232104.2915529021</v>
      </c>
      <c r="D248" s="14">
        <f>D245+D246+D247</f>
        <v>97026.3408311593</v>
      </c>
      <c r="E248" s="14">
        <f>SUM(C248:D248)</f>
        <v>329130.6323840614</v>
      </c>
      <c r="O248" s="11"/>
      <c r="P248" s="11" t="s">
        <v>328</v>
      </c>
      <c r="Q248" s="14">
        <f>Q245+Q246+Q247</f>
        <v>240924.7352449398</v>
      </c>
      <c r="R248" s="14">
        <f>R245+R246+R247</f>
        <v>98452.3972636703</v>
      </c>
      <c r="S248" s="14">
        <f>SUM(Q248:R248)</f>
        <v>339377.1325086101</v>
      </c>
      <c r="AC248" s="11"/>
      <c r="AD248" s="11" t="s">
        <v>328</v>
      </c>
      <c r="AE248" s="14">
        <f>AE245+AE246+AE247</f>
        <v>204850.95127976325</v>
      </c>
      <c r="AF248" s="14">
        <f>AF245+AF246+AF247</f>
        <v>92748.17153362633</v>
      </c>
      <c r="AG248" s="14">
        <f>SUM(AE248:AF248)</f>
        <v>297599.1228133896</v>
      </c>
    </row>
    <row r="249" spans="1:33" ht="12.75">
      <c r="A249" s="11"/>
      <c r="B249" s="11" t="s">
        <v>293</v>
      </c>
      <c r="C249" s="13">
        <f>(+C248-C245)/C245</f>
        <v>0.03698149919089455</v>
      </c>
      <c r="D249" s="13">
        <f>D139</f>
        <v>0</v>
      </c>
      <c r="E249" s="13">
        <f>(+E248-E245)/E245</f>
        <v>0.025798254750015053</v>
      </c>
      <c r="O249" s="11"/>
      <c r="P249" s="11" t="s">
        <v>293</v>
      </c>
      <c r="Q249" s="13">
        <f>(+Q248-Q245)/Q245</f>
        <v>0.033053797869704075</v>
      </c>
      <c r="R249" s="13">
        <f>R139</f>
        <v>0</v>
      </c>
      <c r="S249" s="13">
        <f>(+S248-S245)/S245</f>
        <v>0.02324211520992418</v>
      </c>
      <c r="AC249" s="11"/>
      <c r="AD249" s="11" t="s">
        <v>293</v>
      </c>
      <c r="AE249" s="13">
        <f>(+AE248-AE245)/AE245</f>
        <v>0.04697847379783203</v>
      </c>
      <c r="AF249" s="13">
        <f>AF139</f>
        <v>0</v>
      </c>
      <c r="AG249" s="13">
        <f>(+AG248-AG245)/AG245</f>
        <v>0.031870788436621944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93</v>
      </c>
      <c r="E252" s="24" t="s">
        <v>40</v>
      </c>
      <c r="O252" s="11"/>
      <c r="P252" s="11"/>
      <c r="Q252" s="24" t="s">
        <v>92</v>
      </c>
      <c r="R252" s="24" t="s">
        <v>93</v>
      </c>
      <c r="S252" s="24" t="s">
        <v>40</v>
      </c>
      <c r="AC252" s="11"/>
      <c r="AD252" s="11"/>
      <c r="AE252" s="24" t="s">
        <v>92</v>
      </c>
      <c r="AF252" s="24" t="s">
        <v>93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28.62065762491722</v>
      </c>
      <c r="D255" s="33">
        <f>D81</f>
        <v>60</v>
      </c>
      <c r="E255" s="33"/>
      <c r="O255" s="11"/>
      <c r="P255" s="11" t="s">
        <v>333</v>
      </c>
      <c r="Q255" s="33">
        <f>Q81</f>
        <v>26.465071756475872</v>
      </c>
      <c r="R255" s="33">
        <f>R81</f>
        <v>60</v>
      </c>
      <c r="S255" s="33"/>
      <c r="AC255" s="11"/>
      <c r="AD255" s="11" t="s">
        <v>333</v>
      </c>
      <c r="AE255" s="33">
        <f>AE81</f>
        <v>37.030255800696345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13.941608534295728</v>
      </c>
      <c r="D259" s="33">
        <f>D144</f>
        <v>0</v>
      </c>
      <c r="E259" s="33"/>
      <c r="O259" s="11"/>
      <c r="P259" s="11" t="s">
        <v>333</v>
      </c>
      <c r="Q259" s="33">
        <f>Q144</f>
        <v>13.35805310024867</v>
      </c>
      <c r="R259" s="33">
        <f>R144</f>
        <v>0</v>
      </c>
      <c r="S259" s="33"/>
      <c r="AC259" s="11"/>
      <c r="AD259" s="11" t="s">
        <v>333</v>
      </c>
      <c r="AE259" s="33">
        <f>AE144</f>
        <v>15.62619829446583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19483.684654254997</v>
      </c>
      <c r="D262" s="37">
        <f t="shared" si="3"/>
        <v>38239.44878208013</v>
      </c>
      <c r="E262" s="37"/>
      <c r="O262" s="11"/>
      <c r="P262" s="11" t="s">
        <v>238</v>
      </c>
      <c r="Q262" s="37">
        <f aca="true" t="shared" si="4" ref="Q262:R266">Q167</f>
        <v>19992.930399166977</v>
      </c>
      <c r="R262" s="37">
        <f t="shared" si="4"/>
        <v>43065.07776734957</v>
      </c>
      <c r="S262" s="37"/>
      <c r="AC262" s="11"/>
      <c r="AD262" s="11" t="s">
        <v>238</v>
      </c>
      <c r="AE262" s="37">
        <f aca="true" t="shared" si="5" ref="AE262:AF266">AE167</f>
        <v>15857.631925531068</v>
      </c>
      <c r="AF262" s="37">
        <f t="shared" si="5"/>
        <v>24145.150891481477</v>
      </c>
      <c r="AG262" s="37"/>
    </row>
    <row r="263" spans="1:33" ht="12.75">
      <c r="A263" s="11"/>
      <c r="B263" s="11" t="s">
        <v>240</v>
      </c>
      <c r="C263" s="37">
        <f t="shared" si="3"/>
        <v>407.20647572064837</v>
      </c>
      <c r="D263" s="37">
        <f t="shared" si="3"/>
        <v>0</v>
      </c>
      <c r="E263" s="37"/>
      <c r="O263" s="11"/>
      <c r="P263" s="11" t="s">
        <v>240</v>
      </c>
      <c r="Q263" s="37">
        <f t="shared" si="4"/>
        <v>392.11166321884554</v>
      </c>
      <c r="R263" s="37">
        <f t="shared" si="4"/>
        <v>0</v>
      </c>
      <c r="S263" s="37"/>
      <c r="AC263" s="11"/>
      <c r="AD263" s="11" t="s">
        <v>240</v>
      </c>
      <c r="AE263" s="37">
        <f t="shared" si="5"/>
        <v>405.25623721726777</v>
      </c>
      <c r="AF263" s="37">
        <f t="shared" si="5"/>
        <v>0</v>
      </c>
      <c r="AG263" s="37"/>
    </row>
    <row r="264" spans="1:33" ht="12.75">
      <c r="A264" s="11"/>
      <c r="B264" s="11" t="s">
        <v>242</v>
      </c>
      <c r="C264" s="37">
        <f t="shared" si="3"/>
        <v>430.39591307784116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391.3834390146353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451.77356913931175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6042.9516216018665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6629.003551377857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4319.9108310111715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48.81936356097251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50.78068829606785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41.54197918142505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26413.05802821633</v>
      </c>
      <c r="D267" s="37">
        <f>D172</f>
        <v>38239.44878208013</v>
      </c>
      <c r="E267" s="37">
        <f>SUM(C267:D267)</f>
        <v>64652.50681029646</v>
      </c>
      <c r="O267" s="11"/>
      <c r="P267" s="11" t="s">
        <v>248</v>
      </c>
      <c r="Q267" s="37">
        <f>SUM(Q262:Q266)</f>
        <v>27456.209741074385</v>
      </c>
      <c r="R267" s="37">
        <f>R172</f>
        <v>43065.07776734957</v>
      </c>
      <c r="S267" s="37">
        <f>SUM(Q267:R267)</f>
        <v>70521.28750842395</v>
      </c>
      <c r="AC267" s="11"/>
      <c r="AD267" s="11" t="s">
        <v>248</v>
      </c>
      <c r="AE267" s="37">
        <f>SUM(AE262:AE266)</f>
        <v>21076.11454208024</v>
      </c>
      <c r="AF267" s="37">
        <f>AF172</f>
        <v>24145.150891481477</v>
      </c>
      <c r="AG267" s="37">
        <f>SUM(AE267:AF267)</f>
        <v>45221.26543356171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60/C255</f>
        <v>2.0963878882979907</v>
      </c>
      <c r="D271" s="33">
        <f>60/D255</f>
        <v>1</v>
      </c>
      <c r="E271" s="11"/>
      <c r="O271" s="11"/>
      <c r="P271" s="11" t="s">
        <v>335</v>
      </c>
      <c r="Q271" s="33">
        <f>60/Q255</f>
        <v>2.267139139168149</v>
      </c>
      <c r="R271" s="33">
        <f>60/R255</f>
        <v>1</v>
      </c>
      <c r="S271" s="11"/>
      <c r="AC271" s="11"/>
      <c r="AD271" s="11" t="s">
        <v>335</v>
      </c>
      <c r="AE271" s="33">
        <f>60/AE255</f>
        <v>1.6202966655950488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1.0963878882979907</v>
      </c>
      <c r="E272" s="11"/>
      <c r="O272" s="11"/>
      <c r="P272" s="11" t="s">
        <v>385</v>
      </c>
      <c r="Q272" s="33"/>
      <c r="R272" s="33">
        <f>+Q271-R271</f>
        <v>1.2671391391681488</v>
      </c>
      <c r="S272" s="11"/>
      <c r="AC272" s="11"/>
      <c r="AD272" s="11" t="s">
        <v>385</v>
      </c>
      <c r="AE272" s="33"/>
      <c r="AF272" s="33">
        <f>+AE271-AF271</f>
        <v>0.6202966655950488</v>
      </c>
      <c r="AG272" s="11"/>
    </row>
    <row r="273" spans="1:33" ht="12.75">
      <c r="A273" s="11"/>
      <c r="B273" s="11" t="s">
        <v>461</v>
      </c>
      <c r="C273" s="33"/>
      <c r="D273" s="79">
        <f>+'Sensitivity Anal'!G18</f>
        <v>14</v>
      </c>
      <c r="E273" s="11"/>
      <c r="O273" s="11"/>
      <c r="P273" s="11" t="s">
        <v>461</v>
      </c>
      <c r="Q273" s="33"/>
      <c r="R273" s="79">
        <f>+D273</f>
        <v>14</v>
      </c>
      <c r="S273" s="11"/>
      <c r="AC273" s="11"/>
      <c r="AD273" s="11" t="s">
        <v>461</v>
      </c>
      <c r="AE273" s="33"/>
      <c r="AF273" s="79">
        <f>+D273</f>
        <v>14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0.2558238406028645</v>
      </c>
      <c r="E274" s="11"/>
      <c r="O274" s="11"/>
      <c r="P274" s="11" t="s">
        <v>336</v>
      </c>
      <c r="Q274" s="33"/>
      <c r="R274" s="38">
        <f>+R272*R273/60</f>
        <v>0.2956657991392347</v>
      </c>
      <c r="S274" s="11"/>
      <c r="AC274" s="11"/>
      <c r="AD274" s="11" t="s">
        <v>336</v>
      </c>
      <c r="AE274" s="33"/>
      <c r="AF274" s="38">
        <f>+AF272*AF273/60</f>
        <v>0.1447358886388447</v>
      </c>
      <c r="AG274" s="11"/>
    </row>
    <row r="275" spans="1:33" ht="12.75">
      <c r="A275" s="11"/>
      <c r="B275" s="11" t="s">
        <v>464</v>
      </c>
      <c r="C275" s="33"/>
      <c r="D275" s="30">
        <f>+'mode ch'!F135</f>
        <v>34631.04484753202</v>
      </c>
      <c r="E275" s="11"/>
      <c r="O275" s="11"/>
      <c r="P275" s="11" t="s">
        <v>464</v>
      </c>
      <c r="Q275" s="33"/>
      <c r="R275" s="30">
        <f>+'mode ch'!T135</f>
        <v>33953.889055875785</v>
      </c>
      <c r="S275" s="11"/>
      <c r="AC275" s="11"/>
      <c r="AD275" s="11" t="s">
        <v>464</v>
      </c>
      <c r="AE275" s="33"/>
      <c r="AF275" s="30">
        <f>+'mode ch'!AH135</f>
        <v>36662.51222250068</v>
      </c>
      <c r="AG275" s="11"/>
    </row>
    <row r="276" spans="1:33" ht="12.75">
      <c r="A276" s="11"/>
      <c r="B276" s="11" t="s">
        <v>465</v>
      </c>
      <c r="C276" s="33"/>
      <c r="D276" s="30">
        <f>+'mode ch'!F138</f>
        <v>42306.33802816901</v>
      </c>
      <c r="E276" s="11"/>
      <c r="O276" s="11"/>
      <c r="P276" s="11" t="s">
        <v>465</v>
      </c>
      <c r="Q276" s="33"/>
      <c r="R276" s="30">
        <f>+'mode ch'!T138</f>
        <v>43732.394366197186</v>
      </c>
      <c r="S276" s="11"/>
      <c r="AC276" s="11"/>
      <c r="AD276" s="11" t="s">
        <v>465</v>
      </c>
      <c r="AE276" s="33"/>
      <c r="AF276" s="30">
        <f>+'mode ch'!AH138</f>
        <v>38028.16901408451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19682.4167731949</v>
      </c>
      <c r="E277" s="11"/>
      <c r="O277" s="11"/>
      <c r="P277" s="11" t="s">
        <v>337</v>
      </c>
      <c r="Q277" s="33"/>
      <c r="R277" s="37">
        <f>+(R275+R276)*R274</f>
        <v>22969.177070144284</v>
      </c>
      <c r="S277" s="11"/>
      <c r="AC277" s="11"/>
      <c r="AD277" s="11" t="s">
        <v>337</v>
      </c>
      <c r="AE277" s="33"/>
      <c r="AF277" s="37">
        <f>+(AF275+AF276)*AF274</f>
        <v>10810.422121817843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177141.7509587541</v>
      </c>
      <c r="E279" s="11"/>
      <c r="O279" s="11"/>
      <c r="P279" s="11" t="s">
        <v>339</v>
      </c>
      <c r="Q279" s="33"/>
      <c r="R279" s="37">
        <f>+R278*R277</f>
        <v>137815.0624208657</v>
      </c>
      <c r="S279" s="11"/>
      <c r="AC279" s="11"/>
      <c r="AD279" s="11" t="s">
        <v>339</v>
      </c>
      <c r="AE279" s="33"/>
      <c r="AF279" s="37">
        <f>+AF278*AF277</f>
        <v>54052.11060908921</v>
      </c>
      <c r="AG279" s="11"/>
    </row>
    <row r="280" spans="1:33" ht="12.75">
      <c r="A280" s="11"/>
      <c r="B280" s="11" t="s">
        <v>480</v>
      </c>
      <c r="C280" s="33"/>
      <c r="D280" s="44">
        <v>250</v>
      </c>
      <c r="E280" s="11"/>
      <c r="O280" s="11"/>
      <c r="P280" s="11" t="s">
        <v>480</v>
      </c>
      <c r="Q280" s="33"/>
      <c r="R280" s="44">
        <v>250</v>
      </c>
      <c r="S280" s="11"/>
      <c r="AC280" s="11"/>
      <c r="AD280" s="11" t="s">
        <v>480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48713981.513657376</v>
      </c>
      <c r="E281" s="11"/>
      <c r="O281" s="11"/>
      <c r="P281" s="11" t="s">
        <v>467</v>
      </c>
      <c r="Q281" s="33"/>
      <c r="R281" s="37">
        <f>+R280*R279*1.1</f>
        <v>37899142.16573807</v>
      </c>
      <c r="S281" s="11"/>
      <c r="AC281" s="11"/>
      <c r="AD281" s="11" t="s">
        <v>467</v>
      </c>
      <c r="AE281" s="33"/>
      <c r="AF281" s="37">
        <f>+AF280*AF279*1.1</f>
        <v>14864330.417499535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1384872.891762619</v>
      </c>
      <c r="E282" s="11"/>
      <c r="O282" s="11"/>
      <c r="P282" s="11" t="s">
        <v>466</v>
      </c>
      <c r="Q282" s="33"/>
      <c r="R282" s="45">
        <f>+(R275+R276)*250*1.2*6/5*0.1</f>
        <v>2796706.2031946275</v>
      </c>
      <c r="S282" s="11"/>
      <c r="AC282" s="11"/>
      <c r="AD282" s="11" t="s">
        <v>466</v>
      </c>
      <c r="AE282" s="33"/>
      <c r="AF282" s="45">
        <f>+(AF275+AF276)*250*1.2*5/5*0.1</f>
        <v>2240720.437097556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14">
        <f>+E248-C12</f>
        <v>-4558.685797756771</v>
      </c>
      <c r="O287" s="11"/>
      <c r="P287" s="11" t="s">
        <v>343</v>
      </c>
      <c r="Q287" s="14"/>
      <c r="R287" s="14"/>
      <c r="S287" s="14">
        <f>+S248-Q12</f>
        <v>-5560.140218662622</v>
      </c>
      <c r="AC287" s="11"/>
      <c r="AD287" s="11" t="s">
        <v>343</v>
      </c>
      <c r="AE287" s="14"/>
      <c r="AF287" s="14"/>
      <c r="AG287" s="14">
        <f>+AG248-AE12</f>
        <v>-2346.331732064951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-273.52114786540625</v>
      </c>
      <c r="O291" s="11"/>
      <c r="P291" s="11" t="s">
        <v>598</v>
      </c>
      <c r="Q291" s="37"/>
      <c r="R291" s="37"/>
      <c r="S291" s="67">
        <f>+S287*S288</f>
        <v>-333.6084131197573</v>
      </c>
      <c r="AC291" s="11"/>
      <c r="AD291" s="11" t="s">
        <v>598</v>
      </c>
      <c r="AE291" s="37"/>
      <c r="AF291" s="37"/>
      <c r="AG291" s="67">
        <f>+AG287*AG288</f>
        <v>-140.77990392389708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395</v>
      </c>
      <c r="E295" s="24" t="s">
        <v>40</v>
      </c>
      <c r="O295" s="11"/>
      <c r="P295" s="11"/>
      <c r="Q295" s="24" t="s">
        <v>92</v>
      </c>
      <c r="R295" s="24" t="s">
        <v>395</v>
      </c>
      <c r="S295" s="24" t="s">
        <v>40</v>
      </c>
      <c r="AC295" s="11"/>
      <c r="AD295" s="11"/>
      <c r="AE295" s="24" t="s">
        <v>92</v>
      </c>
      <c r="AF295" s="24" t="s">
        <v>395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26413.05802821633</v>
      </c>
      <c r="D297" s="37">
        <f>+D267</f>
        <v>38239.44878208013</v>
      </c>
      <c r="E297" s="37">
        <f>SUM(C297:D297)</f>
        <v>64652.50681029646</v>
      </c>
      <c r="O297" s="26"/>
      <c r="P297" s="11" t="s">
        <v>349</v>
      </c>
      <c r="Q297" s="37">
        <f>+Q267</f>
        <v>27456.209741074385</v>
      </c>
      <c r="R297" s="37">
        <f>+R267</f>
        <v>43065.07776734957</v>
      </c>
      <c r="S297" s="37">
        <f>+S267</f>
        <v>70521.28750842395</v>
      </c>
      <c r="AC297" s="26"/>
      <c r="AD297" s="11" t="s">
        <v>349</v>
      </c>
      <c r="AE297" s="37">
        <f>+AE267</f>
        <v>21076.11454208024</v>
      </c>
      <c r="AF297" s="37">
        <f>+AF267</f>
        <v>24145.150891481477</v>
      </c>
      <c r="AG297" s="37">
        <f>+AG267</f>
        <v>45221.26543356171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10563.302257925729</v>
      </c>
      <c r="D303" s="37">
        <f>+D297*D302</f>
        <v>15292.998456675105</v>
      </c>
      <c r="E303" s="37">
        <f>SUM(C303:D303)</f>
        <v>25856.30071460083</v>
      </c>
      <c r="F303" s="75">
        <f>SUM(C303:D303)</f>
        <v>25856.30071460083</v>
      </c>
      <c r="O303" s="26"/>
      <c r="P303" s="11" t="s">
        <v>594</v>
      </c>
      <c r="Q303" s="37">
        <f>+Q297*Q302</f>
        <v>10980.487077344258</v>
      </c>
      <c r="R303" s="37">
        <f>+R297*R302</f>
        <v>17222.899095274155</v>
      </c>
      <c r="S303" s="37">
        <f>SUM(Q303:R303)</f>
        <v>28203.38617261841</v>
      </c>
      <c r="AC303" s="26"/>
      <c r="AD303" s="11" t="s">
        <v>594</v>
      </c>
      <c r="AE303" s="37">
        <f>+AE297*AE302</f>
        <v>8428.913005560526</v>
      </c>
      <c r="AF303" s="37">
        <f>+AF297*AF302</f>
        <v>9656.304342249136</v>
      </c>
      <c r="AG303" s="37">
        <f>SUM(AE303:AF303)</f>
        <v>18085.21734780966</v>
      </c>
    </row>
    <row r="304" spans="1:33" ht="12.75">
      <c r="A304" s="11"/>
      <c r="B304" s="11" t="s">
        <v>351</v>
      </c>
      <c r="C304" s="37">
        <f>C297+C303</f>
        <v>36976.36028614206</v>
      </c>
      <c r="D304" s="37">
        <f>D297+D303</f>
        <v>53532.44723875524</v>
      </c>
      <c r="E304" s="37">
        <f>SUM(C304:D304)</f>
        <v>90508.8075248973</v>
      </c>
      <c r="O304" s="11"/>
      <c r="P304" s="11" t="s">
        <v>351</v>
      </c>
      <c r="Q304" s="37">
        <f>Q297+Q303</f>
        <v>38436.69681841864</v>
      </c>
      <c r="R304" s="37">
        <f>R297+R303</f>
        <v>60287.97686262372</v>
      </c>
      <c r="S304" s="37">
        <f>SUM(Q304:R304)</f>
        <v>98724.67368104236</v>
      </c>
      <c r="AC304" s="11"/>
      <c r="AD304" s="11" t="s">
        <v>351</v>
      </c>
      <c r="AE304" s="37">
        <f>AE297+AE303</f>
        <v>29505.027547640762</v>
      </c>
      <c r="AF304" s="37">
        <f>AF297+AF303</f>
        <v>33801.45523373061</v>
      </c>
      <c r="AG304" s="37">
        <f>SUM(AE304:AF304)</f>
        <v>63306.48278137137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>
        <f>+C291</f>
        <v>0</v>
      </c>
      <c r="D306" s="37">
        <f>+D291</f>
        <v>0</v>
      </c>
      <c r="E306" s="37">
        <f>+E291</f>
        <v>-273.52114786540625</v>
      </c>
      <c r="O306" s="11"/>
      <c r="P306" s="11" t="s">
        <v>352</v>
      </c>
      <c r="Q306" s="37">
        <f>+Q291</f>
        <v>0</v>
      </c>
      <c r="R306" s="37">
        <f>+R291</f>
        <v>0</v>
      </c>
      <c r="S306" s="37">
        <f>+S291</f>
        <v>-333.6084131197573</v>
      </c>
      <c r="AC306" s="11"/>
      <c r="AD306" s="11" t="s">
        <v>352</v>
      </c>
      <c r="AE306" s="37">
        <f>+AE291</f>
        <v>0</v>
      </c>
      <c r="AF306" s="37">
        <f>+AF291</f>
        <v>0</v>
      </c>
      <c r="AG306" s="37">
        <f>+AG291</f>
        <v>-140.77990392389708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36976.36028614206</v>
      </c>
      <c r="D308" s="37">
        <f>D304-D306</f>
        <v>53532.44723875524</v>
      </c>
      <c r="E308" s="37">
        <f>+E304-E306</f>
        <v>90782.32867276271</v>
      </c>
      <c r="O308" s="11"/>
      <c r="P308" s="11" t="s">
        <v>353</v>
      </c>
      <c r="Q308" s="37">
        <f>Q304-Q306</f>
        <v>38436.69681841864</v>
      </c>
      <c r="R308" s="37">
        <f>R304-R306</f>
        <v>60287.97686262372</v>
      </c>
      <c r="S308" s="37">
        <f>+S304-S306</f>
        <v>99058.28209416212</v>
      </c>
      <c r="AC308" s="11"/>
      <c r="AD308" s="11" t="s">
        <v>353</v>
      </c>
      <c r="AE308" s="37">
        <f>AE304-AE306</f>
        <v>29505.027547640762</v>
      </c>
      <c r="AF308" s="37">
        <f>AF304-AF306</f>
        <v>33801.45523373061</v>
      </c>
      <c r="AG308" s="37">
        <f>+AG304-AG306</f>
        <v>63447.26268529527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9244090.071535515</v>
      </c>
      <c r="D310" s="37">
        <f>+D308*D309</f>
        <v>13383111.80968881</v>
      </c>
      <c r="E310" s="37">
        <f>+E308*E309</f>
        <v>22695582.168190677</v>
      </c>
      <c r="O310" s="11"/>
      <c r="P310" s="11" t="s">
        <v>355</v>
      </c>
      <c r="Q310" s="37">
        <f>+Q308*Q309</f>
        <v>9609174.204604661</v>
      </c>
      <c r="R310" s="37">
        <f>+R308*R309</f>
        <v>15071994.21565593</v>
      </c>
      <c r="S310" s="37">
        <f>+S308*S309</f>
        <v>24764570.52354053</v>
      </c>
      <c r="AC310" s="11"/>
      <c r="AD310" s="11" t="s">
        <v>355</v>
      </c>
      <c r="AE310" s="37">
        <f>+AE308*AE309</f>
        <v>7376256.886910191</v>
      </c>
      <c r="AF310" s="37">
        <f>+AF308*AF309</f>
        <v>8450363.808432652</v>
      </c>
      <c r="AG310" s="37">
        <f>+AG308*AG309</f>
        <v>15861815.671323817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504</v>
      </c>
      <c r="Q311" s="47">
        <v>12.409</v>
      </c>
      <c r="R311" s="47">
        <v>12.409</v>
      </c>
      <c r="S311" s="47">
        <v>12.409</v>
      </c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114.70991369768421</v>
      </c>
      <c r="D312" s="38">
        <f>+D310*D311/1000000</f>
        <v>166.07103444642846</v>
      </c>
      <c r="E312" s="38">
        <f>+E310*E311/1000000</f>
        <v>281.62947912507815</v>
      </c>
      <c r="O312" s="11"/>
      <c r="P312" s="11" t="s">
        <v>505</v>
      </c>
      <c r="Q312" s="38">
        <f>+Q310*Q311/1000000</f>
        <v>119.24024270493925</v>
      </c>
      <c r="R312" s="38">
        <f>+R310*R311/1000000</f>
        <v>187.02837622207446</v>
      </c>
      <c r="S312" s="38">
        <f>+S310*S311/1000000</f>
        <v>307.30355562661447</v>
      </c>
      <c r="AC312" s="11"/>
      <c r="AD312" s="11" t="s">
        <v>505</v>
      </c>
      <c r="AE312" s="38">
        <f>+AE310*AE311/1000000</f>
        <v>91.53197170966857</v>
      </c>
      <c r="AF312" s="38">
        <f>+AF310*AF311/1000000</f>
        <v>104.86056449884077</v>
      </c>
      <c r="AG312" s="38">
        <f>+AG310*AG311/1000000</f>
        <v>196.82927066545724</v>
      </c>
    </row>
    <row r="313" spans="1:5" ht="12.75">
      <c r="A313" s="26"/>
      <c r="B313" s="11"/>
      <c r="C313" s="37"/>
      <c r="D313" s="37"/>
      <c r="E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  <row r="322" spans="1:5" ht="12.75">
      <c r="A322" s="18"/>
      <c r="B322" s="18"/>
      <c r="C322" s="18"/>
      <c r="D322" s="18"/>
      <c r="E322" s="18"/>
    </row>
    <row r="323" spans="1:5" ht="12.75">
      <c r="A323" s="18"/>
      <c r="B323" s="18"/>
      <c r="C323" s="18"/>
      <c r="D323" s="18"/>
      <c r="E323" s="18"/>
    </row>
    <row r="324" spans="1:5" ht="12.75">
      <c r="A324" s="18"/>
      <c r="B324" s="18"/>
      <c r="C324" s="18"/>
      <c r="D324" s="18"/>
      <c r="E324" s="18"/>
    </row>
    <row r="325" spans="1:5" ht="12.75">
      <c r="A325" s="18"/>
      <c r="B325" s="18"/>
      <c r="C325" s="18"/>
      <c r="D325" s="18"/>
      <c r="E325" s="18"/>
    </row>
    <row r="326" spans="1:5" ht="12.75">
      <c r="A326" s="18"/>
      <c r="B326" s="18"/>
      <c r="C326" s="18"/>
      <c r="D326" s="18"/>
      <c r="E326" s="18"/>
    </row>
    <row r="327" spans="1:5" ht="12.75">
      <c r="A327" s="18"/>
      <c r="B327" s="18"/>
      <c r="C327" s="18"/>
      <c r="D327" s="18"/>
      <c r="E327" s="18"/>
    </row>
    <row r="328" spans="1:5" ht="12.75">
      <c r="A328" s="18"/>
      <c r="B328" s="18"/>
      <c r="C328" s="18"/>
      <c r="D328" s="18"/>
      <c r="E328" s="18"/>
    </row>
    <row r="329" spans="1:5" ht="12.75">
      <c r="A329" s="18"/>
      <c r="B329" s="18"/>
      <c r="C329" s="18"/>
      <c r="D329" s="18"/>
      <c r="E329" s="18"/>
    </row>
    <row r="330" spans="1:5" ht="12.75">
      <c r="A330" s="18"/>
      <c r="B330" s="18"/>
      <c r="C330" s="18"/>
      <c r="D330" s="18"/>
      <c r="E330" s="18"/>
    </row>
    <row r="331" spans="1:5" ht="12.75">
      <c r="A331" s="18"/>
      <c r="B331" s="18"/>
      <c r="C331" s="18"/>
      <c r="D331" s="18"/>
      <c r="E331" s="18"/>
    </row>
    <row r="332" spans="1:5" ht="12.75">
      <c r="A332" s="18"/>
      <c r="B332" s="18"/>
      <c r="C332" s="18"/>
      <c r="D332" s="18"/>
      <c r="E332" s="18"/>
    </row>
    <row r="333" spans="1:5" ht="12.75">
      <c r="A333" s="18"/>
      <c r="B333" s="18"/>
      <c r="C333" s="18"/>
      <c r="D333" s="18"/>
      <c r="E333" s="18"/>
    </row>
    <row r="334" spans="1:5" ht="12.75">
      <c r="A334" s="18"/>
      <c r="B334" s="18"/>
      <c r="C334" s="18"/>
      <c r="D334" s="18"/>
      <c r="E334" s="18"/>
    </row>
    <row r="335" spans="1:5" ht="12.75">
      <c r="A335" s="18"/>
      <c r="B335" s="18"/>
      <c r="C335" s="18"/>
      <c r="D335" s="18"/>
      <c r="E335" s="18"/>
    </row>
    <row r="336" spans="1:5" ht="12.75">
      <c r="A336" s="18"/>
      <c r="B336" s="18"/>
      <c r="C336" s="18"/>
      <c r="D336" s="18"/>
      <c r="E336" s="18"/>
    </row>
    <row r="337" spans="1:5" ht="12.75">
      <c r="A337" s="18"/>
      <c r="B337" s="18"/>
      <c r="C337" s="18"/>
      <c r="D337" s="18"/>
      <c r="E337" s="18"/>
    </row>
    <row r="338" spans="1:5" ht="12.75">
      <c r="A338" s="18"/>
      <c r="B338" s="18"/>
      <c r="C338" s="18"/>
      <c r="D338" s="18"/>
      <c r="E338" s="18"/>
    </row>
    <row r="339" spans="1:5" ht="12.75">
      <c r="A339" s="18"/>
      <c r="B339" s="18"/>
      <c r="C339" s="18"/>
      <c r="D339" s="18"/>
      <c r="E339" s="18"/>
    </row>
    <row r="340" spans="1:5" ht="12.75">
      <c r="A340" s="18"/>
      <c r="B340" s="18"/>
      <c r="C340" s="18"/>
      <c r="D340" s="18"/>
      <c r="E340" s="18"/>
    </row>
    <row r="341" spans="1:5" ht="12.75">
      <c r="A341" s="18"/>
      <c r="B341" s="18"/>
      <c r="C341" s="18"/>
      <c r="D341" s="18"/>
      <c r="E341" s="18"/>
    </row>
    <row r="342" spans="1:5" ht="12.75">
      <c r="A342" s="18"/>
      <c r="B342" s="18"/>
      <c r="C342" s="18"/>
      <c r="D342" s="18"/>
      <c r="E342" s="18"/>
    </row>
    <row r="343" spans="1:5" ht="12.75">
      <c r="A343" s="18"/>
      <c r="B343" s="18"/>
      <c r="C343" s="18"/>
      <c r="D343" s="18"/>
      <c r="E343" s="18"/>
    </row>
    <row r="344" spans="1:5" ht="12.75">
      <c r="A344" s="18"/>
      <c r="B344" s="18"/>
      <c r="C344" s="18"/>
      <c r="D344" s="18"/>
      <c r="E344" s="18"/>
    </row>
    <row r="345" spans="1:5" ht="12.75">
      <c r="A345" s="18"/>
      <c r="B345" s="18"/>
      <c r="C345" s="18"/>
      <c r="D345" s="18"/>
      <c r="E345" s="18"/>
    </row>
    <row r="346" spans="1:5" ht="12.75">
      <c r="A346" s="18"/>
      <c r="B346" s="18"/>
      <c r="C346" s="18"/>
      <c r="D346" s="18"/>
      <c r="E346" s="18"/>
    </row>
    <row r="347" spans="1:5" ht="12.75">
      <c r="A347" s="18"/>
      <c r="B347" s="18"/>
      <c r="C347" s="18"/>
      <c r="D347" s="18"/>
      <c r="E347" s="18"/>
    </row>
    <row r="348" spans="1:5" ht="12.75">
      <c r="A348" s="18"/>
      <c r="B348" s="18"/>
      <c r="C348" s="18"/>
      <c r="D348" s="18"/>
      <c r="E348" s="18"/>
    </row>
    <row r="349" spans="1:5" ht="12.75">
      <c r="A349" s="18"/>
      <c r="B349" s="18"/>
      <c r="C349" s="18"/>
      <c r="D349" s="18"/>
      <c r="E349" s="18"/>
    </row>
    <row r="350" spans="1:5" ht="12.75">
      <c r="A350" s="18"/>
      <c r="B350" s="18"/>
      <c r="C350" s="18"/>
      <c r="D350" s="18"/>
      <c r="E350" s="18"/>
    </row>
    <row r="351" spans="1:5" ht="12.75">
      <c r="A351" s="18"/>
      <c r="B351" s="18"/>
      <c r="C351" s="18"/>
      <c r="D351" s="18"/>
      <c r="E351" s="18"/>
    </row>
    <row r="352" spans="1:5" ht="12.75">
      <c r="A352" s="18"/>
      <c r="B352" s="18"/>
      <c r="C352" s="18"/>
      <c r="D352" s="18"/>
      <c r="E352" s="18"/>
    </row>
    <row r="353" spans="1:5" ht="12.75">
      <c r="A353" s="18"/>
      <c r="B353" s="18"/>
      <c r="C353" s="18"/>
      <c r="D353" s="18"/>
      <c r="E353" s="18"/>
    </row>
    <row r="354" spans="1:5" ht="12.75">
      <c r="A354" s="18"/>
      <c r="B354" s="18"/>
      <c r="C354" s="18"/>
      <c r="D354" s="18"/>
      <c r="E354" s="18"/>
    </row>
    <row r="355" spans="1:5" ht="12.75">
      <c r="A355" s="18"/>
      <c r="B355" s="18"/>
      <c r="C355" s="18"/>
      <c r="D355" s="18"/>
      <c r="E355" s="18"/>
    </row>
    <row r="356" spans="1:5" ht="12.75">
      <c r="A356" s="18"/>
      <c r="B356" s="18"/>
      <c r="C356" s="18"/>
      <c r="D356" s="18"/>
      <c r="E356" s="18"/>
    </row>
    <row r="357" spans="1:5" ht="12.75">
      <c r="A357" s="18"/>
      <c r="B357" s="18"/>
      <c r="C357" s="18"/>
      <c r="D357" s="18"/>
      <c r="E357" s="18"/>
    </row>
    <row r="358" spans="1:5" ht="12.75">
      <c r="A358" s="18"/>
      <c r="B358" s="18"/>
      <c r="C358" s="18"/>
      <c r="D358" s="18"/>
      <c r="E358" s="18"/>
    </row>
    <row r="359" spans="1:5" ht="12.75">
      <c r="A359" s="18"/>
      <c r="B359" s="18"/>
      <c r="C359" s="18"/>
      <c r="D359" s="18"/>
      <c r="E359" s="18"/>
    </row>
    <row r="360" spans="1:5" ht="12.75">
      <c r="A360" s="18"/>
      <c r="B360" s="18"/>
      <c r="C360" s="18"/>
      <c r="D360" s="18"/>
      <c r="E360" s="18"/>
    </row>
    <row r="361" spans="1:5" ht="12.75">
      <c r="A361" s="18"/>
      <c r="B361" s="18"/>
      <c r="C361" s="18"/>
      <c r="D361" s="18"/>
      <c r="E361" s="18"/>
    </row>
    <row r="362" spans="1:5" ht="12.75">
      <c r="A362" s="18"/>
      <c r="B362" s="18"/>
      <c r="C362" s="18"/>
      <c r="D362" s="18"/>
      <c r="E362" s="18"/>
    </row>
    <row r="363" spans="1:5" ht="12.75">
      <c r="A363" s="18"/>
      <c r="B363" s="18"/>
      <c r="C363" s="18"/>
      <c r="D363" s="18"/>
      <c r="E363" s="18"/>
    </row>
    <row r="364" spans="1:5" ht="12.75">
      <c r="A364" s="18"/>
      <c r="B364" s="18"/>
      <c r="C364" s="18"/>
      <c r="D364" s="18"/>
      <c r="E364" s="18"/>
    </row>
    <row r="365" spans="1:5" ht="12.75">
      <c r="A365" s="18"/>
      <c r="B365" s="18"/>
      <c r="C365" s="18"/>
      <c r="D365" s="18"/>
      <c r="E365" s="18"/>
    </row>
    <row r="366" spans="1:5" ht="12.75">
      <c r="A366" s="18"/>
      <c r="B366" s="18"/>
      <c r="C366" s="18"/>
      <c r="D366" s="18"/>
      <c r="E366" s="18"/>
    </row>
    <row r="367" spans="1:5" ht="12.75">
      <c r="A367" s="18"/>
      <c r="B367" s="18"/>
      <c r="C367" s="18"/>
      <c r="D367" s="18"/>
      <c r="E367" s="18"/>
    </row>
    <row r="368" spans="1:5" ht="12.75">
      <c r="A368" s="18"/>
      <c r="B368" s="18"/>
      <c r="C368" s="18"/>
      <c r="D368" s="18"/>
      <c r="E368" s="18"/>
    </row>
    <row r="369" spans="1:5" ht="12.75">
      <c r="A369" s="18"/>
      <c r="B369" s="18"/>
      <c r="C369" s="18"/>
      <c r="D369" s="18"/>
      <c r="E369" s="18"/>
    </row>
  </sheetData>
  <printOptions/>
  <pageMargins left="0.75" right="0.75" top="1" bottom="1" header="0.5" footer="0.5"/>
  <pageSetup fitToHeight="0" fitToWidth="1" horizontalDpi="600" verticalDpi="600" orientation="portrait" scale="84" r:id="rId1"/>
  <rowBreaks count="4" manualBreakCount="4">
    <brk id="58" max="255" man="1"/>
    <brk id="109" max="255" man="1"/>
    <brk id="164" max="255" man="1"/>
    <brk id="2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1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3.140625" style="0" customWidth="1"/>
    <col min="3" max="3" width="17.421875" style="0" customWidth="1"/>
    <col min="4" max="4" width="17.140625" style="0" customWidth="1"/>
    <col min="5" max="5" width="15.421875" style="0" customWidth="1"/>
    <col min="6" max="6" width="4.8515625" style="0" customWidth="1"/>
    <col min="7" max="7" width="3.7109375" style="0" customWidth="1"/>
    <col min="8" max="8" width="3.8515625" style="0" customWidth="1"/>
    <col min="9" max="9" width="3.7109375" style="0" customWidth="1"/>
    <col min="10" max="10" width="4.421875" style="0" customWidth="1"/>
    <col min="11" max="11" width="3.7109375" style="0" customWidth="1"/>
    <col min="12" max="12" width="2.00390625" style="0" customWidth="1"/>
    <col min="13" max="13" width="2.421875" style="0" customWidth="1"/>
    <col min="14" max="14" width="4.57421875" style="0" customWidth="1"/>
    <col min="15" max="15" width="5.28125" style="0" customWidth="1"/>
    <col min="16" max="16" width="45.140625" style="0" customWidth="1"/>
    <col min="17" max="17" width="17.7109375" style="0" customWidth="1"/>
    <col min="18" max="18" width="17.00390625" style="0" customWidth="1"/>
    <col min="19" max="19" width="15.140625" style="0" customWidth="1"/>
    <col min="20" max="20" width="2.421875" style="0" customWidth="1"/>
    <col min="21" max="21" width="4.421875" style="0" customWidth="1"/>
    <col min="22" max="22" width="3.7109375" style="0" customWidth="1"/>
    <col min="23" max="23" width="3.140625" style="0" customWidth="1"/>
    <col min="24" max="24" width="3.7109375" style="0" customWidth="1"/>
    <col min="25" max="25" width="3.00390625" style="0" customWidth="1"/>
    <col min="26" max="26" width="3.8515625" style="0" customWidth="1"/>
    <col min="27" max="27" width="3.421875" style="0" customWidth="1"/>
    <col min="28" max="28" width="3.140625" style="0" customWidth="1"/>
    <col min="29" max="29" width="5.140625" style="0" customWidth="1"/>
    <col min="30" max="30" width="43.140625" style="0" customWidth="1"/>
    <col min="31" max="31" width="16.57421875" style="0" customWidth="1"/>
    <col min="32" max="32" width="19.8515625" style="0" customWidth="1"/>
    <col min="33" max="33" width="18.710937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411</v>
      </c>
      <c r="B3" s="17"/>
      <c r="C3" s="18"/>
      <c r="D3" s="21"/>
      <c r="E3" s="21"/>
      <c r="O3" s="17" t="s">
        <v>411</v>
      </c>
      <c r="P3" s="17"/>
      <c r="Q3" s="18"/>
      <c r="R3" s="21"/>
      <c r="S3" s="21"/>
      <c r="AC3" s="17" t="s">
        <v>411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+'alt 1'!C7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412</v>
      </c>
      <c r="D39" s="21"/>
      <c r="E39" s="21"/>
      <c r="O39" s="11"/>
      <c r="P39" s="11"/>
      <c r="Q39" s="21" t="s">
        <v>412</v>
      </c>
      <c r="R39" s="21"/>
      <c r="S39" s="21"/>
      <c r="AC39" s="11"/>
      <c r="AD39" s="11"/>
      <c r="AE39" s="21" t="s">
        <v>412</v>
      </c>
      <c r="AF39" s="21"/>
      <c r="AG39" s="21"/>
    </row>
    <row r="40" spans="1:33" ht="12.75">
      <c r="A40" s="11"/>
      <c r="B40" s="11"/>
      <c r="C40" s="24" t="s">
        <v>92</v>
      </c>
      <c r="D40" s="24" t="s">
        <v>395</v>
      </c>
      <c r="E40" s="24" t="s">
        <v>40</v>
      </c>
      <c r="O40" s="11"/>
      <c r="P40" s="11"/>
      <c r="Q40" s="24" t="s">
        <v>92</v>
      </c>
      <c r="R40" s="24" t="s">
        <v>395</v>
      </c>
      <c r="S40" s="24" t="s">
        <v>40</v>
      </c>
      <c r="AC40" s="11"/>
      <c r="AD40" s="11"/>
      <c r="AE40" s="24" t="s">
        <v>92</v>
      </c>
      <c r="AF40" s="24" t="s">
        <v>395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0</v>
      </c>
      <c r="D43" s="30">
        <f>+'mode ch'!G139</f>
        <v>270475.912181858</v>
      </c>
      <c r="E43" s="30">
        <f>+'mode ch'!G129</f>
        <v>270475.912181858</v>
      </c>
      <c r="O43" s="11" t="s">
        <v>96</v>
      </c>
      <c r="P43" s="11" t="s">
        <v>365</v>
      </c>
      <c r="Q43" s="30">
        <f>+S43-R43</f>
        <v>0</v>
      </c>
      <c r="R43" s="30">
        <f>+'mode ch'!U139</f>
        <v>274091.9541655161</v>
      </c>
      <c r="S43" s="30">
        <f>+'mode ch'!U129</f>
        <v>274091.9541655161</v>
      </c>
      <c r="AC43" s="11" t="s">
        <v>96</v>
      </c>
      <c r="AD43" s="11" t="s">
        <v>365</v>
      </c>
      <c r="AE43" s="30">
        <f>+AG43-AF43</f>
        <v>0</v>
      </c>
      <c r="AF43" s="30">
        <f>+'mode ch'!AI139</f>
        <v>259627.78623088356</v>
      </c>
      <c r="AG43" s="30">
        <f>+'mode ch'!AI129</f>
        <v>259627.78623088356</v>
      </c>
    </row>
    <row r="44" spans="1:33" ht="12.75">
      <c r="A44" s="11" t="s">
        <v>97</v>
      </c>
      <c r="B44" s="11" t="s">
        <v>98</v>
      </c>
      <c r="C44" s="30">
        <f>+'mode ch'!G112</f>
        <v>0.228</v>
      </c>
      <c r="D44" s="30">
        <f>+'mode ch'!G111</f>
        <v>24000</v>
      </c>
      <c r="E44" s="14"/>
      <c r="O44" s="11" t="s">
        <v>97</v>
      </c>
      <c r="P44" s="11" t="s">
        <v>98</v>
      </c>
      <c r="Q44" s="30">
        <f>+'mode ch'!U112</f>
        <v>0.228</v>
      </c>
      <c r="R44" s="30">
        <f>+'mode ch'!U111</f>
        <v>24000</v>
      </c>
      <c r="S44" s="14"/>
      <c r="AC44" s="11" t="s">
        <v>97</v>
      </c>
      <c r="AD44" s="11" t="s">
        <v>98</v>
      </c>
      <c r="AE44" s="30">
        <f>+'mode ch'!AI112</f>
        <v>0.228</v>
      </c>
      <c r="AF44" s="30">
        <f>+'mode ch'!AI111</f>
        <v>24000</v>
      </c>
      <c r="AG44" s="14"/>
    </row>
    <row r="45" spans="1:33" ht="12.75">
      <c r="A45" s="11" t="s">
        <v>99</v>
      </c>
      <c r="B45" s="11" t="s">
        <v>65</v>
      </c>
      <c r="C45" s="14"/>
      <c r="D45" s="14"/>
      <c r="E45" s="14"/>
      <c r="O45" s="11" t="s">
        <v>99</v>
      </c>
      <c r="P45" s="11" t="s">
        <v>65</v>
      </c>
      <c r="Q45" s="14"/>
      <c r="R45" s="14"/>
      <c r="S45" s="14"/>
      <c r="AC45" s="11" t="s">
        <v>99</v>
      </c>
      <c r="AD45" s="11" t="s">
        <v>65</v>
      </c>
      <c r="AE45" s="14"/>
      <c r="AF45" s="14"/>
      <c r="AG45" s="14"/>
    </row>
    <row r="46" spans="1:33" ht="12.75">
      <c r="A46" s="11" t="s">
        <v>100</v>
      </c>
      <c r="B46" s="11" t="s">
        <v>67</v>
      </c>
      <c r="C46" s="14"/>
      <c r="D46" s="14"/>
      <c r="E46" s="14"/>
      <c r="O46" s="11" t="s">
        <v>100</v>
      </c>
      <c r="P46" s="11" t="s">
        <v>67</v>
      </c>
      <c r="Q46" s="14"/>
      <c r="R46" s="14"/>
      <c r="S46" s="14"/>
      <c r="AC46" s="11" t="s">
        <v>100</v>
      </c>
      <c r="AD46" s="11" t="s">
        <v>67</v>
      </c>
      <c r="AE46" s="14"/>
      <c r="AF46" s="14"/>
      <c r="AG46" s="14"/>
    </row>
    <row r="47" spans="1:33" ht="12.75">
      <c r="A47" s="11" t="s">
        <v>101</v>
      </c>
      <c r="B47" s="11" t="s">
        <v>69</v>
      </c>
      <c r="C47" s="31"/>
      <c r="D47" s="31"/>
      <c r="E47" s="31"/>
      <c r="O47" s="11" t="s">
        <v>101</v>
      </c>
      <c r="P47" s="11" t="s">
        <v>69</v>
      </c>
      <c r="Q47" s="31"/>
      <c r="R47" s="31"/>
      <c r="S47" s="31"/>
      <c r="AC47" s="11" t="s">
        <v>101</v>
      </c>
      <c r="AD47" s="11" t="s">
        <v>69</v>
      </c>
      <c r="AE47" s="31"/>
      <c r="AF47" s="31"/>
      <c r="AG47" s="31"/>
    </row>
    <row r="48" spans="1:33" ht="12.75">
      <c r="A48" s="11" t="s">
        <v>102</v>
      </c>
      <c r="B48" s="11" t="s">
        <v>71</v>
      </c>
      <c r="C48" s="31"/>
      <c r="D48" s="31"/>
      <c r="E48" s="31"/>
      <c r="O48" s="11" t="s">
        <v>102</v>
      </c>
      <c r="P48" s="11" t="s">
        <v>71</v>
      </c>
      <c r="Q48" s="31"/>
      <c r="R48" s="31"/>
      <c r="S48" s="31"/>
      <c r="AC48" s="11" t="s">
        <v>102</v>
      </c>
      <c r="AD48" s="11" t="s">
        <v>71</v>
      </c>
      <c r="AE48" s="31"/>
      <c r="AF48" s="31"/>
      <c r="AG48" s="31"/>
    </row>
    <row r="49" spans="1:33" ht="12.75">
      <c r="A49" s="11" t="s">
        <v>103</v>
      </c>
      <c r="B49" s="11" t="s">
        <v>73</v>
      </c>
      <c r="C49" s="14"/>
      <c r="D49" s="14"/>
      <c r="E49" s="14"/>
      <c r="O49" s="11" t="s">
        <v>103</v>
      </c>
      <c r="P49" s="11" t="s">
        <v>73</v>
      </c>
      <c r="Q49" s="14"/>
      <c r="R49" s="14"/>
      <c r="S49" s="14"/>
      <c r="AC49" s="11" t="s">
        <v>103</v>
      </c>
      <c r="AD49" s="11" t="s">
        <v>73</v>
      </c>
      <c r="AE49" s="14"/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/>
      <c r="D51" s="14"/>
      <c r="E51" s="14"/>
      <c r="O51" s="11"/>
      <c r="P51" s="11" t="s">
        <v>402</v>
      </c>
      <c r="Q51" s="31"/>
      <c r="R51" s="14"/>
      <c r="S51" s="14"/>
      <c r="AC51" s="11"/>
      <c r="AD51" s="11" t="s">
        <v>402</v>
      </c>
      <c r="AE51" s="31"/>
      <c r="AF51" s="14"/>
      <c r="AG51" s="14"/>
    </row>
    <row r="52" spans="1:33" ht="12.75">
      <c r="A52" s="11"/>
      <c r="B52" s="11" t="s">
        <v>403</v>
      </c>
      <c r="C52" s="14"/>
      <c r="D52" s="14"/>
      <c r="E52" s="14"/>
      <c r="O52" s="11"/>
      <c r="P52" s="11" t="s">
        <v>403</v>
      </c>
      <c r="Q52" s="14"/>
      <c r="R52" s="14"/>
      <c r="S52" s="14"/>
      <c r="AC52" s="11"/>
      <c r="AD52" s="11" t="s">
        <v>403</v>
      </c>
      <c r="AE52" s="14"/>
      <c r="AF52" s="14"/>
      <c r="AG52" s="14"/>
    </row>
    <row r="53" spans="1:33" ht="12.75">
      <c r="A53" s="11"/>
      <c r="B53" s="11" t="s">
        <v>472</v>
      </c>
      <c r="C53" s="14"/>
      <c r="D53" s="14"/>
      <c r="E53" s="14"/>
      <c r="O53" s="11"/>
      <c r="P53" s="11" t="s">
        <v>472</v>
      </c>
      <c r="Q53" s="14"/>
      <c r="R53" s="14"/>
      <c r="S53" s="14"/>
      <c r="AC53" s="11"/>
      <c r="AD53" s="11" t="s">
        <v>404</v>
      </c>
      <c r="AE53" s="14"/>
      <c r="AF53" s="14"/>
      <c r="AG53" s="14"/>
    </row>
    <row r="54" spans="1:33" ht="12.75">
      <c r="A54" s="11"/>
      <c r="B54" s="11" t="s">
        <v>405</v>
      </c>
      <c r="C54" s="14"/>
      <c r="D54" s="14"/>
      <c r="E54" s="14"/>
      <c r="O54" s="11"/>
      <c r="P54" s="11" t="s">
        <v>405</v>
      </c>
      <c r="Q54" s="14"/>
      <c r="R54" s="14"/>
      <c r="S54" s="14"/>
      <c r="AC54" s="11"/>
      <c r="AD54" s="11" t="s">
        <v>405</v>
      </c>
      <c r="AE54" s="14"/>
      <c r="AF54" s="14"/>
      <c r="AG54" s="14"/>
    </row>
    <row r="55" spans="1:33" ht="12.75">
      <c r="A55" s="11"/>
      <c r="B55" s="11" t="s">
        <v>406</v>
      </c>
      <c r="C55" s="14"/>
      <c r="D55" s="14"/>
      <c r="E55" s="14"/>
      <c r="O55" s="11"/>
      <c r="P55" s="11" t="s">
        <v>406</v>
      </c>
      <c r="Q55" s="14"/>
      <c r="R55" s="14"/>
      <c r="S55" s="14"/>
      <c r="AC55" s="11"/>
      <c r="AD55" s="11" t="s">
        <v>406</v>
      </c>
      <c r="AE55" s="14"/>
      <c r="AF55" s="14"/>
      <c r="AG55" s="14"/>
    </row>
    <row r="56" spans="1:33" ht="12.75">
      <c r="A56" s="11"/>
      <c r="B56" s="11" t="s">
        <v>407</v>
      </c>
      <c r="C56" s="14"/>
      <c r="D56" s="14"/>
      <c r="E56" s="14"/>
      <c r="O56" s="11"/>
      <c r="P56" s="11" t="s">
        <v>407</v>
      </c>
      <c r="Q56" s="14"/>
      <c r="R56" s="14"/>
      <c r="S56" s="14"/>
      <c r="AC56" s="11"/>
      <c r="AD56" s="11" t="s">
        <v>407</v>
      </c>
      <c r="AE56" s="14"/>
      <c r="AF56" s="14"/>
      <c r="AG56" s="14"/>
    </row>
    <row r="57" spans="1:33" ht="12.75">
      <c r="A57" s="11"/>
      <c r="B57" s="11" t="s">
        <v>408</v>
      </c>
      <c r="C57" s="14"/>
      <c r="D57" s="14"/>
      <c r="E57" s="14"/>
      <c r="O57" s="11"/>
      <c r="P57" s="11" t="s">
        <v>408</v>
      </c>
      <c r="Q57" s="14"/>
      <c r="R57" s="14"/>
      <c r="S57" s="14"/>
      <c r="AC57" s="11"/>
      <c r="AD57" s="11" t="s">
        <v>408</v>
      </c>
      <c r="AE57" s="14"/>
      <c r="AF57" s="14"/>
      <c r="AG57" s="14"/>
    </row>
    <row r="58" spans="1:33" ht="12.75">
      <c r="A58" s="11" t="s">
        <v>104</v>
      </c>
      <c r="B58" s="11" t="s">
        <v>105</v>
      </c>
      <c r="C58" s="14"/>
      <c r="D58" s="14">
        <f>+'mode ch'!G37-'mode ch'!G128</f>
        <v>-1010.6622726744754</v>
      </c>
      <c r="E58" s="14"/>
      <c r="O58" s="11" t="s">
        <v>104</v>
      </c>
      <c r="P58" s="11" t="s">
        <v>105</v>
      </c>
      <c r="Q58" s="14"/>
      <c r="R58" s="14">
        <f>+'mode ch'!U37-'mode ch'!U128</f>
        <v>-6545.8531357983375</v>
      </c>
      <c r="S58" s="14"/>
      <c r="AC58" s="11" t="s">
        <v>104</v>
      </c>
      <c r="AD58" s="11" t="s">
        <v>105</v>
      </c>
      <c r="AE58" s="14"/>
      <c r="AF58" s="14">
        <f>+'mode ch'!AI37-'mode ch'!AI128</f>
        <v>15594.910316697118</v>
      </c>
      <c r="AG58" s="14"/>
    </row>
    <row r="59" spans="1:33" ht="12.75">
      <c r="A59" s="11" t="s">
        <v>106</v>
      </c>
      <c r="B59" s="11" t="s">
        <v>107</v>
      </c>
      <c r="C59" s="14"/>
      <c r="D59" s="14">
        <f>D43+D58</f>
        <v>269465.2499091835</v>
      </c>
      <c r="E59" s="14"/>
      <c r="O59" s="11" t="s">
        <v>106</v>
      </c>
      <c r="P59" s="11" t="s">
        <v>107</v>
      </c>
      <c r="Q59" s="14"/>
      <c r="R59" s="14">
        <f>R43+R58</f>
        <v>267546.1010297177</v>
      </c>
      <c r="S59" s="14"/>
      <c r="AC59" s="11" t="s">
        <v>106</v>
      </c>
      <c r="AD59" s="11" t="s">
        <v>107</v>
      </c>
      <c r="AE59" s="14"/>
      <c r="AF59" s="14">
        <f>AF43+AF58</f>
        <v>275222.69654758065</v>
      </c>
      <c r="AG59" s="14"/>
    </row>
    <row r="60" spans="1:33" ht="12.75">
      <c r="A60" s="11" t="s">
        <v>108</v>
      </c>
      <c r="B60" s="11" t="s">
        <v>109</v>
      </c>
      <c r="C60" s="31"/>
      <c r="D60" s="31"/>
      <c r="E60" s="31"/>
      <c r="O60" s="11" t="s">
        <v>108</v>
      </c>
      <c r="P60" s="11" t="s">
        <v>109</v>
      </c>
      <c r="Q60" s="31"/>
      <c r="R60" s="31"/>
      <c r="S60" s="31"/>
      <c r="AC60" s="11" t="s">
        <v>108</v>
      </c>
      <c r="AD60" s="11" t="s">
        <v>109</v>
      </c>
      <c r="AE60" s="31"/>
      <c r="AF60" s="31"/>
      <c r="AG60" s="31"/>
    </row>
    <row r="61" spans="1:33" ht="12.75">
      <c r="A61" s="11" t="s">
        <v>110</v>
      </c>
      <c r="B61" s="11" t="s">
        <v>111</v>
      </c>
      <c r="C61" s="31"/>
      <c r="D61" s="31"/>
      <c r="E61" s="31"/>
      <c r="O61" s="11" t="s">
        <v>110</v>
      </c>
      <c r="P61" s="11" t="s">
        <v>111</v>
      </c>
      <c r="Q61" s="31"/>
      <c r="R61" s="31"/>
      <c r="S61" s="31"/>
      <c r="AC61" s="11" t="s">
        <v>110</v>
      </c>
      <c r="AD61" s="11" t="s">
        <v>111</v>
      </c>
      <c r="AE61" s="31"/>
      <c r="AF61" s="31"/>
      <c r="AG61" s="31"/>
    </row>
    <row r="62" spans="1:33" ht="12.75">
      <c r="A62" s="11" t="s">
        <v>112</v>
      </c>
      <c r="B62" s="11" t="s">
        <v>113</v>
      </c>
      <c r="C62" s="31"/>
      <c r="D62" s="31"/>
      <c r="E62" s="31"/>
      <c r="O62" s="11" t="s">
        <v>112</v>
      </c>
      <c r="P62" s="11" t="s">
        <v>113</v>
      </c>
      <c r="Q62" s="31"/>
      <c r="R62" s="31"/>
      <c r="S62" s="31"/>
      <c r="AC62" s="11" t="s">
        <v>112</v>
      </c>
      <c r="AD62" s="11" t="s">
        <v>113</v>
      </c>
      <c r="AE62" s="31"/>
      <c r="AF62" s="31"/>
      <c r="AG62" s="31"/>
    </row>
    <row r="63" spans="1:33" ht="12.75">
      <c r="A63" s="11" t="s">
        <v>114</v>
      </c>
      <c r="B63" s="11" t="s">
        <v>115</v>
      </c>
      <c r="C63" s="14"/>
      <c r="D63" s="14"/>
      <c r="E63" s="14"/>
      <c r="O63" s="11" t="s">
        <v>114</v>
      </c>
      <c r="P63" s="11" t="s">
        <v>115</v>
      </c>
      <c r="Q63" s="14"/>
      <c r="R63" s="14"/>
      <c r="S63" s="14"/>
      <c r="AC63" s="11" t="s">
        <v>114</v>
      </c>
      <c r="AD63" s="11" t="s">
        <v>115</v>
      </c>
      <c r="AE63" s="14"/>
      <c r="AF63" s="14"/>
      <c r="AG63" s="14"/>
    </row>
    <row r="64" spans="1:33" ht="12.75">
      <c r="A64" s="11" t="s">
        <v>116</v>
      </c>
      <c r="B64" s="11" t="s">
        <v>117</v>
      </c>
      <c r="C64" s="14"/>
      <c r="D64" s="14"/>
      <c r="E64" s="14"/>
      <c r="O64" s="11" t="s">
        <v>116</v>
      </c>
      <c r="P64" s="11" t="s">
        <v>117</v>
      </c>
      <c r="Q64" s="14"/>
      <c r="R64" s="14"/>
      <c r="S64" s="14"/>
      <c r="AC64" s="11" t="s">
        <v>116</v>
      </c>
      <c r="AD64" s="11" t="s">
        <v>117</v>
      </c>
      <c r="AE64" s="14"/>
      <c r="AF64" s="14"/>
      <c r="AG64" s="14"/>
    </row>
    <row r="65" spans="1:33" ht="12.75">
      <c r="A65" s="11" t="s">
        <v>118</v>
      </c>
      <c r="B65" s="11" t="s">
        <v>119</v>
      </c>
      <c r="C65" s="14"/>
      <c r="D65" s="14"/>
      <c r="E65" s="14"/>
      <c r="O65" s="11" t="s">
        <v>118</v>
      </c>
      <c r="P65" s="11" t="s">
        <v>119</v>
      </c>
      <c r="Q65" s="14"/>
      <c r="R65" s="14"/>
      <c r="S65" s="14"/>
      <c r="AC65" s="11" t="s">
        <v>118</v>
      </c>
      <c r="AD65" s="11" t="s">
        <v>119</v>
      </c>
      <c r="AE65" s="14"/>
      <c r="AF65" s="14"/>
      <c r="AG65" s="14"/>
    </row>
    <row r="66" spans="1:33" ht="12.75">
      <c r="A66" s="11" t="s">
        <v>120</v>
      </c>
      <c r="B66" s="11" t="s">
        <v>121</v>
      </c>
      <c r="C66" s="14"/>
      <c r="D66" s="14"/>
      <c r="E66" s="14"/>
      <c r="O66" s="11" t="s">
        <v>120</v>
      </c>
      <c r="P66" s="11" t="s">
        <v>121</v>
      </c>
      <c r="Q66" s="14"/>
      <c r="R66" s="14"/>
      <c r="S66" s="14"/>
      <c r="AC66" s="11" t="s">
        <v>120</v>
      </c>
      <c r="AD66" s="11" t="s">
        <v>121</v>
      </c>
      <c r="AE66" s="14"/>
      <c r="AF66" s="14"/>
      <c r="AG66" s="14"/>
    </row>
    <row r="67" spans="1:33" ht="12.75">
      <c r="A67" s="11" t="s">
        <v>122</v>
      </c>
      <c r="B67" s="11" t="s">
        <v>123</v>
      </c>
      <c r="C67" s="31"/>
      <c r="D67" s="31"/>
      <c r="E67" s="31"/>
      <c r="O67" s="11" t="s">
        <v>122</v>
      </c>
      <c r="P67" s="11" t="s">
        <v>123</v>
      </c>
      <c r="Q67" s="31"/>
      <c r="R67" s="31"/>
      <c r="S67" s="31"/>
      <c r="AC67" s="11" t="s">
        <v>122</v>
      </c>
      <c r="AD67" s="11" t="s">
        <v>123</v>
      </c>
      <c r="AE67" s="31"/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/>
      <c r="D70" s="14">
        <f>D43/D24</f>
        <v>11666.038372191435</v>
      </c>
      <c r="E70" s="14"/>
      <c r="O70" s="11" t="s">
        <v>125</v>
      </c>
      <c r="P70" s="11" t="s">
        <v>126</v>
      </c>
      <c r="Q70" s="14"/>
      <c r="R70" s="14">
        <f>R43/R24</f>
        <v>12559.832018816545</v>
      </c>
      <c r="S70" s="14"/>
      <c r="AC70" s="11" t="s">
        <v>125</v>
      </c>
      <c r="AD70" s="11" t="s">
        <v>126</v>
      </c>
      <c r="AE70" s="14"/>
      <c r="AF70" s="14">
        <f>AF43/AF24</f>
        <v>8975.468131992011</v>
      </c>
      <c r="AG70" s="14"/>
    </row>
    <row r="71" spans="1:33" ht="12.75">
      <c r="A71" s="11" t="s">
        <v>127</v>
      </c>
      <c r="B71" s="11" t="s">
        <v>128</v>
      </c>
      <c r="C71" s="14"/>
      <c r="D71" s="14"/>
      <c r="E71" s="14"/>
      <c r="O71" s="11" t="s">
        <v>127</v>
      </c>
      <c r="P71" s="11" t="s">
        <v>128</v>
      </c>
      <c r="Q71" s="14"/>
      <c r="R71" s="14"/>
      <c r="S71" s="14"/>
      <c r="AC71" s="11" t="s">
        <v>127</v>
      </c>
      <c r="AD71" s="11" t="s">
        <v>128</v>
      </c>
      <c r="AE71" s="14"/>
      <c r="AF71" s="14"/>
      <c r="AG71" s="14"/>
    </row>
    <row r="72" spans="1:33" ht="12.75">
      <c r="A72" s="11" t="s">
        <v>129</v>
      </c>
      <c r="B72" s="11" t="s">
        <v>130</v>
      </c>
      <c r="C72" s="14"/>
      <c r="D72" s="14"/>
      <c r="E72" s="14"/>
      <c r="O72" s="11" t="s">
        <v>129</v>
      </c>
      <c r="P72" s="11" t="s">
        <v>130</v>
      </c>
      <c r="Q72" s="14"/>
      <c r="R72" s="14"/>
      <c r="S72" s="14"/>
      <c r="AC72" s="11" t="s">
        <v>129</v>
      </c>
      <c r="AD72" s="11" t="s">
        <v>130</v>
      </c>
      <c r="AE72" s="14"/>
      <c r="AF72" s="14"/>
      <c r="AG72" s="14"/>
    </row>
    <row r="73" spans="1:33" ht="12.75">
      <c r="A73" s="11" t="s">
        <v>131</v>
      </c>
      <c r="B73" s="11" t="s">
        <v>132</v>
      </c>
      <c r="C73" s="14"/>
      <c r="D73" s="14">
        <v>0</v>
      </c>
      <c r="E73" s="14"/>
      <c r="O73" s="11" t="s">
        <v>131</v>
      </c>
      <c r="P73" s="11" t="s">
        <v>132</v>
      </c>
      <c r="Q73" s="14"/>
      <c r="R73" s="14">
        <v>0</v>
      </c>
      <c r="S73" s="14"/>
      <c r="AC73" s="11" t="s">
        <v>131</v>
      </c>
      <c r="AD73" s="11" t="s">
        <v>132</v>
      </c>
      <c r="AE73" s="14"/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/>
      <c r="D75" s="14">
        <f>D59+D73</f>
        <v>269465.2499091835</v>
      </c>
      <c r="E75" s="14">
        <f>SUM(C75:D75)</f>
        <v>269465.2499091835</v>
      </c>
      <c r="O75" s="11" t="s">
        <v>134</v>
      </c>
      <c r="P75" s="11" t="s">
        <v>135</v>
      </c>
      <c r="Q75" s="14"/>
      <c r="R75" s="14">
        <f>R59+R73</f>
        <v>267546.1010297177</v>
      </c>
      <c r="S75" s="14">
        <f>SUM(Q75:R75)</f>
        <v>267546.1010297177</v>
      </c>
      <c r="AC75" s="11" t="s">
        <v>134</v>
      </c>
      <c r="AD75" s="11" t="s">
        <v>135</v>
      </c>
      <c r="AE75" s="14"/>
      <c r="AF75" s="14">
        <f>AF59+AF73</f>
        <v>275222.69654758065</v>
      </c>
      <c r="AG75" s="14">
        <f>SUM(AE75:AF75)</f>
        <v>275222.69654758065</v>
      </c>
    </row>
    <row r="76" spans="1:33" ht="12.75">
      <c r="A76" s="11" t="s">
        <v>136</v>
      </c>
      <c r="B76" s="11" t="s">
        <v>137</v>
      </c>
      <c r="C76" s="13"/>
      <c r="D76" s="13"/>
      <c r="E76" s="13"/>
      <c r="O76" s="11" t="s">
        <v>136</v>
      </c>
      <c r="P76" s="11" t="s">
        <v>137</v>
      </c>
      <c r="Q76" s="13"/>
      <c r="R76" s="13"/>
      <c r="S76" s="13"/>
      <c r="AC76" s="11" t="s">
        <v>136</v>
      </c>
      <c r="AD76" s="11" t="s">
        <v>137</v>
      </c>
      <c r="AE76" s="13"/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/>
      <c r="D79" s="31"/>
      <c r="E79" s="31"/>
      <c r="O79" s="11" t="s">
        <v>139</v>
      </c>
      <c r="P79" s="11" t="s">
        <v>140</v>
      </c>
      <c r="Q79" s="31"/>
      <c r="R79" s="31"/>
      <c r="S79" s="31"/>
      <c r="AC79" s="11" t="s">
        <v>139</v>
      </c>
      <c r="AD79" s="11" t="s">
        <v>140</v>
      </c>
      <c r="AE79" s="31"/>
      <c r="AF79" s="31"/>
      <c r="AG79" s="31"/>
    </row>
    <row r="80" spans="1:33" ht="12.75">
      <c r="A80" s="11" t="s">
        <v>141</v>
      </c>
      <c r="B80" s="11" t="s">
        <v>142</v>
      </c>
      <c r="C80" s="31"/>
      <c r="D80" s="31"/>
      <c r="E80" s="31"/>
      <c r="O80" s="11" t="s">
        <v>141</v>
      </c>
      <c r="P80" s="11" t="s">
        <v>142</v>
      </c>
      <c r="Q80" s="31"/>
      <c r="R80" s="31"/>
      <c r="S80" s="31"/>
      <c r="AC80" s="11" t="s">
        <v>141</v>
      </c>
      <c r="AD80" s="11" t="s">
        <v>142</v>
      </c>
      <c r="AE80" s="31"/>
      <c r="AF80" s="31"/>
      <c r="AG80" s="31"/>
    </row>
    <row r="81" spans="1:33" ht="12.75">
      <c r="A81" s="11" t="s">
        <v>143</v>
      </c>
      <c r="B81" s="11" t="s">
        <v>144</v>
      </c>
      <c r="C81" s="31"/>
      <c r="D81" s="31">
        <v>60</v>
      </c>
      <c r="E81" s="31"/>
      <c r="O81" s="11" t="s">
        <v>143</v>
      </c>
      <c r="P81" s="11" t="s">
        <v>144</v>
      </c>
      <c r="Q81" s="31"/>
      <c r="R81" s="31">
        <v>60</v>
      </c>
      <c r="S81" s="31"/>
      <c r="AC81" s="11" t="s">
        <v>143</v>
      </c>
      <c r="AD81" s="11" t="s">
        <v>144</v>
      </c>
      <c r="AE81" s="31"/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/>
      <c r="D82" s="14">
        <f>D43/D81</f>
        <v>4507.9318696976325</v>
      </c>
      <c r="E82" s="14"/>
      <c r="O82" s="11" t="s">
        <v>145</v>
      </c>
      <c r="P82" s="11" t="s">
        <v>146</v>
      </c>
      <c r="Q82" s="14"/>
      <c r="R82" s="14">
        <f>R43/R81</f>
        <v>4568.199236091935</v>
      </c>
      <c r="S82" s="14"/>
      <c r="AC82" s="11" t="s">
        <v>145</v>
      </c>
      <c r="AD82" s="11" t="s">
        <v>146</v>
      </c>
      <c r="AE82" s="14"/>
      <c r="AF82" s="14">
        <f>AF43/AF81</f>
        <v>4327.129770514726</v>
      </c>
      <c r="AG82" s="14"/>
    </row>
    <row r="83" spans="1:33" ht="12.75">
      <c r="A83" s="11" t="s">
        <v>147</v>
      </c>
      <c r="B83" s="11" t="s">
        <v>148</v>
      </c>
      <c r="C83" s="14"/>
      <c r="D83" s="14">
        <f>D70-D82</f>
        <v>7158.1065024938025</v>
      </c>
      <c r="E83" s="14"/>
      <c r="O83" s="11" t="s">
        <v>147</v>
      </c>
      <c r="P83" s="11" t="s">
        <v>148</v>
      </c>
      <c r="Q83" s="14"/>
      <c r="R83" s="14">
        <f>R70-R82</f>
        <v>7991.6327827246105</v>
      </c>
      <c r="S83" s="14"/>
      <c r="AC83" s="11" t="s">
        <v>147</v>
      </c>
      <c r="AD83" s="11" t="s">
        <v>148</v>
      </c>
      <c r="AE83" s="14"/>
      <c r="AF83" s="14">
        <f>AF70-AF82</f>
        <v>4648.338361477285</v>
      </c>
      <c r="AG83" s="14"/>
    </row>
    <row r="84" spans="1:33" ht="12.75">
      <c r="A84" s="11" t="s">
        <v>149</v>
      </c>
      <c r="B84" s="11" t="s">
        <v>150</v>
      </c>
      <c r="C84" s="31"/>
      <c r="D84" s="31">
        <f>(+D83/D43)*60</f>
        <v>1.5878914565259232</v>
      </c>
      <c r="E84" s="31"/>
      <c r="O84" s="11" t="s">
        <v>149</v>
      </c>
      <c r="P84" s="11" t="s">
        <v>150</v>
      </c>
      <c r="Q84" s="31"/>
      <c r="R84" s="31">
        <f>(+R83/R43)*60</f>
        <v>1.7494054811762985</v>
      </c>
      <c r="S84" s="31"/>
      <c r="AC84" s="11" t="s">
        <v>149</v>
      </c>
      <c r="AD84" s="11" t="s">
        <v>150</v>
      </c>
      <c r="AE84" s="31"/>
      <c r="AF84" s="31">
        <f>(+AF83/AF43)*60</f>
        <v>1.0742313283856866</v>
      </c>
      <c r="AG84" s="31"/>
    </row>
    <row r="85" spans="1:33" ht="12.75">
      <c r="A85" s="11"/>
      <c r="B85" s="11" t="s">
        <v>151</v>
      </c>
      <c r="C85" s="35"/>
      <c r="D85" s="35">
        <f>+'mode ch'!G145</f>
        <v>1.3736051063857704</v>
      </c>
      <c r="E85" s="31"/>
      <c r="O85" s="11"/>
      <c r="P85" s="11" t="s">
        <v>151</v>
      </c>
      <c r="Q85" s="35"/>
      <c r="R85" s="35">
        <f>+'mode ch'!U145</f>
        <v>1.381103494554068</v>
      </c>
      <c r="S85" s="31"/>
      <c r="AC85" s="11"/>
      <c r="AD85" s="11" t="s">
        <v>151</v>
      </c>
      <c r="AE85" s="35"/>
      <c r="AF85" s="35">
        <f>+'mode ch'!AI145</f>
        <v>1.3498567099297099</v>
      </c>
      <c r="AG85" s="31"/>
    </row>
    <row r="86" spans="1:33" ht="12.75">
      <c r="A86" s="11"/>
      <c r="B86" s="11" t="s">
        <v>152</v>
      </c>
      <c r="C86" s="31"/>
      <c r="D86" s="31">
        <f>+D85*D83</f>
        <v>9832.411643878675</v>
      </c>
      <c r="E86" s="31"/>
      <c r="O86" s="11"/>
      <c r="P86" s="11" t="s">
        <v>152</v>
      </c>
      <c r="Q86" s="31"/>
      <c r="R86" s="31">
        <f>+R85*R83</f>
        <v>11037.27196341381</v>
      </c>
      <c r="S86" s="31"/>
      <c r="AC86" s="11"/>
      <c r="AD86" s="11" t="s">
        <v>152</v>
      </c>
      <c r="AE86" s="31"/>
      <c r="AF86" s="31">
        <f>+AF85*AF83</f>
        <v>6274.590727263786</v>
      </c>
      <c r="AG86" s="31"/>
    </row>
    <row r="87" spans="1:33" ht="12.75">
      <c r="A87" s="11" t="s">
        <v>153</v>
      </c>
      <c r="B87" s="11" t="s">
        <v>154</v>
      </c>
      <c r="C87" s="36"/>
      <c r="D87" s="36">
        <f>+'Sensitivity Anal'!B5</f>
        <v>9</v>
      </c>
      <c r="E87" s="36"/>
      <c r="O87" s="11" t="s">
        <v>153</v>
      </c>
      <c r="P87" s="11" t="s">
        <v>154</v>
      </c>
      <c r="Q87" s="36"/>
      <c r="R87" s="36">
        <f>+D87</f>
        <v>9</v>
      </c>
      <c r="S87" s="36"/>
      <c r="AC87" s="11" t="s">
        <v>153</v>
      </c>
      <c r="AD87" s="11" t="s">
        <v>154</v>
      </c>
      <c r="AE87" s="36"/>
      <c r="AF87" s="36">
        <f>+R87</f>
        <v>9</v>
      </c>
      <c r="AG87" s="36"/>
    </row>
    <row r="88" spans="1:33" ht="12.75">
      <c r="A88" s="11" t="s">
        <v>155</v>
      </c>
      <c r="B88" s="11" t="s">
        <v>156</v>
      </c>
      <c r="C88" s="37"/>
      <c r="D88" s="37">
        <f>D86*D87</f>
        <v>88491.70479490807</v>
      </c>
      <c r="E88" s="37"/>
      <c r="O88" s="11" t="s">
        <v>155</v>
      </c>
      <c r="P88" s="11" t="s">
        <v>156</v>
      </c>
      <c r="Q88" s="37"/>
      <c r="R88" s="37">
        <f>R86*R87</f>
        <v>99335.44767072429</v>
      </c>
      <c r="S88" s="37"/>
      <c r="AC88" s="11" t="s">
        <v>155</v>
      </c>
      <c r="AD88" s="11" t="s">
        <v>156</v>
      </c>
      <c r="AE88" s="37"/>
      <c r="AF88" s="37">
        <f>AF86*AF87</f>
        <v>56471.31654537407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/>
      <c r="D91" s="14">
        <f>D58</f>
        <v>-1010.6622726744754</v>
      </c>
      <c r="E91" s="14"/>
      <c r="O91" s="11" t="s">
        <v>158</v>
      </c>
      <c r="P91" s="11" t="s">
        <v>159</v>
      </c>
      <c r="Q91" s="14"/>
      <c r="R91" s="14">
        <f>R58</f>
        <v>-6545.8531357983375</v>
      </c>
      <c r="S91" s="14"/>
      <c r="AC91" s="11" t="s">
        <v>158</v>
      </c>
      <c r="AD91" s="11" t="s">
        <v>159</v>
      </c>
      <c r="AE91" s="14"/>
      <c r="AF91" s="14">
        <f>AF58</f>
        <v>15594.910316697118</v>
      </c>
      <c r="AG91" s="14"/>
    </row>
    <row r="92" spans="1:33" ht="12.75">
      <c r="A92" s="11" t="s">
        <v>160</v>
      </c>
      <c r="B92" s="11" t="s">
        <v>161</v>
      </c>
      <c r="C92" s="31"/>
      <c r="D92" s="31">
        <f>D101</f>
        <v>0.7939457282629616</v>
      </c>
      <c r="E92" s="31"/>
      <c r="O92" s="11" t="s">
        <v>160</v>
      </c>
      <c r="P92" s="11" t="s">
        <v>161</v>
      </c>
      <c r="Q92" s="31"/>
      <c r="R92" s="31">
        <f>R101</f>
        <v>0.8747027405881492</v>
      </c>
      <c r="S92" s="31"/>
      <c r="AC92" s="11" t="s">
        <v>160</v>
      </c>
      <c r="AD92" s="11" t="s">
        <v>161</v>
      </c>
      <c r="AE92" s="31"/>
      <c r="AF92" s="31">
        <f>AF101</f>
        <v>0.5371156641928433</v>
      </c>
      <c r="AG92" s="31"/>
    </row>
    <row r="93" spans="1:33" ht="12.75">
      <c r="A93" s="11" t="s">
        <v>162</v>
      </c>
      <c r="B93" s="11" t="s">
        <v>163</v>
      </c>
      <c r="C93" s="31"/>
      <c r="D93" s="31">
        <f>(+D91*D92)/60</f>
        <v>-13.373516568440605</v>
      </c>
      <c r="E93" s="31"/>
      <c r="O93" s="11" t="s">
        <v>162</v>
      </c>
      <c r="P93" s="11" t="s">
        <v>163</v>
      </c>
      <c r="Q93" s="31"/>
      <c r="R93" s="31">
        <f>(+R91*R92)/60</f>
        <v>-95.42792795617227</v>
      </c>
      <c r="S93" s="31"/>
      <c r="AC93" s="11" t="s">
        <v>162</v>
      </c>
      <c r="AD93" s="11" t="s">
        <v>163</v>
      </c>
      <c r="AE93" s="31"/>
      <c r="AF93" s="31">
        <f>(+AF91*AF92)/60</f>
        <v>139.60451021300995</v>
      </c>
      <c r="AG93" s="31"/>
    </row>
    <row r="94" spans="1:33" ht="12.75">
      <c r="A94" s="11"/>
      <c r="B94" s="11" t="s">
        <v>151</v>
      </c>
      <c r="C94" s="31"/>
      <c r="D94" s="31">
        <f>+D85</f>
        <v>1.3736051063857704</v>
      </c>
      <c r="E94" s="31"/>
      <c r="O94" s="11"/>
      <c r="P94" s="11" t="s">
        <v>151</v>
      </c>
      <c r="Q94" s="31"/>
      <c r="R94" s="31">
        <f>+R85</f>
        <v>1.381103494554068</v>
      </c>
      <c r="S94" s="31"/>
      <c r="AC94" s="11"/>
      <c r="AD94" s="11" t="s">
        <v>151</v>
      </c>
      <c r="AE94" s="31"/>
      <c r="AF94" s="31">
        <f>+AF85</f>
        <v>1.3498567099297099</v>
      </c>
      <c r="AG94" s="31"/>
    </row>
    <row r="95" spans="1:33" ht="12.75">
      <c r="A95" s="11"/>
      <c r="B95" s="11" t="s">
        <v>152</v>
      </c>
      <c r="C95" s="31"/>
      <c r="D95" s="31">
        <f>+D94*D93</f>
        <v>-18.36993064874472</v>
      </c>
      <c r="E95" s="31"/>
      <c r="O95" s="11"/>
      <c r="P95" s="11" t="s">
        <v>152</v>
      </c>
      <c r="Q95" s="31"/>
      <c r="R95" s="31">
        <f>+R94*R93</f>
        <v>-131.79584477832336</v>
      </c>
      <c r="S95" s="31"/>
      <c r="AC95" s="11"/>
      <c r="AD95" s="11" t="s">
        <v>152</v>
      </c>
      <c r="AE95" s="31"/>
      <c r="AF95" s="31">
        <f>+AF94*AF93</f>
        <v>188.44608484748218</v>
      </c>
      <c r="AG95" s="31"/>
    </row>
    <row r="96" spans="1:33" ht="12.75">
      <c r="A96" s="11" t="s">
        <v>164</v>
      </c>
      <c r="B96" s="11" t="s">
        <v>154</v>
      </c>
      <c r="C96" s="38"/>
      <c r="D96" s="38">
        <f>D87</f>
        <v>9</v>
      </c>
      <c r="E96" s="38"/>
      <c r="O96" s="11" t="s">
        <v>164</v>
      </c>
      <c r="P96" s="11" t="s">
        <v>154</v>
      </c>
      <c r="Q96" s="38"/>
      <c r="R96" s="38">
        <f>R87</f>
        <v>9</v>
      </c>
      <c r="S96" s="38"/>
      <c r="AC96" s="11" t="s">
        <v>164</v>
      </c>
      <c r="AD96" s="11" t="s">
        <v>154</v>
      </c>
      <c r="AE96" s="38"/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/>
      <c r="D97" s="37">
        <f>D95*D96</f>
        <v>-165.32937583870248</v>
      </c>
      <c r="E97" s="37"/>
      <c r="O97" s="11" t="s">
        <v>165</v>
      </c>
      <c r="P97" s="11" t="s">
        <v>156</v>
      </c>
      <c r="Q97" s="37"/>
      <c r="R97" s="37">
        <f>R95*R96</f>
        <v>-1186.1626030049101</v>
      </c>
      <c r="S97" s="37"/>
      <c r="AC97" s="11" t="s">
        <v>165</v>
      </c>
      <c r="AD97" s="11" t="s">
        <v>156</v>
      </c>
      <c r="AE97" s="37"/>
      <c r="AF97" s="37">
        <f>AF95*AF96</f>
        <v>1696.0147636273396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/>
      <c r="D100" s="14">
        <f>D73</f>
        <v>0</v>
      </c>
      <c r="E100" s="14"/>
      <c r="O100" s="11" t="s">
        <v>167</v>
      </c>
      <c r="P100" s="11" t="s">
        <v>132</v>
      </c>
      <c r="Q100" s="14"/>
      <c r="R100" s="14">
        <f>R73</f>
        <v>0</v>
      </c>
      <c r="S100" s="14"/>
      <c r="AC100" s="11" t="s">
        <v>167</v>
      </c>
      <c r="AD100" s="11" t="s">
        <v>132</v>
      </c>
      <c r="AE100" s="14"/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/>
      <c r="D101" s="31">
        <f>D84/2</f>
        <v>0.7939457282629616</v>
      </c>
      <c r="E101" s="31"/>
      <c r="O101" s="11" t="s">
        <v>168</v>
      </c>
      <c r="P101" s="11" t="s">
        <v>169</v>
      </c>
      <c r="Q101" s="31"/>
      <c r="R101" s="31">
        <f>R84/2</f>
        <v>0.8747027405881492</v>
      </c>
      <c r="S101" s="31"/>
      <c r="AC101" s="11" t="s">
        <v>168</v>
      </c>
      <c r="AD101" s="11" t="s">
        <v>169</v>
      </c>
      <c r="AE101" s="31"/>
      <c r="AF101" s="31">
        <f>AF84/2</f>
        <v>0.5371156641928433</v>
      </c>
      <c r="AG101" s="31"/>
    </row>
    <row r="102" spans="1:33" ht="12.75">
      <c r="A102" s="11" t="s">
        <v>170</v>
      </c>
      <c r="B102" s="11" t="s">
        <v>171</v>
      </c>
      <c r="C102" s="31"/>
      <c r="D102" s="31">
        <f>(+D100*D101)/60</f>
        <v>0</v>
      </c>
      <c r="E102" s="31"/>
      <c r="O102" s="11" t="s">
        <v>170</v>
      </c>
      <c r="P102" s="11" t="s">
        <v>171</v>
      </c>
      <c r="Q102" s="31"/>
      <c r="R102" s="31">
        <f>(+R100*R101)/60</f>
        <v>0</v>
      </c>
      <c r="S102" s="31"/>
      <c r="AC102" s="11" t="s">
        <v>170</v>
      </c>
      <c r="AD102" s="11" t="s">
        <v>171</v>
      </c>
      <c r="AE102" s="31"/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/>
      <c r="D103" s="31">
        <f>+D94</f>
        <v>1.3736051063857704</v>
      </c>
      <c r="E103" s="31"/>
      <c r="O103" s="11"/>
      <c r="P103" s="11" t="s">
        <v>151</v>
      </c>
      <c r="Q103" s="31"/>
      <c r="R103" s="31">
        <f>+R94</f>
        <v>1.381103494554068</v>
      </c>
      <c r="S103" s="31"/>
      <c r="AC103" s="11"/>
      <c r="AD103" s="11" t="s">
        <v>151</v>
      </c>
      <c r="AE103" s="31"/>
      <c r="AF103" s="31">
        <f>+AF94</f>
        <v>1.3498567099297099</v>
      </c>
      <c r="AG103" s="31"/>
    </row>
    <row r="104" spans="1:33" ht="12.75">
      <c r="A104" s="11"/>
      <c r="B104" s="11" t="s">
        <v>152</v>
      </c>
      <c r="C104" s="31"/>
      <c r="D104" s="31">
        <f>+D103*D102</f>
        <v>0</v>
      </c>
      <c r="E104" s="31"/>
      <c r="O104" s="11"/>
      <c r="P104" s="11" t="s">
        <v>152</v>
      </c>
      <c r="Q104" s="31"/>
      <c r="R104" s="31">
        <f>+R103*R102</f>
        <v>0</v>
      </c>
      <c r="S104" s="31"/>
      <c r="AC104" s="11"/>
      <c r="AD104" s="11" t="s">
        <v>152</v>
      </c>
      <c r="AE104" s="31"/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/>
      <c r="D105" s="38">
        <f>D87</f>
        <v>9</v>
      </c>
      <c r="E105" s="38"/>
      <c r="O105" s="11" t="s">
        <v>172</v>
      </c>
      <c r="P105" s="11" t="s">
        <v>154</v>
      </c>
      <c r="Q105" s="38"/>
      <c r="R105" s="38">
        <f>R87</f>
        <v>9</v>
      </c>
      <c r="S105" s="38"/>
      <c r="AC105" s="11" t="s">
        <v>172</v>
      </c>
      <c r="AD105" s="11" t="s">
        <v>154</v>
      </c>
      <c r="AE105" s="38"/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/>
      <c r="D106" s="37">
        <f>D104*D105</f>
        <v>0</v>
      </c>
      <c r="E106" s="37"/>
      <c r="O106" s="11" t="s">
        <v>173</v>
      </c>
      <c r="P106" s="11" t="s">
        <v>156</v>
      </c>
      <c r="Q106" s="37"/>
      <c r="R106" s="37">
        <f>R104*R105</f>
        <v>0</v>
      </c>
      <c r="S106" s="37"/>
      <c r="AC106" s="11" t="s">
        <v>173</v>
      </c>
      <c r="AD106" s="11" t="s">
        <v>156</v>
      </c>
      <c r="AE106" s="37"/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/>
      <c r="D108" s="37">
        <f>+D88+D97+D106</f>
        <v>88326.37541906937</v>
      </c>
      <c r="E108" s="37">
        <f>SUM(C108:D108)</f>
        <v>88326.37541906937</v>
      </c>
      <c r="O108" s="11"/>
      <c r="P108" s="11" t="s">
        <v>391</v>
      </c>
      <c r="Q108" s="37"/>
      <c r="R108" s="37">
        <f>+R88+R97+R106</f>
        <v>98149.28506771938</v>
      </c>
      <c r="S108" s="37">
        <f>SUM(Q108:R108)</f>
        <v>98149.28506771938</v>
      </c>
      <c r="AC108" s="11"/>
      <c r="AD108" s="11" t="s">
        <v>391</v>
      </c>
      <c r="AE108" s="37"/>
      <c r="AF108" s="37">
        <f>+AF88+AF97+AF106</f>
        <v>58167.33130900141</v>
      </c>
      <c r="AG108" s="37">
        <f>SUM(AE108:AF108)</f>
        <v>58167.33130900141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4523.284389897806</v>
      </c>
      <c r="D117" s="14"/>
      <c r="E117" s="14"/>
      <c r="O117" s="11" t="s">
        <v>180</v>
      </c>
      <c r="P117" s="11" t="s">
        <v>181</v>
      </c>
      <c r="Q117" s="14">
        <f>(1/Q116)*Q121</f>
        <v>5365.093469224952</v>
      </c>
      <c r="R117" s="14"/>
      <c r="S117" s="14"/>
      <c r="AC117" s="11" t="s">
        <v>180</v>
      </c>
      <c r="AD117" s="11" t="s">
        <v>181</v>
      </c>
      <c r="AE117" s="14">
        <f>(1/AE116)*AE121</f>
        <v>2373.9320529421443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+'mode ch'!G37-'mode ch'!G128</f>
        <v>-1010.6622726744754</v>
      </c>
      <c r="D120" s="14"/>
      <c r="E120" s="14"/>
      <c r="O120" s="11" t="s">
        <v>182</v>
      </c>
      <c r="P120" s="11" t="s">
        <v>183</v>
      </c>
      <c r="Q120" s="14">
        <f>+'mode ch'!U37-'mode ch'!U128</f>
        <v>-6545.8531357983375</v>
      </c>
      <c r="R120" s="14"/>
      <c r="S120" s="14"/>
      <c r="AC120" s="11" t="s">
        <v>182</v>
      </c>
      <c r="AD120" s="11" t="s">
        <v>183</v>
      </c>
      <c r="AE120" s="14">
        <f>+'mode ch'!AI37-'mode ch'!AI128</f>
        <v>15594.910316697118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54400.95318176539</v>
      </c>
      <c r="D121" s="14"/>
      <c r="E121" s="14"/>
      <c r="O121" s="11" t="s">
        <v>184</v>
      </c>
      <c r="P121" s="11" t="s">
        <v>185</v>
      </c>
      <c r="Q121" s="14">
        <f>Q16-Q120</f>
        <v>61735.81677216198</v>
      </c>
      <c r="R121" s="14"/>
      <c r="S121" s="14"/>
      <c r="AC121" s="11" t="s">
        <v>184</v>
      </c>
      <c r="AD121" s="11" t="s">
        <v>185</v>
      </c>
      <c r="AE121" s="14">
        <f>AE16-AE120</f>
        <v>32396.362410575617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13.600238295441347</v>
      </c>
      <c r="D122" s="31"/>
      <c r="E122" s="31"/>
      <c r="O122" s="11" t="s">
        <v>186</v>
      </c>
      <c r="P122" s="11" t="s">
        <v>187</v>
      </c>
      <c r="Q122" s="31">
        <f>Q121/Q114</f>
        <v>15.433954193040496</v>
      </c>
      <c r="R122" s="31"/>
      <c r="S122" s="31"/>
      <c r="AC122" s="11" t="s">
        <v>186</v>
      </c>
      <c r="AD122" s="11" t="s">
        <v>187</v>
      </c>
      <c r="AE122" s="31">
        <f>AE121/AE114</f>
        <v>8.099090602643905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60.23063704800252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76.9512989277992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31.274427252815475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-60.872832523565684</v>
      </c>
      <c r="D124" s="31"/>
      <c r="E124" s="31"/>
      <c r="O124" s="11" t="s">
        <v>190</v>
      </c>
      <c r="P124" s="11" t="s">
        <v>191</v>
      </c>
      <c r="Q124" s="31">
        <f>Q120*Q123/1000</f>
        <v>-503.71190139028965</v>
      </c>
      <c r="R124" s="31"/>
      <c r="S124" s="31"/>
      <c r="AC124" s="11" t="s">
        <v>190</v>
      </c>
      <c r="AD124" s="11" t="s">
        <v>191</v>
      </c>
      <c r="AE124" s="31">
        <f>AE120*AE123/1000</f>
        <v>487.72188821372555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11.732870181843094</v>
      </c>
      <c r="D125" s="31"/>
      <c r="E125" s="31"/>
      <c r="O125" s="11" t="s">
        <v>192</v>
      </c>
      <c r="P125" s="11" t="s">
        <v>193</v>
      </c>
      <c r="Q125" s="31">
        <f>1/((1/40)+(Q123/1000))</f>
        <v>9.808604799711176</v>
      </c>
      <c r="R125" s="31"/>
      <c r="S125" s="31"/>
      <c r="AC125" s="11" t="s">
        <v>192</v>
      </c>
      <c r="AD125" s="11" t="s">
        <v>193</v>
      </c>
      <c r="AE125" s="31">
        <f>1/((1/40)+(AE123/1000))</f>
        <v>17.770060910748207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4636.627895700423</v>
      </c>
      <c r="D126" s="14"/>
      <c r="E126" s="14"/>
      <c r="O126" s="11" t="s">
        <v>194</v>
      </c>
      <c r="P126" s="11" t="s">
        <v>195</v>
      </c>
      <c r="Q126" s="14">
        <f>(1/Q125)*Q121</f>
        <v>6294.046710290525</v>
      </c>
      <c r="R126" s="14"/>
      <c r="S126" s="14"/>
      <c r="AC126" s="11" t="s">
        <v>194</v>
      </c>
      <c r="AD126" s="11" t="s">
        <v>195</v>
      </c>
      <c r="AE126" s="14">
        <f>(1/AE125)*AE121</f>
        <v>1823.0867397297836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-1.0106622726744754</v>
      </c>
      <c r="D127" s="14"/>
      <c r="E127" s="14"/>
      <c r="O127" s="11" t="s">
        <v>196</v>
      </c>
      <c r="P127" s="11" t="s">
        <v>197</v>
      </c>
      <c r="Q127" s="14">
        <f>Q120/1000</f>
        <v>-6.545853135798337</v>
      </c>
      <c r="R127" s="14"/>
      <c r="S127" s="14"/>
      <c r="AC127" s="11" t="s">
        <v>196</v>
      </c>
      <c r="AD127" s="11" t="s">
        <v>197</v>
      </c>
      <c r="AE127" s="14">
        <f>AE120/1000</f>
        <v>15.594910316697119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54.40095318176539</v>
      </c>
      <c r="D128" s="14"/>
      <c r="E128" s="14"/>
      <c r="O128" s="11" t="s">
        <v>198</v>
      </c>
      <c r="P128" s="11" t="s">
        <v>199</v>
      </c>
      <c r="Q128" s="14">
        <f>Q121/1000</f>
        <v>61.73581677216198</v>
      </c>
      <c r="R128" s="14"/>
      <c r="S128" s="14"/>
      <c r="AC128" s="11" t="s">
        <v>198</v>
      </c>
      <c r="AD128" s="11" t="s">
        <v>199</v>
      </c>
      <c r="AE128" s="14">
        <f>AE121/1000</f>
        <v>32.39636241057562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-113.34350580261707</v>
      </c>
      <c r="D129" s="14"/>
      <c r="E129" s="14"/>
      <c r="O129" s="11" t="s">
        <v>200</v>
      </c>
      <c r="P129" s="11" t="s">
        <v>201</v>
      </c>
      <c r="Q129" s="14">
        <f>Q117-Q126</f>
        <v>-928.9532410655729</v>
      </c>
      <c r="R129" s="14"/>
      <c r="S129" s="14"/>
      <c r="AC129" s="11" t="s">
        <v>200</v>
      </c>
      <c r="AD129" s="11" t="s">
        <v>201</v>
      </c>
      <c r="AE129" s="14">
        <f>AE117-AE126</f>
        <v>550.8453132123607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112.14775584991479</v>
      </c>
      <c r="D130" s="31"/>
      <c r="E130" s="31"/>
      <c r="O130" s="11" t="s">
        <v>202</v>
      </c>
      <c r="P130" s="11" t="s">
        <v>203</v>
      </c>
      <c r="Q130" s="31">
        <f>Q129/Q127</f>
        <v>141.9147698235483</v>
      </c>
      <c r="R130" s="31"/>
      <c r="S130" s="31"/>
      <c r="AC130" s="11" t="s">
        <v>202</v>
      </c>
      <c r="AD130" s="11" t="s">
        <v>203</v>
      </c>
      <c r="AE130" s="31">
        <f>AE129/AE127</f>
        <v>35.32212125789419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-113.08327345724702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-772.9539859421579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1540.040201644289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54287.869908308145</v>
      </c>
      <c r="D135" s="14"/>
      <c r="E135" s="14"/>
      <c r="O135" s="11" t="s">
        <v>207</v>
      </c>
      <c r="P135" s="11" t="s">
        <v>208</v>
      </c>
      <c r="Q135" s="14">
        <f>Q121+Q133</f>
        <v>60962.86278621983</v>
      </c>
      <c r="R135" s="14"/>
      <c r="S135" s="14"/>
      <c r="AC135" s="11" t="s">
        <v>207</v>
      </c>
      <c r="AD135" s="11" t="s">
        <v>208</v>
      </c>
      <c r="AE135" s="14">
        <f>AE121+AE133</f>
        <v>33936.40261221991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0.016811652154987512</v>
      </c>
      <c r="D136" s="13"/>
      <c r="E136" s="13"/>
      <c r="O136" s="11" t="s">
        <v>209</v>
      </c>
      <c r="P136" s="11" t="s">
        <v>210</v>
      </c>
      <c r="Q136" s="13">
        <f>(+Q135-Q16)/Q16</f>
        <v>0.10460052461517703</v>
      </c>
      <c r="R136" s="13"/>
      <c r="S136" s="13"/>
      <c r="AC136" s="11" t="s">
        <v>209</v>
      </c>
      <c r="AD136" s="11" t="s">
        <v>210</v>
      </c>
      <c r="AE136" s="13">
        <f>(+AE135-AE16)/AE16</f>
        <v>-0.2928630418893986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D75+C135</f>
        <v>323753.1198174916</v>
      </c>
      <c r="D138" s="14"/>
      <c r="E138" s="14">
        <f>SUM(C138:D138)</f>
        <v>323753.1198174916</v>
      </c>
      <c r="O138" s="11" t="s">
        <v>213</v>
      </c>
      <c r="P138" s="11" t="s">
        <v>214</v>
      </c>
      <c r="Q138" s="14">
        <f>R75+Q135</f>
        <v>328508.9638159375</v>
      </c>
      <c r="R138" s="14"/>
      <c r="S138" s="14">
        <f>SUM(Q138:R138)</f>
        <v>328508.9638159375</v>
      </c>
      <c r="AC138" s="11" t="s">
        <v>213</v>
      </c>
      <c r="AD138" s="11" t="s">
        <v>214</v>
      </c>
      <c r="AE138" s="14">
        <f>AF75+AE135</f>
        <v>309159.09915980056</v>
      </c>
      <c r="AF138" s="14"/>
      <c r="AG138" s="14">
        <f>SUM(AE138:AF138)</f>
        <v>309159.09915980056</v>
      </c>
    </row>
    <row r="139" spans="1:33" ht="12.75">
      <c r="A139" s="11" t="s">
        <v>215</v>
      </c>
      <c r="B139" s="11" t="s">
        <v>216</v>
      </c>
      <c r="C139" s="13">
        <f>(+C138-C137)/C138</f>
        <v>-0.030690664448045656</v>
      </c>
      <c r="D139" s="13"/>
      <c r="E139" s="13"/>
      <c r="O139" s="11" t="s">
        <v>215</v>
      </c>
      <c r="P139" s="11" t="s">
        <v>216</v>
      </c>
      <c r="Q139" s="13">
        <f>(+Q138-Q137)/Q138</f>
        <v>-0.050008708196285064</v>
      </c>
      <c r="R139" s="13"/>
      <c r="S139" s="13"/>
      <c r="AC139" s="11" t="s">
        <v>215</v>
      </c>
      <c r="AD139" s="11" t="s">
        <v>216</v>
      </c>
      <c r="AE139" s="13">
        <f>(+AE138-AE137)/AE138</f>
        <v>0.029802275396020657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13.571967477077036</v>
      </c>
      <c r="D142" s="31"/>
      <c r="E142" s="31"/>
      <c r="O142" s="11" t="s">
        <v>217</v>
      </c>
      <c r="P142" s="11" t="s">
        <v>218</v>
      </c>
      <c r="Q142" s="31">
        <f>Q135/Q114</f>
        <v>15.240715696554956</v>
      </c>
      <c r="R142" s="31"/>
      <c r="S142" s="31"/>
      <c r="AC142" s="11" t="s">
        <v>217</v>
      </c>
      <c r="AD142" s="11" t="s">
        <v>218</v>
      </c>
      <c r="AE142" s="31">
        <f>AE135/AE114</f>
        <v>8.484100653054977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59.99410004255917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75.1087151149614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32.33178299877379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11.765522542144327</v>
      </c>
      <c r="D144" s="31"/>
      <c r="E144" s="31"/>
      <c r="O144" s="11" t="s">
        <v>221</v>
      </c>
      <c r="P144" s="11" t="s">
        <v>222</v>
      </c>
      <c r="Q144" s="31">
        <f>1/((1/40)+Q143/1000)</f>
        <v>9.989140294645022</v>
      </c>
      <c r="R144" s="31"/>
      <c r="S144" s="31"/>
      <c r="AC144" s="11" t="s">
        <v>221</v>
      </c>
      <c r="AD144" s="11" t="s">
        <v>222</v>
      </c>
      <c r="AE144" s="31">
        <f>1/((1/40)+AE143/1000)</f>
        <v>17.442332118318873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4623.760057141545</v>
      </c>
      <c r="D145" s="14"/>
      <c r="E145" s="14"/>
      <c r="O145" s="11" t="s">
        <v>223</v>
      </c>
      <c r="P145" s="11" t="s">
        <v>224</v>
      </c>
      <c r="Q145" s="14">
        <f>(+Q121)/Q144</f>
        <v>6180.293293633819</v>
      </c>
      <c r="R145" s="14"/>
      <c r="S145" s="14"/>
      <c r="AC145" s="11" t="s">
        <v>223</v>
      </c>
      <c r="AD145" s="11" t="s">
        <v>224</v>
      </c>
      <c r="AE145" s="14">
        <f>(+AE121)/AE144</f>
        <v>1857.3412196727534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4523.284389897806</v>
      </c>
      <c r="D146" s="14"/>
      <c r="E146" s="14"/>
      <c r="O146" s="11" t="s">
        <v>225</v>
      </c>
      <c r="P146" s="11" t="s">
        <v>226</v>
      </c>
      <c r="Q146" s="14">
        <f>Q121/Q116</f>
        <v>5365.093469224953</v>
      </c>
      <c r="R146" s="14"/>
      <c r="S146" s="14"/>
      <c r="AC146" s="11" t="s">
        <v>225</v>
      </c>
      <c r="AD146" s="11" t="s">
        <v>226</v>
      </c>
      <c r="AE146" s="14">
        <f>AE121/AE116</f>
        <v>2373.9320529421443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-100.47566724373883</v>
      </c>
      <c r="D147" s="14"/>
      <c r="E147" s="14"/>
      <c r="O147" s="11" t="s">
        <v>227</v>
      </c>
      <c r="P147" s="11" t="s">
        <v>148</v>
      </c>
      <c r="Q147" s="14">
        <f>Q146-Q145</f>
        <v>-815.1998244088663</v>
      </c>
      <c r="R147" s="14"/>
      <c r="S147" s="14"/>
      <c r="AC147" s="11" t="s">
        <v>227</v>
      </c>
      <c r="AD147" s="11" t="s">
        <v>148</v>
      </c>
      <c r="AE147" s="14">
        <f>AE146-AE145</f>
        <v>516.5908332693909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-0.1108168089349771</v>
      </c>
      <c r="D148" s="31"/>
      <c r="E148" s="31"/>
      <c r="O148" s="11" t="s">
        <v>228</v>
      </c>
      <c r="P148" s="11" t="s">
        <v>150</v>
      </c>
      <c r="Q148" s="31">
        <f>(+Q147/Q121)*60</f>
        <v>-0.7922789722705581</v>
      </c>
      <c r="R148" s="31"/>
      <c r="S148" s="31"/>
      <c r="AC148" s="11" t="s">
        <v>228</v>
      </c>
      <c r="AD148" s="11" t="s">
        <v>150</v>
      </c>
      <c r="AE148" s="31">
        <f>(+AE147/AE121)*60</f>
        <v>0.9567571075833241</v>
      </c>
      <c r="AF148" s="31"/>
      <c r="AG148" s="31"/>
    </row>
    <row r="149" spans="1:33" ht="12.75">
      <c r="A149" s="11"/>
      <c r="B149" s="11" t="s">
        <v>151</v>
      </c>
      <c r="C149" s="31">
        <f>+D85</f>
        <v>1.3736051063857704</v>
      </c>
      <c r="D149" s="31"/>
      <c r="E149" s="31"/>
      <c r="O149" s="11"/>
      <c r="P149" s="11" t="s">
        <v>151</v>
      </c>
      <c r="Q149" s="31">
        <f>+R85</f>
        <v>1.381103494554068</v>
      </c>
      <c r="R149" s="31"/>
      <c r="S149" s="31"/>
      <c r="AC149" s="11"/>
      <c r="AD149" s="11" t="s">
        <v>151</v>
      </c>
      <c r="AE149" s="31">
        <f>+AF85</f>
        <v>1.3498567099297099</v>
      </c>
      <c r="AF149" s="31"/>
      <c r="AG149" s="31"/>
    </row>
    <row r="150" spans="1:33" ht="12.75">
      <c r="A150" s="11"/>
      <c r="B150" s="11" t="s">
        <v>152</v>
      </c>
      <c r="C150" s="31">
        <f>+C149*C147</f>
        <v>-138.01388959351712</v>
      </c>
      <c r="D150" s="31"/>
      <c r="E150" s="31"/>
      <c r="O150" s="11"/>
      <c r="P150" s="11" t="s">
        <v>152</v>
      </c>
      <c r="Q150" s="31">
        <f>+Q149*Q147</f>
        <v>-1125.8753262509479</v>
      </c>
      <c r="R150" s="31"/>
      <c r="S150" s="31"/>
      <c r="AC150" s="11"/>
      <c r="AD150" s="11" t="s">
        <v>152</v>
      </c>
      <c r="AE150" s="31">
        <f>+AE149*AE147</f>
        <v>697.3236025768673</v>
      </c>
      <c r="AF150" s="31"/>
      <c r="AG150" s="31"/>
    </row>
    <row r="151" spans="1:33" ht="12.75">
      <c r="A151" s="11" t="s">
        <v>229</v>
      </c>
      <c r="B151" s="11" t="s">
        <v>154</v>
      </c>
      <c r="C151" s="38">
        <f>+'Sensitivity Anal'!B5</f>
        <v>9</v>
      </c>
      <c r="D151" s="38"/>
      <c r="E151" s="38"/>
      <c r="O151" s="11" t="s">
        <v>229</v>
      </c>
      <c r="P151" s="11" t="s">
        <v>154</v>
      </c>
      <c r="Q151" s="38">
        <f>+'Sensitivity Anal'!B5</f>
        <v>9</v>
      </c>
      <c r="R151" s="38"/>
      <c r="S151" s="38"/>
      <c r="AC151" s="11" t="s">
        <v>229</v>
      </c>
      <c r="AD151" s="11" t="s">
        <v>154</v>
      </c>
      <c r="AE151" s="38">
        <f>+'Sensitivity Anal'!B5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-1242.1250063416542</v>
      </c>
      <c r="D152" s="37"/>
      <c r="E152" s="37"/>
      <c r="O152" s="11" t="s">
        <v>230</v>
      </c>
      <c r="P152" s="11" t="s">
        <v>156</v>
      </c>
      <c r="Q152" s="37">
        <f>Q150*Q151</f>
        <v>-10132.87793625853</v>
      </c>
      <c r="R152" s="37"/>
      <c r="S152" s="37"/>
      <c r="AC152" s="11" t="s">
        <v>230</v>
      </c>
      <c r="AD152" s="11" t="s">
        <v>156</v>
      </c>
      <c r="AE152" s="37">
        <f>AE150*AE151</f>
        <v>6275.912423191806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-113.08327345724702</v>
      </c>
      <c r="D155" s="14"/>
      <c r="E155" s="14"/>
      <c r="O155" s="11" t="s">
        <v>231</v>
      </c>
      <c r="P155" s="11" t="s">
        <v>205</v>
      </c>
      <c r="Q155" s="14">
        <f>Q133</f>
        <v>-772.9539859421579</v>
      </c>
      <c r="R155" s="14"/>
      <c r="S155" s="14"/>
      <c r="AC155" s="11" t="s">
        <v>231</v>
      </c>
      <c r="AD155" s="11" t="s">
        <v>205</v>
      </c>
      <c r="AE155" s="14">
        <f>AE133</f>
        <v>1540.040201644289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-0.05540840446748855</v>
      </c>
      <c r="D156" s="31"/>
      <c r="E156" s="31"/>
      <c r="O156" s="11" t="s">
        <v>232</v>
      </c>
      <c r="P156" s="11" t="s">
        <v>169</v>
      </c>
      <c r="Q156" s="31">
        <f>Q148/2</f>
        <v>-0.39613948613527905</v>
      </c>
      <c r="R156" s="31"/>
      <c r="S156" s="31"/>
      <c r="AC156" s="11" t="s">
        <v>232</v>
      </c>
      <c r="AD156" s="11" t="s">
        <v>169</v>
      </c>
      <c r="AE156" s="31">
        <f>AE148/2</f>
        <v>0.47837855379166205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0.10442939590377924</v>
      </c>
      <c r="D157" s="31"/>
      <c r="E157" s="31"/>
      <c r="O157" s="11" t="s">
        <v>233</v>
      </c>
      <c r="P157" s="11" t="s">
        <v>234</v>
      </c>
      <c r="Q157" s="31">
        <f>(+Q155*Q156)/60</f>
        <v>5.1032932466223695</v>
      </c>
      <c r="R157" s="31"/>
      <c r="S157" s="31"/>
      <c r="AC157" s="11" t="s">
        <v>233</v>
      </c>
      <c r="AD157" s="11" t="s">
        <v>234</v>
      </c>
      <c r="AE157" s="31">
        <f>(+AE155*AE156)/60</f>
        <v>12.278703407393577</v>
      </c>
      <c r="AF157" s="31"/>
      <c r="AG157" s="31"/>
    </row>
    <row r="158" spans="1:33" ht="12.75">
      <c r="A158" s="11"/>
      <c r="B158" s="11" t="s">
        <v>151</v>
      </c>
      <c r="C158" s="31">
        <f>+'mode ch'!G152</f>
        <v>1.3505812228539769</v>
      </c>
      <c r="D158" s="31"/>
      <c r="E158" s="31"/>
      <c r="O158" s="11"/>
      <c r="P158" s="11" t="s">
        <v>151</v>
      </c>
      <c r="Q158" s="31">
        <f>+Q85</f>
        <v>0</v>
      </c>
      <c r="R158" s="31"/>
      <c r="S158" s="31"/>
      <c r="AC158" s="11"/>
      <c r="AD158" s="11" t="s">
        <v>151</v>
      </c>
      <c r="AE158" s="31">
        <f>+AE85</f>
        <v>0</v>
      </c>
      <c r="AF158" s="31"/>
      <c r="AG158" s="31"/>
    </row>
    <row r="159" spans="1:33" ht="12.75">
      <c r="A159" s="11"/>
      <c r="B159" s="11" t="s">
        <v>152</v>
      </c>
      <c r="C159" s="31">
        <f>+C158*C157</f>
        <v>0.14104038122162824</v>
      </c>
      <c r="D159" s="31"/>
      <c r="E159" s="31"/>
      <c r="O159" s="11"/>
      <c r="P159" s="11" t="s">
        <v>152</v>
      </c>
      <c r="Q159" s="31">
        <f>+Q158*Q157</f>
        <v>0</v>
      </c>
      <c r="R159" s="31"/>
      <c r="S159" s="31"/>
      <c r="AC159" s="11"/>
      <c r="AD159" s="11" t="s">
        <v>152</v>
      </c>
      <c r="AE159" s="31">
        <f>+AE158*AE157</f>
        <v>0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1.2693634309946542</v>
      </c>
      <c r="D161" s="37"/>
      <c r="E161" s="37"/>
      <c r="O161" s="11" t="s">
        <v>236</v>
      </c>
      <c r="P161" s="11" t="s">
        <v>156</v>
      </c>
      <c r="Q161" s="37">
        <f>Q159*Q160</f>
        <v>0</v>
      </c>
      <c r="R161" s="37"/>
      <c r="S161" s="37"/>
      <c r="AC161" s="11" t="s">
        <v>236</v>
      </c>
      <c r="AD161" s="11" t="s">
        <v>156</v>
      </c>
      <c r="AE161" s="37">
        <f>AE159*AE160</f>
        <v>0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-1240.8556429106595</v>
      </c>
      <c r="D163" s="37">
        <f>+D143+D152+D161</f>
        <v>0</v>
      </c>
      <c r="E163" s="37">
        <f>SUM(C163:D163)</f>
        <v>-1240.8556429106595</v>
      </c>
      <c r="O163" s="18"/>
      <c r="P163" s="11" t="s">
        <v>391</v>
      </c>
      <c r="Q163" s="37">
        <f>+Q152+Q161</f>
        <v>-10132.87793625853</v>
      </c>
      <c r="R163" s="37">
        <f>+R143+R152+R161</f>
        <v>0</v>
      </c>
      <c r="S163" s="37">
        <f>SUM(Q163:R163)</f>
        <v>-10132.87793625853</v>
      </c>
      <c r="AC163" s="18"/>
      <c r="AD163" s="11" t="s">
        <v>391</v>
      </c>
      <c r="AE163" s="37">
        <f>+AE152+AE161</f>
        <v>6275.912423191806</v>
      </c>
      <c r="AF163" s="37">
        <f>+AF143+AF152+AF161</f>
        <v>0</v>
      </c>
      <c r="AG163" s="37">
        <f>SUM(AE163:AF163)</f>
        <v>6275.912423191806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395</v>
      </c>
      <c r="E166" s="46"/>
      <c r="O166" s="18"/>
      <c r="P166" s="18"/>
      <c r="Q166" s="39" t="s">
        <v>92</v>
      </c>
      <c r="R166" s="24" t="s">
        <v>395</v>
      </c>
      <c r="S166" s="46"/>
      <c r="AC166" s="18"/>
      <c r="AD166" s="18"/>
      <c r="AE166" s="39" t="s">
        <v>92</v>
      </c>
      <c r="AF166" s="24" t="s">
        <v>395</v>
      </c>
      <c r="AG166" s="46"/>
    </row>
    <row r="167" spans="1:33" ht="12.75">
      <c r="A167" s="11" t="s">
        <v>237</v>
      </c>
      <c r="B167" s="11" t="s">
        <v>238</v>
      </c>
      <c r="C167" s="37">
        <f>C88</f>
        <v>0</v>
      </c>
      <c r="D167" s="37">
        <f>D88</f>
        <v>88491.70479490807</v>
      </c>
      <c r="E167" s="37"/>
      <c r="O167" s="11" t="s">
        <v>237</v>
      </c>
      <c r="P167" s="11" t="s">
        <v>238</v>
      </c>
      <c r="Q167" s="37">
        <f>Q88</f>
        <v>0</v>
      </c>
      <c r="R167" s="37">
        <f>R88</f>
        <v>99335.44767072429</v>
      </c>
      <c r="S167" s="37"/>
      <c r="AC167" s="11" t="s">
        <v>237</v>
      </c>
      <c r="AD167" s="11" t="s">
        <v>238</v>
      </c>
      <c r="AE167" s="37">
        <f>AE88</f>
        <v>0</v>
      </c>
      <c r="AF167" s="37">
        <f>AF88</f>
        <v>56471.31654537407</v>
      </c>
      <c r="AG167" s="37"/>
    </row>
    <row r="168" spans="1:33" ht="12.75">
      <c r="A168" s="11" t="s">
        <v>239</v>
      </c>
      <c r="B168" s="11" t="s">
        <v>240</v>
      </c>
      <c r="C168" s="37">
        <f>C97</f>
        <v>0</v>
      </c>
      <c r="D168" s="37">
        <f>D97</f>
        <v>-165.32937583870248</v>
      </c>
      <c r="E168" s="37"/>
      <c r="O168" s="11" t="s">
        <v>239</v>
      </c>
      <c r="P168" s="11" t="s">
        <v>240</v>
      </c>
      <c r="Q168" s="37">
        <f>Q97</f>
        <v>0</v>
      </c>
      <c r="R168" s="37">
        <f>R97</f>
        <v>-1186.1626030049101</v>
      </c>
      <c r="S168" s="37"/>
      <c r="AC168" s="11" t="s">
        <v>239</v>
      </c>
      <c r="AD168" s="11" t="s">
        <v>240</v>
      </c>
      <c r="AE168" s="37">
        <f>AE97</f>
        <v>0</v>
      </c>
      <c r="AF168" s="37">
        <f>AF97</f>
        <v>1696.0147636273396</v>
      </c>
      <c r="AG168" s="37"/>
    </row>
    <row r="169" spans="1:33" ht="12.75">
      <c r="A169" s="11" t="s">
        <v>241</v>
      </c>
      <c r="B169" s="11" t="s">
        <v>242</v>
      </c>
      <c r="C169" s="37">
        <f>C106</f>
        <v>0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0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0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-1242.1250063416542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-10132.87793625853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6275.912423191806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1.2693634309946542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0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0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-1240.8556429106595</v>
      </c>
      <c r="D172" s="37">
        <f>SUM(D167:D171)</f>
        <v>88326.37541906937</v>
      </c>
      <c r="E172" s="37">
        <f>SUM(C172:D172)</f>
        <v>87085.51977615872</v>
      </c>
      <c r="O172" s="11" t="s">
        <v>247</v>
      </c>
      <c r="P172" s="11" t="s">
        <v>248</v>
      </c>
      <c r="Q172" s="37">
        <f>SUM(Q167:Q171)</f>
        <v>-10132.87793625853</v>
      </c>
      <c r="R172" s="37">
        <f>SUM(R167:R171)</f>
        <v>98149.28506771938</v>
      </c>
      <c r="S172" s="37">
        <f>SUM(Q172:R172)</f>
        <v>88016.40713146084</v>
      </c>
      <c r="AC172" s="11" t="s">
        <v>247</v>
      </c>
      <c r="AD172" s="11" t="s">
        <v>248</v>
      </c>
      <c r="AE172" s="37">
        <f>SUM(AE167:AE171)</f>
        <v>6275.912423191806</v>
      </c>
      <c r="AF172" s="37">
        <f>SUM(AF167:AF171)</f>
        <v>58167.33130900141</v>
      </c>
      <c r="AG172" s="37">
        <f>SUM(AE172:AF172)</f>
        <v>64443.243732193216</v>
      </c>
    </row>
    <row r="173" spans="1:33" ht="12.75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0</v>
      </c>
      <c r="D185" s="14">
        <f>D75</f>
        <v>269465.2499091835</v>
      </c>
      <c r="E185" s="14"/>
      <c r="O185" s="11" t="s">
        <v>258</v>
      </c>
      <c r="P185" s="11" t="s">
        <v>259</v>
      </c>
      <c r="Q185" s="14">
        <f>Q75</f>
        <v>0</v>
      </c>
      <c r="R185" s="14">
        <f>R75</f>
        <v>267546.1010297177</v>
      </c>
      <c r="S185" s="14"/>
      <c r="AC185" s="11" t="s">
        <v>258</v>
      </c>
      <c r="AD185" s="11" t="s">
        <v>259</v>
      </c>
      <c r="AE185" s="14">
        <f>AE75</f>
        <v>0</v>
      </c>
      <c r="AF185" s="14">
        <f>AF75</f>
        <v>275222.69654758065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54287.869908308145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60962.86278621983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33936.40261221991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54287.869908308145</v>
      </c>
      <c r="D187" s="14">
        <f>D185+D186</f>
        <v>269465.2499091835</v>
      </c>
      <c r="E187" s="14"/>
      <c r="O187" s="11" t="s">
        <v>262</v>
      </c>
      <c r="P187" s="11" t="s">
        <v>263</v>
      </c>
      <c r="Q187" s="14">
        <f>Q185+Q186</f>
        <v>60962.86278621983</v>
      </c>
      <c r="R187" s="14">
        <f>R185+R186</f>
        <v>267546.1010297177</v>
      </c>
      <c r="S187" s="14"/>
      <c r="AC187" s="11" t="s">
        <v>262</v>
      </c>
      <c r="AD187" s="11" t="s">
        <v>263</v>
      </c>
      <c r="AE187" s="14">
        <f>AE185+AE186</f>
        <v>33936.40261221991</v>
      </c>
      <c r="AF187" s="14">
        <f>AF185+AF186</f>
        <v>275222.69654758065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-280299.0272727273</v>
      </c>
      <c r="D189" s="14">
        <f>D185-D181</f>
        <v>269465.2499091835</v>
      </c>
      <c r="E189" s="14"/>
      <c r="O189" s="11" t="s">
        <v>264</v>
      </c>
      <c r="P189" s="11" t="s">
        <v>265</v>
      </c>
      <c r="Q189" s="14">
        <f>Q185-Q181</f>
        <v>-289747.3090909091</v>
      </c>
      <c r="R189" s="14">
        <f>R185-R181</f>
        <v>267546.1010297177</v>
      </c>
      <c r="S189" s="14"/>
      <c r="AC189" s="11" t="s">
        <v>264</v>
      </c>
      <c r="AD189" s="11" t="s">
        <v>265</v>
      </c>
      <c r="AE189" s="14">
        <f>AE185-AE181</f>
        <v>-251954.1818181818</v>
      </c>
      <c r="AF189" s="14">
        <f>AF185-AF181</f>
        <v>275222.69654758065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897.5789992172286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5772.899149856181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-14054.870115052829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-279401.44827351003</v>
      </c>
      <c r="D191" s="14">
        <f>D189+D190</f>
        <v>269465.2471061932</v>
      </c>
      <c r="E191" s="14"/>
      <c r="O191" s="11" t="s">
        <v>268</v>
      </c>
      <c r="P191" s="11" t="s">
        <v>269</v>
      </c>
      <c r="Q191" s="14">
        <f>Q189+Q190</f>
        <v>-283974.4099410529</v>
      </c>
      <c r="R191" s="14">
        <f>R189+R190</f>
        <v>267546.0981322446</v>
      </c>
      <c r="S191" s="14"/>
      <c r="AC191" s="11" t="s">
        <v>268</v>
      </c>
      <c r="AD191" s="11" t="s">
        <v>269</v>
      </c>
      <c r="AE191" s="14">
        <f>AE189+AE190</f>
        <v>-266009.0519332346</v>
      </c>
      <c r="AF191" s="14">
        <f>AF189+AF190</f>
        <v>275222.6940280388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 t="e">
        <f>(1/C81)*C185</f>
        <v>#DIV/0!</v>
      </c>
      <c r="D199" s="14">
        <f>(1/D81)*D185</f>
        <v>4491.087498486391</v>
      </c>
      <c r="E199" s="14"/>
      <c r="O199" s="11" t="s">
        <v>280</v>
      </c>
      <c r="P199" s="11" t="s">
        <v>281</v>
      </c>
      <c r="Q199" s="14" t="e">
        <f>(1/Q81)*Q185</f>
        <v>#DIV/0!</v>
      </c>
      <c r="R199" s="14">
        <f>(1/R81)*R185</f>
        <v>4459.101683828629</v>
      </c>
      <c r="S199" s="14"/>
      <c r="AC199" s="11" t="s">
        <v>280</v>
      </c>
      <c r="AD199" s="11" t="s">
        <v>281</v>
      </c>
      <c r="AE199" s="14" t="e">
        <f>(1/AE81)*AE185</f>
        <v>#DIV/0!</v>
      </c>
      <c r="AF199" s="14">
        <f>(1/AF81)*AF185</f>
        <v>4587.044942459677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4614.14864608418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6102.913863258162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1945.6344703228117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 t="e">
        <f>C199+C200</f>
        <v>#DIV/0!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 t="e">
        <f>Q199+Q200</f>
        <v>#DIV/0!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 t="e">
        <f>AE199+AE200</f>
        <v>#DIV/0!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 t="e">
        <f>C187/C201</f>
        <v>#DIV/0!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 t="e">
        <f>Q187/Q201</f>
        <v>#DIV/0!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 t="e">
        <f>AE187/AE201</f>
        <v>#DIV/0!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 t="e">
        <f>1/C202</f>
        <v>#DIV/0!</v>
      </c>
      <c r="D203" s="41" t="e">
        <f>1/D202</f>
        <v>#DIV/0!</v>
      </c>
      <c r="E203" s="41"/>
      <c r="O203" s="11" t="s">
        <v>288</v>
      </c>
      <c r="P203" s="11" t="s">
        <v>289</v>
      </c>
      <c r="Q203" s="41" t="e">
        <f>1/Q202</f>
        <v>#DIV/0!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 t="e">
        <f>1/AE202</f>
        <v>#DIV/0!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 t="e">
        <f>(C203-C197)/C197</f>
        <v>#DIV/0!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 t="e">
        <f>(Q203-Q197)/Q197</f>
        <v>#DIV/0!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 t="e">
        <f>(AE203-AE197)/AE197</f>
        <v>#DIV/0!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-0.837310135655202</v>
      </c>
      <c r="D206" s="13">
        <f>D191/D183</f>
        <v>96134920.04380345</v>
      </c>
      <c r="E206" s="13"/>
      <c r="O206" s="11" t="s">
        <v>292</v>
      </c>
      <c r="P206" s="11" t="s">
        <v>293</v>
      </c>
      <c r="Q206" s="13">
        <f>Q191/Q183</f>
        <v>-0.8232639160615717</v>
      </c>
      <c r="R206" s="13">
        <f>R191/R183</f>
        <v>92337733.04998891</v>
      </c>
      <c r="S206" s="13"/>
      <c r="AC206" s="11" t="s">
        <v>292</v>
      </c>
      <c r="AD206" s="11" t="s">
        <v>293</v>
      </c>
      <c r="AE206" s="13">
        <f>AE191/AE183</f>
        <v>-0.8868580867023037</v>
      </c>
      <c r="AF206" s="13">
        <f>AF191/AF183</f>
        <v>109235215.17246361</v>
      </c>
      <c r="AG206" s="13"/>
    </row>
    <row r="207" spans="1:33" ht="12.75" hidden="1">
      <c r="A207" s="11" t="s">
        <v>294</v>
      </c>
      <c r="B207" s="11" t="s">
        <v>295</v>
      </c>
      <c r="C207" s="33" t="e">
        <f>C206/C205</f>
        <v>#DIV/0!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 t="e">
        <f>Q206/Q205</f>
        <v>#DIV/0!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 t="e">
        <f>AE206/AE205</f>
        <v>#DIV/0!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0</v>
      </c>
      <c r="D210" s="14">
        <f>D59</f>
        <v>269465.2499091835</v>
      </c>
      <c r="E210" s="14"/>
      <c r="O210" s="11" t="s">
        <v>297</v>
      </c>
      <c r="P210" s="11" t="s">
        <v>298</v>
      </c>
      <c r="Q210" s="14">
        <f>Q59</f>
        <v>0</v>
      </c>
      <c r="R210" s="14">
        <f>R59</f>
        <v>267546.1010297177</v>
      </c>
      <c r="S210" s="14"/>
      <c r="AC210" s="11" t="s">
        <v>297</v>
      </c>
      <c r="AD210" s="11" t="s">
        <v>298</v>
      </c>
      <c r="AE210" s="14">
        <f>AE59</f>
        <v>0</v>
      </c>
      <c r="AF210" s="14">
        <f>AF59</f>
        <v>275222.69654758065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0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0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0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 t="e">
        <f>(1/C211)*C210</f>
        <v>#DIV/0!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 t="e">
        <f>(1/Q211)*Q210</f>
        <v>#DIV/0!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 t="e">
        <f>(1/AE211)*AE210</f>
        <v>#DIV/0!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54400.95318176539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61735.81677216198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32396.362410575617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11.732870181843094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9.808604799711176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17.770060910748207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4636.627895700423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6294.046710290525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1823.0867397297836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54400.95318176539</v>
      </c>
      <c r="D216" s="14">
        <f>D210+D213</f>
        <v>269465.2499091835</v>
      </c>
      <c r="E216" s="14"/>
      <c r="O216" s="11" t="s">
        <v>309</v>
      </c>
      <c r="P216" s="11" t="s">
        <v>310</v>
      </c>
      <c r="Q216" s="14">
        <f>Q210+Q213</f>
        <v>61735.81677216198</v>
      </c>
      <c r="R216" s="14">
        <f>R210+R213</f>
        <v>267546.1010297177</v>
      </c>
      <c r="S216" s="14"/>
      <c r="AC216" s="11" t="s">
        <v>309</v>
      </c>
      <c r="AD216" s="11" t="s">
        <v>310</v>
      </c>
      <c r="AE216" s="14">
        <f>AE210+AE213</f>
        <v>32396.362410575617</v>
      </c>
      <c r="AF216" s="14">
        <f>AF210+AF213</f>
        <v>275222.69654758065</v>
      </c>
      <c r="AG216" s="14"/>
    </row>
    <row r="217" spans="1:33" ht="12.75" hidden="1">
      <c r="A217" s="11" t="s">
        <v>311</v>
      </c>
      <c r="B217" s="11" t="s">
        <v>312</v>
      </c>
      <c r="C217" s="14" t="e">
        <f>C212+C215</f>
        <v>#DIV/0!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 t="e">
        <f>Q212+Q215</f>
        <v>#DIV/0!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 t="e">
        <f>AE212+AE215</f>
        <v>#DIV/0!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 t="e">
        <f>C216/C217</f>
        <v>#DIV/0!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 t="e">
        <f>Q216/Q217</f>
        <v>#DIV/0!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 t="e">
        <f>AE216/AE217</f>
        <v>#DIV/0!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 t="e">
        <f>1/C218</f>
        <v>#DIV/0!</v>
      </c>
      <c r="D219" s="42" t="e">
        <f>1/D218</f>
        <v>#DIV/0!</v>
      </c>
      <c r="E219" s="42"/>
      <c r="O219" s="11" t="s">
        <v>315</v>
      </c>
      <c r="P219" s="11" t="s">
        <v>316</v>
      </c>
      <c r="Q219" s="42" t="e">
        <f>1/Q218</f>
        <v>#DIV/0!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 t="e">
        <f>1/AE218</f>
        <v>#DIV/0!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 t="e">
        <f>C203</f>
        <v>#DIV/0!</v>
      </c>
      <c r="D220" s="42" t="e">
        <f>D203</f>
        <v>#DIV/0!</v>
      </c>
      <c r="E220" s="42"/>
      <c r="O220" s="11" t="s">
        <v>317</v>
      </c>
      <c r="P220" s="11" t="s">
        <v>289</v>
      </c>
      <c r="Q220" s="42" t="e">
        <f>Q203</f>
        <v>#DIV/0!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 t="e">
        <f>AE203</f>
        <v>#DIV/0!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 t="e">
        <f>(C220-C219)/C219</f>
        <v>#DIV/0!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 t="e">
        <f>(Q220-Q219)/Q219</f>
        <v>#DIV/0!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 t="e">
        <f>(AE220-AE219)/AE219</f>
        <v>#DIV/0!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-0.837310135655202</v>
      </c>
      <c r="D222" s="13">
        <f>D206</f>
        <v>96134920.04380345</v>
      </c>
      <c r="E222" s="13"/>
      <c r="O222" s="11" t="s">
        <v>319</v>
      </c>
      <c r="P222" s="11" t="s">
        <v>293</v>
      </c>
      <c r="Q222" s="13">
        <f>Q206</f>
        <v>-0.8232639160615717</v>
      </c>
      <c r="R222" s="13">
        <f>R206</f>
        <v>92337733.04998891</v>
      </c>
      <c r="S222" s="13"/>
      <c r="AC222" s="11" t="s">
        <v>319</v>
      </c>
      <c r="AD222" s="11" t="s">
        <v>293</v>
      </c>
      <c r="AE222" s="13">
        <f>AE206</f>
        <v>-0.8868580867023037</v>
      </c>
      <c r="AF222" s="13">
        <f>AF206</f>
        <v>109235215.17246361</v>
      </c>
      <c r="AG222" s="13"/>
    </row>
    <row r="223" spans="1:33" ht="12.75" hidden="1">
      <c r="A223" s="11" t="s">
        <v>320</v>
      </c>
      <c r="B223" s="11" t="s">
        <v>321</v>
      </c>
      <c r="C223" s="42" t="e">
        <f>C221/C222</f>
        <v>#DIV/0!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 t="e">
        <f>Q221/Q222</f>
        <v>#DIV/0!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 t="e">
        <f>AE221/AE222</f>
        <v>#DIV/0!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 hidden="1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395</v>
      </c>
      <c r="E229" s="24" t="s">
        <v>40</v>
      </c>
      <c r="O229" s="11"/>
      <c r="P229" s="11"/>
      <c r="Q229" s="24" t="s">
        <v>92</v>
      </c>
      <c r="R229" s="24" t="s">
        <v>395</v>
      </c>
      <c r="S229" s="24" t="s">
        <v>40</v>
      </c>
      <c r="AC229" s="11"/>
      <c r="AD229" s="11"/>
      <c r="AE229" s="24" t="s">
        <v>92</v>
      </c>
      <c r="AF229" s="24" t="s">
        <v>395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/>
      <c r="D231" s="14">
        <f>+D43</f>
        <v>270475.912181858</v>
      </c>
      <c r="E231" s="14">
        <f>SUM(C231:D231)</f>
        <v>270475.912181858</v>
      </c>
      <c r="O231" s="11"/>
      <c r="P231" s="11" t="s">
        <v>325</v>
      </c>
      <c r="Q231" s="14"/>
      <c r="R231" s="14">
        <f>+R43</f>
        <v>274091.9541655161</v>
      </c>
      <c r="S231" s="14">
        <f>SUM(Q231:R231)</f>
        <v>274091.9541655161</v>
      </c>
      <c r="AC231" s="11"/>
      <c r="AD231" s="11" t="s">
        <v>325</v>
      </c>
      <c r="AE231" s="14"/>
      <c r="AF231" s="14">
        <f>+AF43</f>
        <v>259627.78623088356</v>
      </c>
      <c r="AG231" s="14">
        <f>SUM(AE231:AF231)</f>
        <v>259627.78623088356</v>
      </c>
    </row>
    <row r="232" spans="1:33" ht="12.75">
      <c r="A232" s="11"/>
      <c r="B232" s="11" t="s">
        <v>326</v>
      </c>
      <c r="C232" s="14"/>
      <c r="D232" s="14">
        <f>D58</f>
        <v>-1010.6622726744754</v>
      </c>
      <c r="E232" s="14"/>
      <c r="O232" s="11"/>
      <c r="P232" s="11" t="s">
        <v>326</v>
      </c>
      <c r="Q232" s="14"/>
      <c r="R232" s="14">
        <f>R58</f>
        <v>-6545.8531357983375</v>
      </c>
      <c r="S232" s="14"/>
      <c r="AC232" s="11"/>
      <c r="AD232" s="11" t="s">
        <v>326</v>
      </c>
      <c r="AE232" s="14"/>
      <c r="AF232" s="14">
        <f>AF58</f>
        <v>15594.910316697118</v>
      </c>
      <c r="AG232" s="14"/>
    </row>
    <row r="233" spans="1:33" ht="12.75">
      <c r="A233" s="11"/>
      <c r="B233" s="11" t="s">
        <v>327</v>
      </c>
      <c r="C233" s="14"/>
      <c r="D233" s="14">
        <f>D73</f>
        <v>0</v>
      </c>
      <c r="E233" s="14"/>
      <c r="O233" s="11"/>
      <c r="P233" s="11" t="s">
        <v>327</v>
      </c>
      <c r="Q233" s="14"/>
      <c r="R233" s="14">
        <f>R73</f>
        <v>0</v>
      </c>
      <c r="S233" s="14"/>
      <c r="AC233" s="11"/>
      <c r="AD233" s="11" t="s">
        <v>327</v>
      </c>
      <c r="AE233" s="14"/>
      <c r="AF233" s="14">
        <f>AF73</f>
        <v>0</v>
      </c>
      <c r="AG233" s="14"/>
    </row>
    <row r="234" spans="1:33" ht="12.75">
      <c r="A234" s="11"/>
      <c r="B234" s="11" t="s">
        <v>328</v>
      </c>
      <c r="C234" s="14"/>
      <c r="D234" s="14">
        <f>D231+D232+D233</f>
        <v>269465.2499091835</v>
      </c>
      <c r="E234" s="14">
        <f>SUM(C234:D234)</f>
        <v>269465.2499091835</v>
      </c>
      <c r="O234" s="11"/>
      <c r="P234" s="11" t="s">
        <v>328</v>
      </c>
      <c r="Q234" s="14"/>
      <c r="R234" s="14">
        <f>R231+R232+R233</f>
        <v>267546.1010297177</v>
      </c>
      <c r="S234" s="14">
        <f>SUM(Q234:R234)</f>
        <v>267546.1010297177</v>
      </c>
      <c r="AC234" s="11"/>
      <c r="AD234" s="11" t="s">
        <v>328</v>
      </c>
      <c r="AE234" s="14"/>
      <c r="AF234" s="14">
        <f>AF231+AF232+AF233</f>
        <v>275222.69654758065</v>
      </c>
      <c r="AG234" s="14">
        <f>SUM(AE234:AF234)</f>
        <v>275222.69654758065</v>
      </c>
    </row>
    <row r="235" spans="1:33" ht="12.75">
      <c r="A235" s="11"/>
      <c r="B235" s="11" t="s">
        <v>293</v>
      </c>
      <c r="C235" s="13"/>
      <c r="D235" s="13">
        <f>(+D234-D231)/D231</f>
        <v>-0.00373660731753061</v>
      </c>
      <c r="E235" s="13">
        <f>(+E234-E231)/E231</f>
        <v>-0.00373660731753061</v>
      </c>
      <c r="O235" s="11"/>
      <c r="P235" s="11" t="s">
        <v>293</v>
      </c>
      <c r="Q235" s="13"/>
      <c r="R235" s="13">
        <f>(+R234-R231)/R231</f>
        <v>-0.023881960182769578</v>
      </c>
      <c r="S235" s="13">
        <f>(+S234-S231)/S231</f>
        <v>-0.023881960182769578</v>
      </c>
      <c r="AC235" s="11"/>
      <c r="AD235" s="11" t="s">
        <v>293</v>
      </c>
      <c r="AE235" s="13"/>
      <c r="AF235" s="13">
        <f>(+AF234-AF231)/AF231</f>
        <v>0.06006641485911197</v>
      </c>
      <c r="AG235" s="13">
        <f>(+AG234-AG231)/AG231</f>
        <v>0.06006641485911197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1010.6622726744754</v>
      </c>
      <c r="D239" s="14">
        <f>-D120</f>
        <v>0</v>
      </c>
      <c r="E239" s="14"/>
      <c r="O239" s="11"/>
      <c r="P239" s="11" t="s">
        <v>326</v>
      </c>
      <c r="Q239" s="14">
        <f>-Q120</f>
        <v>6545.8531357983375</v>
      </c>
      <c r="R239" s="14">
        <f>-R120</f>
        <v>0</v>
      </c>
      <c r="S239" s="14"/>
      <c r="AC239" s="11"/>
      <c r="AD239" s="11" t="s">
        <v>326</v>
      </c>
      <c r="AE239" s="14">
        <f>-AE120</f>
        <v>-15594.910316697118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-113.08327345724702</v>
      </c>
      <c r="D240" s="14">
        <f>D133</f>
        <v>0</v>
      </c>
      <c r="E240" s="14"/>
      <c r="O240" s="11"/>
      <c r="P240" s="11" t="s">
        <v>327</v>
      </c>
      <c r="Q240" s="14">
        <f>Q133</f>
        <v>-772.9539859421579</v>
      </c>
      <c r="R240" s="14">
        <f>R133</f>
        <v>0</v>
      </c>
      <c r="S240" s="14"/>
      <c r="AC240" s="11"/>
      <c r="AD240" s="11" t="s">
        <v>327</v>
      </c>
      <c r="AE240" s="14">
        <f>AE133</f>
        <v>1540.040201644289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54287.869908308145</v>
      </c>
      <c r="D241" s="14">
        <f>D238+D239+D240</f>
        <v>0.0028029902868116244</v>
      </c>
      <c r="E241" s="14">
        <f>SUM(C241:D241)</f>
        <v>54287.872711298434</v>
      </c>
      <c r="O241" s="11"/>
      <c r="P241" s="11" t="s">
        <v>328</v>
      </c>
      <c r="Q241" s="14">
        <f>Q238+Q239+Q240</f>
        <v>60962.86278621983</v>
      </c>
      <c r="R241" s="14">
        <f>R238+R239+R240</f>
        <v>0.0028974731054681956</v>
      </c>
      <c r="S241" s="14">
        <f>SUM(Q241:R241)</f>
        <v>60962.86568369293</v>
      </c>
      <c r="AC241" s="11"/>
      <c r="AD241" s="11" t="s">
        <v>328</v>
      </c>
      <c r="AE241" s="14">
        <f>AE238+AE239+AE240</f>
        <v>33936.40261221991</v>
      </c>
      <c r="AF241" s="14">
        <f>AF238+AF239+AF240</f>
        <v>0.002519541830841909</v>
      </c>
      <c r="AG241" s="14">
        <f>SUM(AE241:AF241)</f>
        <v>33936.405131761734</v>
      </c>
    </row>
    <row r="242" spans="1:33" ht="12.75">
      <c r="A242" s="11"/>
      <c r="B242" s="11" t="s">
        <v>293</v>
      </c>
      <c r="C242" s="13">
        <f>(+C241-C238)/C238</f>
        <v>0.016811652154987512</v>
      </c>
      <c r="D242" s="13">
        <f>(+D241-D238)/D238</f>
        <v>0</v>
      </c>
      <c r="E242" s="13">
        <f>(+E241-E238)/E238</f>
        <v>0.016811651272375817</v>
      </c>
      <c r="O242" s="11"/>
      <c r="P242" s="11" t="s">
        <v>293</v>
      </c>
      <c r="Q242" s="13">
        <f>(+Q241-Q238)/Q238</f>
        <v>0.10460052461517703</v>
      </c>
      <c r="R242" s="13">
        <f>(+R241-R238)/R238</f>
        <v>0</v>
      </c>
      <c r="S242" s="13">
        <f>(+S241-S238)/S238</f>
        <v>0.10460051912364976</v>
      </c>
      <c r="AC242" s="11"/>
      <c r="AD242" s="11" t="s">
        <v>293</v>
      </c>
      <c r="AE242" s="13">
        <f>(+AE241-AE238)/AE238</f>
        <v>-0.2928630418893986</v>
      </c>
      <c r="AF242" s="13">
        <f>(+AF241-AF238)/AF238</f>
        <v>0</v>
      </c>
      <c r="AG242" s="13">
        <f>(+AG241-AG238)/AG238</f>
        <v>-0.2928630265140897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53390.290909090916</v>
      </c>
      <c r="D245" s="14">
        <f t="shared" si="0"/>
        <v>270475.91498484823</v>
      </c>
      <c r="E245" s="14">
        <f>SUM(C245:D245)</f>
        <v>323866.2058939391</v>
      </c>
      <c r="O245" s="11"/>
      <c r="P245" s="11" t="s">
        <v>325</v>
      </c>
      <c r="Q245" s="14">
        <f aca="true" t="shared" si="1" ref="Q245:R247">Q231+Q238</f>
        <v>55189.963636363645</v>
      </c>
      <c r="R245" s="14">
        <f t="shared" si="1"/>
        <v>274091.9570629892</v>
      </c>
      <c r="S245" s="14">
        <f>SUM(Q245:R245)</f>
        <v>329281.9206993528</v>
      </c>
      <c r="AC245" s="11"/>
      <c r="AD245" s="11" t="s">
        <v>325</v>
      </c>
      <c r="AE245" s="14">
        <f aca="true" t="shared" si="2" ref="AE245:AF247">AE231+AE238</f>
        <v>47991.272727272735</v>
      </c>
      <c r="AF245" s="14">
        <f t="shared" si="2"/>
        <v>259627.7887504254</v>
      </c>
      <c r="AG245" s="14">
        <f>SUM(AE245:AF245)</f>
        <v>307619.06147769815</v>
      </c>
    </row>
    <row r="246" spans="1:33" ht="12.75">
      <c r="A246" s="11"/>
      <c r="B246" s="11" t="s">
        <v>326</v>
      </c>
      <c r="C246" s="14">
        <f t="shared" si="0"/>
        <v>1010.6622726744754</v>
      </c>
      <c r="D246" s="14">
        <f t="shared" si="0"/>
        <v>-1010.6622726744754</v>
      </c>
      <c r="E246" s="14"/>
      <c r="O246" s="11"/>
      <c r="P246" s="11" t="s">
        <v>326</v>
      </c>
      <c r="Q246" s="14">
        <f t="shared" si="1"/>
        <v>6545.8531357983375</v>
      </c>
      <c r="R246" s="14">
        <f t="shared" si="1"/>
        <v>-6545.8531357983375</v>
      </c>
      <c r="S246" s="14"/>
      <c r="AC246" s="11"/>
      <c r="AD246" s="11" t="s">
        <v>326</v>
      </c>
      <c r="AE246" s="14">
        <f t="shared" si="2"/>
        <v>-15594.910316697118</v>
      </c>
      <c r="AF246" s="14">
        <f t="shared" si="2"/>
        <v>15594.910316697118</v>
      </c>
      <c r="AG246" s="14"/>
    </row>
    <row r="247" spans="1:33" ht="12.75">
      <c r="A247" s="11"/>
      <c r="B247" s="11" t="s">
        <v>327</v>
      </c>
      <c r="C247" s="14">
        <f t="shared" si="0"/>
        <v>-113.08327345724702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-772.9539859421579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1540.040201644289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54287.869908308145</v>
      </c>
      <c r="D248" s="14">
        <f>D245+D246+D247</f>
        <v>269465.25271217374</v>
      </c>
      <c r="E248" s="14">
        <f>SUM(C248:D248)</f>
        <v>323753.1226204819</v>
      </c>
      <c r="O248" s="11"/>
      <c r="P248" s="11" t="s">
        <v>328</v>
      </c>
      <c r="Q248" s="14">
        <f>Q245+Q246+Q247</f>
        <v>60962.86278621983</v>
      </c>
      <c r="R248" s="14">
        <f>R245+R246+R247</f>
        <v>267546.1039271908</v>
      </c>
      <c r="S248" s="14">
        <f>SUM(Q248:R248)</f>
        <v>328508.9667134106</v>
      </c>
      <c r="AC248" s="11"/>
      <c r="AD248" s="11" t="s">
        <v>328</v>
      </c>
      <c r="AE248" s="14">
        <f>AE245+AE246+AE247</f>
        <v>33936.40261221991</v>
      </c>
      <c r="AF248" s="14">
        <f>AF245+AF246+AF247</f>
        <v>275222.69906712254</v>
      </c>
      <c r="AG248" s="14">
        <f>SUM(AE248:AF248)</f>
        <v>309159.10167934245</v>
      </c>
    </row>
    <row r="249" spans="1:33" ht="12.75">
      <c r="A249" s="11"/>
      <c r="B249" s="11" t="s">
        <v>293</v>
      </c>
      <c r="C249" s="13">
        <f>(+C248-C245)/C245</f>
        <v>0.016811652154987512</v>
      </c>
      <c r="D249" s="13">
        <f>D139</f>
        <v>0</v>
      </c>
      <c r="E249" s="13">
        <f>(+E248-E245)/E245</f>
        <v>-0.0003491666354787253</v>
      </c>
      <c r="O249" s="11"/>
      <c r="P249" s="11" t="s">
        <v>293</v>
      </c>
      <c r="Q249" s="13">
        <f>(+Q248-Q245)/Q245</f>
        <v>0.10460052461517703</v>
      </c>
      <c r="R249" s="13">
        <f>R139</f>
        <v>0</v>
      </c>
      <c r="S249" s="13">
        <f>(+S248-S245)/S245</f>
        <v>-0.002347392727485684</v>
      </c>
      <c r="AC249" s="11"/>
      <c r="AD249" s="11" t="s">
        <v>293</v>
      </c>
      <c r="AE249" s="13">
        <f>(+AE248-AE245)/AE245</f>
        <v>-0.2928630418893986</v>
      </c>
      <c r="AF249" s="13">
        <f>AF139</f>
        <v>0</v>
      </c>
      <c r="AG249" s="13">
        <f>(+AG248-AG245)/AG245</f>
        <v>0.005006322411382647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395</v>
      </c>
      <c r="E252" s="24" t="s">
        <v>40</v>
      </c>
      <c r="O252" s="11"/>
      <c r="P252" s="11"/>
      <c r="Q252" s="24" t="s">
        <v>92</v>
      </c>
      <c r="R252" s="24" t="s">
        <v>395</v>
      </c>
      <c r="S252" s="24" t="s">
        <v>40</v>
      </c>
      <c r="AC252" s="11"/>
      <c r="AD252" s="11"/>
      <c r="AE252" s="24" t="s">
        <v>92</v>
      </c>
      <c r="AF252" s="24" t="s">
        <v>395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0</v>
      </c>
      <c r="D255" s="33">
        <f>D81</f>
        <v>60</v>
      </c>
      <c r="E255" s="33"/>
      <c r="O255" s="11"/>
      <c r="P255" s="11" t="s">
        <v>333</v>
      </c>
      <c r="Q255" s="33">
        <f>Q81</f>
        <v>0</v>
      </c>
      <c r="R255" s="33">
        <f>R81</f>
        <v>60</v>
      </c>
      <c r="S255" s="33"/>
      <c r="AC255" s="11"/>
      <c r="AD255" s="11" t="s">
        <v>333</v>
      </c>
      <c r="AE255" s="33">
        <f>AE81</f>
        <v>0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11.765522542144327</v>
      </c>
      <c r="D259" s="33">
        <f>D144</f>
        <v>0</v>
      </c>
      <c r="E259" s="33"/>
      <c r="O259" s="11"/>
      <c r="P259" s="11" t="s">
        <v>333</v>
      </c>
      <c r="Q259" s="33">
        <f>Q144</f>
        <v>9.989140294645022</v>
      </c>
      <c r="R259" s="33">
        <f>R144</f>
        <v>0</v>
      </c>
      <c r="S259" s="33"/>
      <c r="AC259" s="11"/>
      <c r="AD259" s="11" t="s">
        <v>333</v>
      </c>
      <c r="AE259" s="33">
        <f>AE144</f>
        <v>17.442332118318873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0</v>
      </c>
      <c r="D262" s="37">
        <f t="shared" si="3"/>
        <v>88491.70479490807</v>
      </c>
      <c r="E262" s="37"/>
      <c r="O262" s="11"/>
      <c r="P262" s="11" t="s">
        <v>238</v>
      </c>
      <c r="Q262" s="37">
        <f aca="true" t="shared" si="4" ref="Q262:R266">Q167</f>
        <v>0</v>
      </c>
      <c r="R262" s="37">
        <f t="shared" si="4"/>
        <v>99335.44767072429</v>
      </c>
      <c r="S262" s="37"/>
      <c r="AC262" s="11"/>
      <c r="AD262" s="11" t="s">
        <v>238</v>
      </c>
      <c r="AE262" s="37">
        <f aca="true" t="shared" si="5" ref="AE262:AF266">AE167</f>
        <v>0</v>
      </c>
      <c r="AF262" s="37">
        <f t="shared" si="5"/>
        <v>56471.31654537407</v>
      </c>
      <c r="AG262" s="37"/>
    </row>
    <row r="263" spans="1:33" ht="12.75">
      <c r="A263" s="11"/>
      <c r="B263" s="11" t="s">
        <v>240</v>
      </c>
      <c r="C263" s="37">
        <f t="shared" si="3"/>
        <v>0</v>
      </c>
      <c r="D263" s="37">
        <f t="shared" si="3"/>
        <v>-165.32937583870248</v>
      </c>
      <c r="E263" s="37"/>
      <c r="O263" s="11"/>
      <c r="P263" s="11" t="s">
        <v>240</v>
      </c>
      <c r="Q263" s="37">
        <f t="shared" si="4"/>
        <v>0</v>
      </c>
      <c r="R263" s="37">
        <f t="shared" si="4"/>
        <v>-1186.1626030049101</v>
      </c>
      <c r="S263" s="37"/>
      <c r="AC263" s="11"/>
      <c r="AD263" s="11" t="s">
        <v>240</v>
      </c>
      <c r="AE263" s="37">
        <f t="shared" si="5"/>
        <v>0</v>
      </c>
      <c r="AF263" s="37">
        <f t="shared" si="5"/>
        <v>1696.0147636273396</v>
      </c>
      <c r="AG263" s="37"/>
    </row>
    <row r="264" spans="1:33" ht="12.75">
      <c r="A264" s="11"/>
      <c r="B264" s="11" t="s">
        <v>242</v>
      </c>
      <c r="C264" s="37">
        <f t="shared" si="3"/>
        <v>0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0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0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-1242.1250063416542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-10132.87793625853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6275.912423191806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1.2693634309946542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0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0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-1240.8556429106595</v>
      </c>
      <c r="D267" s="37">
        <f>D172</f>
        <v>88326.37541906937</v>
      </c>
      <c r="E267" s="37">
        <f>SUM(C267:D267)</f>
        <v>87085.51977615872</v>
      </c>
      <c r="O267" s="11"/>
      <c r="P267" s="11" t="s">
        <v>248</v>
      </c>
      <c r="Q267" s="37">
        <f>SUM(Q262:Q266)</f>
        <v>-10132.87793625853</v>
      </c>
      <c r="R267" s="37">
        <f>R172</f>
        <v>98149.28506771938</v>
      </c>
      <c r="S267" s="37">
        <f>SUM(Q267:R267)</f>
        <v>88016.40713146084</v>
      </c>
      <c r="AC267" s="11"/>
      <c r="AD267" s="11" t="s">
        <v>248</v>
      </c>
      <c r="AE267" s="37">
        <f>SUM(AE262:AE266)</f>
        <v>6275.912423191806</v>
      </c>
      <c r="AF267" s="37">
        <f>AF172</f>
        <v>58167.33130900141</v>
      </c>
      <c r="AG267" s="37">
        <f>SUM(AE267:AF267)</f>
        <v>64443.243732193216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60/C259</f>
        <v>5.09964600255355</v>
      </c>
      <c r="D271" s="33">
        <f>60/D255</f>
        <v>1</v>
      </c>
      <c r="E271" s="11"/>
      <c r="O271" s="11"/>
      <c r="P271" s="11" t="s">
        <v>335</v>
      </c>
      <c r="Q271" s="33">
        <f>60/Q259</f>
        <v>6.0065229068976835</v>
      </c>
      <c r="R271" s="33">
        <f>60/R255</f>
        <v>1</v>
      </c>
      <c r="S271" s="11"/>
      <c r="AC271" s="11"/>
      <c r="AD271" s="11" t="s">
        <v>335</v>
      </c>
      <c r="AE271" s="33">
        <f>60/AE259</f>
        <v>3.4399069799264272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4.09964600255355</v>
      </c>
      <c r="E272" s="11"/>
      <c r="O272" s="11"/>
      <c r="P272" s="11" t="s">
        <v>385</v>
      </c>
      <c r="Q272" s="33"/>
      <c r="R272" s="33">
        <f>+Q271-R271</f>
        <v>5.0065229068976835</v>
      </c>
      <c r="S272" s="11"/>
      <c r="AC272" s="11"/>
      <c r="AD272" s="11" t="s">
        <v>385</v>
      </c>
      <c r="AE272" s="33"/>
      <c r="AF272" s="33">
        <f>+AE271-AF271</f>
        <v>2.4399069799264272</v>
      </c>
      <c r="AG272" s="11"/>
    </row>
    <row r="273" spans="1:33" ht="12.75">
      <c r="A273" s="11"/>
      <c r="B273" s="11" t="s">
        <v>461</v>
      </c>
      <c r="C273" s="33"/>
      <c r="D273" s="79">
        <f>+'Sensitivity Anal'!H18</f>
        <v>3</v>
      </c>
      <c r="E273" s="11"/>
      <c r="O273" s="11"/>
      <c r="P273" s="11" t="s">
        <v>461</v>
      </c>
      <c r="Q273" s="33"/>
      <c r="R273" s="79">
        <f>+D273</f>
        <v>3</v>
      </c>
      <c r="S273" s="11"/>
      <c r="AC273" s="11"/>
      <c r="AD273" s="11" t="s">
        <v>461</v>
      </c>
      <c r="AE273" s="33"/>
      <c r="AF273" s="79">
        <f>+D273</f>
        <v>3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0.2049823001276775</v>
      </c>
      <c r="E274" s="11"/>
      <c r="O274" s="11"/>
      <c r="P274" s="11" t="s">
        <v>336</v>
      </c>
      <c r="Q274" s="33"/>
      <c r="R274" s="38">
        <f>+R272*R273/60</f>
        <v>0.2503261453448842</v>
      </c>
      <c r="S274" s="11"/>
      <c r="AC274" s="11"/>
      <c r="AD274" s="11" t="s">
        <v>336</v>
      </c>
      <c r="AE274" s="33"/>
      <c r="AF274" s="38">
        <f>+AF272*AF273/60</f>
        <v>0.12199534899632138</v>
      </c>
      <c r="AG274" s="11"/>
    </row>
    <row r="275" spans="1:33" ht="12.75">
      <c r="A275" s="11"/>
      <c r="B275" s="11" t="s">
        <v>464</v>
      </c>
      <c r="C275" s="33"/>
      <c r="D275" s="30">
        <f>+'mode ch'!G135</f>
        <v>144666.88546084703</v>
      </c>
      <c r="E275" s="11"/>
      <c r="O275" s="11"/>
      <c r="P275" s="11" t="s">
        <v>464</v>
      </c>
      <c r="Q275" s="33"/>
      <c r="R275" s="30">
        <f>+'mode ch'!U135</f>
        <v>144042.17373480817</v>
      </c>
      <c r="S275" s="11"/>
      <c r="AC275" s="11"/>
      <c r="AD275" s="11" t="s">
        <v>464</v>
      </c>
      <c r="AE275" s="33"/>
      <c r="AF275" s="30">
        <f>+'mode ch'!AI135</f>
        <v>146541.02063896362</v>
      </c>
      <c r="AG275" s="11"/>
    </row>
    <row r="276" spans="1:33" ht="12.75">
      <c r="A276" s="11"/>
      <c r="B276" s="11" t="s">
        <v>465</v>
      </c>
      <c r="C276" s="33"/>
      <c r="D276" s="30">
        <f>+'mode ch'!G138</f>
        <v>107275.91218185796</v>
      </c>
      <c r="E276" s="11"/>
      <c r="O276" s="11"/>
      <c r="P276" s="11" t="s">
        <v>465</v>
      </c>
      <c r="Q276" s="33"/>
      <c r="R276" s="30">
        <f>+'mode ch'!U138</f>
        <v>110891.95416551609</v>
      </c>
      <c r="S276" s="11"/>
      <c r="AC276" s="11"/>
      <c r="AD276" s="11" t="s">
        <v>465</v>
      </c>
      <c r="AE276" s="33"/>
      <c r="AF276" s="30">
        <f>+'mode ch'!AI138</f>
        <v>96427.78623088356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51643.81416140367</v>
      </c>
      <c r="E277" s="11"/>
      <c r="O277" s="11"/>
      <c r="P277" s="11" t="s">
        <v>337</v>
      </c>
      <c r="Q277" s="33"/>
      <c r="R277" s="37">
        <f>+(R275+R276)*R274</f>
        <v>63816.67755414786</v>
      </c>
      <c r="S277" s="11"/>
      <c r="AC277" s="11"/>
      <c r="AD277" s="11" t="s">
        <v>337</v>
      </c>
      <c r="AE277" s="33"/>
      <c r="AF277" s="37">
        <f>+(AF275+AF276)*AF274</f>
        <v>29641.06438930681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464794.32745263306</v>
      </c>
      <c r="E279" s="11"/>
      <c r="O279" s="11"/>
      <c r="P279" s="11" t="s">
        <v>339</v>
      </c>
      <c r="Q279" s="33"/>
      <c r="R279" s="37">
        <f>+R278*R277</f>
        <v>382900.06532488717</v>
      </c>
      <c r="S279" s="11"/>
      <c r="AC279" s="11"/>
      <c r="AD279" s="11" t="s">
        <v>339</v>
      </c>
      <c r="AE279" s="33"/>
      <c r="AF279" s="37">
        <f>+AF278*AF277</f>
        <v>148205.32194653407</v>
      </c>
      <c r="AG279" s="11"/>
    </row>
    <row r="280" spans="1:33" ht="12.75">
      <c r="A280" s="11"/>
      <c r="B280" s="11" t="s">
        <v>480</v>
      </c>
      <c r="C280" s="33"/>
      <c r="D280" s="44">
        <v>250</v>
      </c>
      <c r="E280" s="11"/>
      <c r="O280" s="11"/>
      <c r="P280" s="11" t="s">
        <v>480</v>
      </c>
      <c r="Q280" s="33"/>
      <c r="R280" s="44">
        <v>250</v>
      </c>
      <c r="S280" s="11"/>
      <c r="AC280" s="11"/>
      <c r="AD280" s="11" t="s">
        <v>480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127818440.0494741</v>
      </c>
      <c r="E281" s="11"/>
      <c r="O281" s="11"/>
      <c r="P281" s="11" t="s">
        <v>467</v>
      </c>
      <c r="Q281" s="33"/>
      <c r="R281" s="37">
        <f>+R280*R279*1.1</f>
        <v>105297517.96434398</v>
      </c>
      <c r="S281" s="11"/>
      <c r="AC281" s="11"/>
      <c r="AD281" s="11" t="s">
        <v>467</v>
      </c>
      <c r="AE281" s="33"/>
      <c r="AF281" s="37">
        <f>+AF280*AF279*1.1</f>
        <v>40756463.53529687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4534970.357568689</v>
      </c>
      <c r="E282" s="11"/>
      <c r="O282" s="11"/>
      <c r="P282" s="11" t="s">
        <v>466</v>
      </c>
      <c r="Q282" s="33"/>
      <c r="R282" s="45">
        <f>+(R275+R276)*250*1.2*6/5*0.1</f>
        <v>9177628.604411671</v>
      </c>
      <c r="S282" s="11"/>
      <c r="AC282" s="11"/>
      <c r="AD282" s="11" t="s">
        <v>466</v>
      </c>
      <c r="AE282" s="33"/>
      <c r="AF282" s="45">
        <f>+(AF275+AF276)*250*1.2*5/5*0.1</f>
        <v>7289064.206095416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 hidden="1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14">
        <f>+E248-C12</f>
        <v>-9936.195561336295</v>
      </c>
      <c r="O287" s="11"/>
      <c r="P287" s="11" t="s">
        <v>343</v>
      </c>
      <c r="Q287" s="14"/>
      <c r="R287" s="14"/>
      <c r="S287" s="14">
        <f>+S248-Q12</f>
        <v>-16428.30601386208</v>
      </c>
      <c r="AC287" s="11"/>
      <c r="AD287" s="11" t="s">
        <v>343</v>
      </c>
      <c r="AE287" s="14"/>
      <c r="AF287" s="14"/>
      <c r="AG287" s="14">
        <f>+AG248-AE12</f>
        <v>9213.64713388792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-596.1717336801777</v>
      </c>
      <c r="O291" s="11"/>
      <c r="P291" s="11" t="s">
        <v>598</v>
      </c>
      <c r="Q291" s="37"/>
      <c r="R291" s="37"/>
      <c r="S291" s="67">
        <f>+S287*S288</f>
        <v>-985.6983608317247</v>
      </c>
      <c r="AC291" s="11"/>
      <c r="AD291" s="11" t="s">
        <v>598</v>
      </c>
      <c r="AE291" s="37"/>
      <c r="AF291" s="37"/>
      <c r="AG291" s="67">
        <f>+AG287*AG288</f>
        <v>552.8188280332752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395</v>
      </c>
      <c r="E295" s="24" t="s">
        <v>40</v>
      </c>
      <c r="O295" s="11"/>
      <c r="P295" s="11"/>
      <c r="Q295" s="24" t="s">
        <v>92</v>
      </c>
      <c r="R295" s="24" t="s">
        <v>395</v>
      </c>
      <c r="S295" s="24" t="s">
        <v>40</v>
      </c>
      <c r="AC295" s="11"/>
      <c r="AD295" s="11"/>
      <c r="AE295" s="24" t="s">
        <v>92</v>
      </c>
      <c r="AF295" s="24" t="s">
        <v>395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-1240.8556429106595</v>
      </c>
      <c r="D297" s="37">
        <f>+D267</f>
        <v>88326.37541906937</v>
      </c>
      <c r="E297" s="37">
        <f>SUM(C297:D297)</f>
        <v>87085.51977615872</v>
      </c>
      <c r="O297" s="26"/>
      <c r="P297" s="11" t="s">
        <v>349</v>
      </c>
      <c r="Q297" s="37">
        <f>+Q267</f>
        <v>-10132.87793625853</v>
      </c>
      <c r="R297" s="37">
        <f>+R267</f>
        <v>98149.28506771938</v>
      </c>
      <c r="S297" s="37">
        <f>+S267</f>
        <v>88016.40713146084</v>
      </c>
      <c r="AC297" s="26"/>
      <c r="AD297" s="11" t="s">
        <v>349</v>
      </c>
      <c r="AE297" s="37">
        <f>+AE267</f>
        <v>6275.912423191806</v>
      </c>
      <c r="AF297" s="37">
        <f>+AF267</f>
        <v>58167.33130900141</v>
      </c>
      <c r="AG297" s="37">
        <f>+AG267</f>
        <v>64443.243732193216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-496.25201294434146</v>
      </c>
      <c r="D303" s="37">
        <f>+D297*D302</f>
        <v>35324.12641890742</v>
      </c>
      <c r="E303" s="37">
        <f>SUM(C303:D303)</f>
        <v>34827.87440596308</v>
      </c>
      <c r="F303" s="75">
        <f>SUM(C303:D303)</f>
        <v>34827.87440596308</v>
      </c>
      <c r="O303" s="26"/>
      <c r="P303" s="11" t="s">
        <v>594</v>
      </c>
      <c r="Q303" s="37">
        <f>+Q297*Q302</f>
        <v>-4052.414236512155</v>
      </c>
      <c r="R303" s="37">
        <f>+R297*R302</f>
        <v>39252.57588356761</v>
      </c>
      <c r="S303" s="37">
        <f>SUM(Q303:R303)</f>
        <v>35200.16164705546</v>
      </c>
      <c r="AC303" s="26"/>
      <c r="AD303" s="11" t="s">
        <v>594</v>
      </c>
      <c r="AE303" s="37">
        <f>+AE297*AE302</f>
        <v>2509.9085384064856</v>
      </c>
      <c r="AF303" s="37">
        <f>+AF297*AF302</f>
        <v>23262.702164115206</v>
      </c>
      <c r="AG303" s="37">
        <f>SUM(AE303:AF303)</f>
        <v>25772.61070252169</v>
      </c>
    </row>
    <row r="304" spans="1:33" ht="12.75">
      <c r="A304" s="11"/>
      <c r="B304" s="11" t="s">
        <v>351</v>
      </c>
      <c r="C304" s="37">
        <f>C297+C303</f>
        <v>-1737.107655855001</v>
      </c>
      <c r="D304" s="37">
        <f>D297+D303</f>
        <v>123650.5018379768</v>
      </c>
      <c r="E304" s="37">
        <f>SUM(C304:D304)</f>
        <v>121913.3941821218</v>
      </c>
      <c r="O304" s="11"/>
      <c r="P304" s="11" t="s">
        <v>351</v>
      </c>
      <c r="Q304" s="37">
        <f>Q297+Q303</f>
        <v>-14185.292172770685</v>
      </c>
      <c r="R304" s="37">
        <f>R297+R303</f>
        <v>137401.86095128697</v>
      </c>
      <c r="S304" s="37">
        <f>SUM(Q304:R304)</f>
        <v>123216.56877851629</v>
      </c>
      <c r="AC304" s="11"/>
      <c r="AD304" s="11" t="s">
        <v>351</v>
      </c>
      <c r="AE304" s="37">
        <f>AE297+AE303</f>
        <v>8785.820961598292</v>
      </c>
      <c r="AF304" s="37">
        <f>AF297+AF303</f>
        <v>81430.03347311662</v>
      </c>
      <c r="AG304" s="37">
        <f>SUM(AE304:AF304)</f>
        <v>90215.85443471491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>
        <f>+C291</f>
        <v>0</v>
      </c>
      <c r="D306" s="37">
        <f>+D291</f>
        <v>0</v>
      </c>
      <c r="E306" s="37">
        <f>+E291</f>
        <v>-596.1717336801777</v>
      </c>
      <c r="O306" s="11"/>
      <c r="P306" s="11" t="s">
        <v>352</v>
      </c>
      <c r="Q306" s="37"/>
      <c r="R306" s="37"/>
      <c r="S306" s="37">
        <f>+S291</f>
        <v>-985.6983608317247</v>
      </c>
      <c r="AC306" s="11"/>
      <c r="AD306" s="11" t="s">
        <v>352</v>
      </c>
      <c r="AE306" s="37"/>
      <c r="AF306" s="37"/>
      <c r="AG306" s="37">
        <f>+AG291</f>
        <v>552.8188280332752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-1737.107655855001</v>
      </c>
      <c r="D308" s="37">
        <f>D304-D306</f>
        <v>123650.5018379768</v>
      </c>
      <c r="E308" s="37">
        <f>+E304-E306</f>
        <v>122509.56591580198</v>
      </c>
      <c r="O308" s="11"/>
      <c r="P308" s="11" t="s">
        <v>353</v>
      </c>
      <c r="Q308" s="37">
        <f>Q304-Q306</f>
        <v>-14185.292172770685</v>
      </c>
      <c r="R308" s="37">
        <f>R304-R306</f>
        <v>137401.86095128697</v>
      </c>
      <c r="S308" s="37">
        <f>+S304-S306</f>
        <v>124202.26713934801</v>
      </c>
      <c r="AC308" s="11"/>
      <c r="AD308" s="11" t="s">
        <v>353</v>
      </c>
      <c r="AE308" s="37">
        <f>AE304-AE306</f>
        <v>8785.820961598292</v>
      </c>
      <c r="AF308" s="37">
        <f>AF304-AF306</f>
        <v>81430.03347311662</v>
      </c>
      <c r="AG308" s="37">
        <f>+AG304-AG306</f>
        <v>89663.03560668165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-434276.91396375024</v>
      </c>
      <c r="D310" s="37">
        <f>+D308*D309</f>
        <v>30912625.4594942</v>
      </c>
      <c r="E310" s="37">
        <f>+E308*E309</f>
        <v>30627391.478950497</v>
      </c>
      <c r="O310" s="11"/>
      <c r="P310" s="11" t="s">
        <v>355</v>
      </c>
      <c r="Q310" s="37">
        <f>+Q308*Q309</f>
        <v>-3546323.043192671</v>
      </c>
      <c r="R310" s="37">
        <f>+R308*R309</f>
        <v>34350465.23782174</v>
      </c>
      <c r="S310" s="37">
        <f>+S308*S309</f>
        <v>31050566.784837004</v>
      </c>
      <c r="AC310" s="11"/>
      <c r="AD310" s="11" t="s">
        <v>355</v>
      </c>
      <c r="AE310" s="37">
        <f>+AE308*AE309</f>
        <v>2196455.240399573</v>
      </c>
      <c r="AF310" s="37">
        <f>+AF308*AF309</f>
        <v>20357508.368279155</v>
      </c>
      <c r="AG310" s="37">
        <f>+AG308*AG309</f>
        <v>22415758.90167041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393</v>
      </c>
      <c r="Q311" s="47">
        <v>12.409</v>
      </c>
      <c r="R311" s="47">
        <v>12.409</v>
      </c>
      <c r="S311" s="47">
        <v>12.409</v>
      </c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-5.3889422253761765</v>
      </c>
      <c r="D312" s="38">
        <f>+D310*D311/1000000</f>
        <v>383.5947693268635</v>
      </c>
      <c r="E312" s="38">
        <f>+E310*E311/1000000</f>
        <v>380.05530086229675</v>
      </c>
      <c r="O312" s="11"/>
      <c r="P312" s="11" t="s">
        <v>356</v>
      </c>
      <c r="Q312" s="38">
        <f>+Q310*Q311/1000000</f>
        <v>-44.00632264297786</v>
      </c>
      <c r="R312" s="38">
        <f>+R310*R311/1000000</f>
        <v>426.25492313613006</v>
      </c>
      <c r="S312" s="38">
        <f>+S310*S311/1000000</f>
        <v>385.3064832330424</v>
      </c>
      <c r="AC312" s="11"/>
      <c r="AD312" s="11" t="s">
        <v>505</v>
      </c>
      <c r="AE312" s="38">
        <f>+AE310*AE311/1000000</f>
        <v>27.2558130781183</v>
      </c>
      <c r="AF312" s="38">
        <f>+AF310*AF311/1000000</f>
        <v>252.61632134197603</v>
      </c>
      <c r="AG312" s="38">
        <f>+AG310*AG311/1000000</f>
        <v>278.15715221082814</v>
      </c>
    </row>
    <row r="313" spans="1:5" ht="12.75">
      <c r="A313" s="26"/>
      <c r="B313" s="11"/>
      <c r="C313" s="37"/>
      <c r="D313" s="37"/>
      <c r="E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</sheetData>
  <printOptions/>
  <pageMargins left="0.75" right="0.75" top="1" bottom="1" header="0.5" footer="0.5"/>
  <pageSetup fitToHeight="0" fitToWidth="1" horizontalDpi="600" verticalDpi="600" orientation="portrait" scale="84" r:id="rId1"/>
  <rowBreaks count="4" manualBreakCount="4">
    <brk id="58" max="255" man="1"/>
    <brk id="109" max="255" man="1"/>
    <brk id="164" max="255" man="1"/>
    <brk id="2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9"/>
  <sheetViews>
    <sheetView zoomScale="75" zoomScaleNormal="75" workbookViewId="0" topLeftCell="A1">
      <selection activeCell="A1" sqref="A1:IV158"/>
    </sheetView>
  </sheetViews>
  <sheetFormatPr defaultColWidth="9.140625" defaultRowHeight="12.75"/>
  <cols>
    <col min="1" max="1" width="45.140625" style="0" customWidth="1"/>
    <col min="2" max="2" width="11.421875" style="0" customWidth="1"/>
    <col min="3" max="5" width="12.00390625" style="0" customWidth="1"/>
    <col min="6" max="7" width="11.421875" style="0" customWidth="1"/>
    <col min="8" max="8" width="4.140625" style="0" customWidth="1"/>
    <col min="9" max="9" width="4.00390625" style="0" customWidth="1"/>
    <col min="10" max="10" width="2.8515625" style="0" customWidth="1"/>
    <col min="11" max="11" width="3.57421875" style="0" customWidth="1"/>
    <col min="12" max="12" width="4.7109375" style="0" customWidth="1"/>
    <col min="13" max="13" width="3.57421875" style="0" customWidth="1"/>
    <col min="14" max="14" width="4.00390625" style="0" customWidth="1"/>
    <col min="15" max="15" width="37.57421875" style="0" customWidth="1"/>
    <col min="16" max="16" width="11.421875" style="0" customWidth="1"/>
    <col min="17" max="19" width="12.00390625" style="0" customWidth="1"/>
    <col min="20" max="21" width="11.421875" style="0" customWidth="1"/>
    <col min="22" max="22" width="4.140625" style="0" customWidth="1"/>
    <col min="23" max="23" width="5.7109375" style="0" customWidth="1"/>
    <col min="24" max="24" width="4.00390625" style="0" customWidth="1"/>
    <col min="25" max="25" width="3.8515625" style="0" customWidth="1"/>
    <col min="26" max="26" width="4.140625" style="0" customWidth="1"/>
    <col min="27" max="27" width="3.421875" style="0" customWidth="1"/>
    <col min="28" max="28" width="4.57421875" style="0" customWidth="1"/>
    <col min="29" max="29" width="36.140625" style="0" customWidth="1"/>
    <col min="30" max="30" width="11.421875" style="0" customWidth="1"/>
    <col min="31" max="33" width="12.00390625" style="0" customWidth="1"/>
    <col min="34" max="35" width="11.421875" style="0" customWidth="1"/>
  </cols>
  <sheetData>
    <row r="1" ht="12.75">
      <c r="A1" s="1" t="s">
        <v>599</v>
      </c>
    </row>
    <row r="3" spans="1:29" ht="12.75">
      <c r="A3" s="1" t="s">
        <v>637</v>
      </c>
      <c r="O3" s="1" t="s">
        <v>445</v>
      </c>
      <c r="AC3" s="1" t="s">
        <v>444</v>
      </c>
    </row>
    <row r="5" spans="1:35" ht="12.75">
      <c r="A5" s="1" t="s">
        <v>521</v>
      </c>
      <c r="B5" s="43">
        <v>9</v>
      </c>
      <c r="C5" s="43">
        <v>9</v>
      </c>
      <c r="D5" s="43">
        <v>9</v>
      </c>
      <c r="E5" s="43">
        <v>9</v>
      </c>
      <c r="F5" s="43">
        <v>9</v>
      </c>
      <c r="G5" s="43">
        <v>9</v>
      </c>
      <c r="O5" s="1" t="s">
        <v>521</v>
      </c>
      <c r="P5" s="43">
        <v>6</v>
      </c>
      <c r="Q5" s="43">
        <v>6</v>
      </c>
      <c r="R5" s="43">
        <v>6</v>
      </c>
      <c r="S5" s="43">
        <v>6</v>
      </c>
      <c r="T5" s="43">
        <v>6</v>
      </c>
      <c r="U5" s="43">
        <v>6</v>
      </c>
      <c r="AC5" s="1" t="s">
        <v>521</v>
      </c>
      <c r="AD5" s="43">
        <v>5</v>
      </c>
      <c r="AE5" s="43">
        <v>5</v>
      </c>
      <c r="AF5" s="43">
        <v>5</v>
      </c>
      <c r="AG5" s="43">
        <v>5</v>
      </c>
      <c r="AH5" s="43">
        <v>5</v>
      </c>
      <c r="AI5" s="43">
        <v>5</v>
      </c>
    </row>
    <row r="7" spans="2:35" ht="12.75">
      <c r="B7" s="122" t="s">
        <v>1</v>
      </c>
      <c r="C7" s="122" t="s">
        <v>1</v>
      </c>
      <c r="D7" s="122" t="s">
        <v>1</v>
      </c>
      <c r="E7" s="122" t="s">
        <v>1</v>
      </c>
      <c r="F7" s="122" t="s">
        <v>1</v>
      </c>
      <c r="G7" s="122" t="s">
        <v>1</v>
      </c>
      <c r="O7" s="1" t="s">
        <v>22</v>
      </c>
      <c r="P7" s="5" t="s">
        <v>1</v>
      </c>
      <c r="Q7" s="5" t="s">
        <v>1</v>
      </c>
      <c r="R7" s="5" t="s">
        <v>1</v>
      </c>
      <c r="S7" s="5" t="s">
        <v>1</v>
      </c>
      <c r="T7" s="5" t="s">
        <v>1</v>
      </c>
      <c r="U7" s="5" t="s">
        <v>1</v>
      </c>
      <c r="AC7" s="1" t="s">
        <v>22</v>
      </c>
      <c r="AD7" s="5" t="s">
        <v>1</v>
      </c>
      <c r="AE7" s="5" t="s">
        <v>1</v>
      </c>
      <c r="AF7" s="5" t="s">
        <v>1</v>
      </c>
      <c r="AG7" s="5" t="s">
        <v>1</v>
      </c>
      <c r="AH7" s="5" t="s">
        <v>1</v>
      </c>
      <c r="AI7" s="5" t="s">
        <v>1</v>
      </c>
    </row>
    <row r="8" ht="12.75">
      <c r="A8" s="1" t="s">
        <v>613</v>
      </c>
    </row>
    <row r="9" spans="1:35" ht="12.75">
      <c r="A9" t="s">
        <v>3</v>
      </c>
      <c r="B9" s="15">
        <v>445000</v>
      </c>
      <c r="C9" s="15">
        <f aca="true" t="shared" si="0" ref="C9:G15">+B9</f>
        <v>445000</v>
      </c>
      <c r="D9" s="15">
        <f t="shared" si="0"/>
        <v>445000</v>
      </c>
      <c r="E9" s="15">
        <f t="shared" si="0"/>
        <v>445000</v>
      </c>
      <c r="F9" s="15">
        <f t="shared" si="0"/>
        <v>445000</v>
      </c>
      <c r="G9" s="15">
        <f t="shared" si="0"/>
        <v>445000</v>
      </c>
      <c r="O9" t="s">
        <v>3</v>
      </c>
      <c r="P9" s="15">
        <v>460000</v>
      </c>
      <c r="Q9" s="15">
        <v>460000</v>
      </c>
      <c r="R9" s="15">
        <v>460000</v>
      </c>
      <c r="S9" s="15">
        <v>460000</v>
      </c>
      <c r="T9" s="15">
        <v>460000</v>
      </c>
      <c r="U9" s="15">
        <v>460000</v>
      </c>
      <c r="AC9" t="s">
        <v>3</v>
      </c>
      <c r="AD9" s="15">
        <v>400000</v>
      </c>
      <c r="AE9" s="15">
        <f aca="true" t="shared" si="1" ref="AE9:AI15">+AD9</f>
        <v>400000</v>
      </c>
      <c r="AF9" s="15">
        <f t="shared" si="1"/>
        <v>400000</v>
      </c>
      <c r="AG9" s="15">
        <f t="shared" si="1"/>
        <v>400000</v>
      </c>
      <c r="AH9" s="15">
        <f t="shared" si="1"/>
        <v>400000</v>
      </c>
      <c r="AI9" s="15">
        <f t="shared" si="1"/>
        <v>400000</v>
      </c>
    </row>
    <row r="10" spans="1:35" ht="12.75">
      <c r="A10" t="s">
        <v>4</v>
      </c>
      <c r="B10" s="118">
        <v>0.5</v>
      </c>
      <c r="C10" s="118">
        <f t="shared" si="0"/>
        <v>0.5</v>
      </c>
      <c r="D10" s="118">
        <f t="shared" si="0"/>
        <v>0.5</v>
      </c>
      <c r="E10" s="118">
        <f t="shared" si="0"/>
        <v>0.5</v>
      </c>
      <c r="F10" s="118">
        <f t="shared" si="0"/>
        <v>0.5</v>
      </c>
      <c r="G10" s="118">
        <f t="shared" si="0"/>
        <v>0.5</v>
      </c>
      <c r="O10" t="s">
        <v>4</v>
      </c>
      <c r="P10" s="118">
        <v>0.5</v>
      </c>
      <c r="Q10" s="118">
        <f aca="true" t="shared" si="2" ref="Q10:U15">+P10</f>
        <v>0.5</v>
      </c>
      <c r="R10" s="118">
        <f t="shared" si="2"/>
        <v>0.5</v>
      </c>
      <c r="S10" s="118">
        <f t="shared" si="2"/>
        <v>0.5</v>
      </c>
      <c r="T10" s="118">
        <f t="shared" si="2"/>
        <v>0.5</v>
      </c>
      <c r="U10" s="118">
        <f t="shared" si="2"/>
        <v>0.5</v>
      </c>
      <c r="AC10" t="s">
        <v>4</v>
      </c>
      <c r="AD10" s="118">
        <v>0.5</v>
      </c>
      <c r="AE10" s="118">
        <f t="shared" si="1"/>
        <v>0.5</v>
      </c>
      <c r="AF10" s="118">
        <f t="shared" si="1"/>
        <v>0.5</v>
      </c>
      <c r="AG10" s="118">
        <f t="shared" si="1"/>
        <v>0.5</v>
      </c>
      <c r="AH10" s="118">
        <f t="shared" si="1"/>
        <v>0.5</v>
      </c>
      <c r="AI10" s="118">
        <f t="shared" si="1"/>
        <v>0.5</v>
      </c>
    </row>
    <row r="11" spans="1:35" ht="12.75">
      <c r="A11" t="s">
        <v>6</v>
      </c>
      <c r="B11" s="118">
        <v>0.04</v>
      </c>
      <c r="C11" s="118">
        <f t="shared" si="0"/>
        <v>0.04</v>
      </c>
      <c r="D11" s="118">
        <f t="shared" si="0"/>
        <v>0.04</v>
      </c>
      <c r="E11" s="118">
        <f t="shared" si="0"/>
        <v>0.04</v>
      </c>
      <c r="F11" s="118">
        <f t="shared" si="0"/>
        <v>0.04</v>
      </c>
      <c r="G11" s="118">
        <f t="shared" si="0"/>
        <v>0.04</v>
      </c>
      <c r="O11" t="s">
        <v>6</v>
      </c>
      <c r="P11" s="118">
        <v>0.04</v>
      </c>
      <c r="Q11" s="118">
        <f t="shared" si="2"/>
        <v>0.04</v>
      </c>
      <c r="R11" s="118">
        <f t="shared" si="2"/>
        <v>0.04</v>
      </c>
      <c r="S11" s="118">
        <f t="shared" si="2"/>
        <v>0.04</v>
      </c>
      <c r="T11" s="118">
        <f t="shared" si="2"/>
        <v>0.04</v>
      </c>
      <c r="U11" s="118">
        <f t="shared" si="2"/>
        <v>0.04</v>
      </c>
      <c r="AC11" t="s">
        <v>6</v>
      </c>
      <c r="AD11" s="118">
        <v>0.04</v>
      </c>
      <c r="AE11" s="118">
        <f t="shared" si="1"/>
        <v>0.04</v>
      </c>
      <c r="AF11" s="118">
        <f t="shared" si="1"/>
        <v>0.04</v>
      </c>
      <c r="AG11" s="118">
        <f t="shared" si="1"/>
        <v>0.04</v>
      </c>
      <c r="AH11" s="118">
        <f t="shared" si="1"/>
        <v>0.04</v>
      </c>
      <c r="AI11" s="118">
        <f t="shared" si="1"/>
        <v>0.04</v>
      </c>
    </row>
    <row r="12" spans="1:35" ht="12.75">
      <c r="A12" t="s">
        <v>24</v>
      </c>
      <c r="B12" s="15">
        <v>20</v>
      </c>
      <c r="C12" s="15">
        <f t="shared" si="0"/>
        <v>20</v>
      </c>
      <c r="D12" s="15">
        <f t="shared" si="0"/>
        <v>20</v>
      </c>
      <c r="E12" s="15">
        <f t="shared" si="0"/>
        <v>20</v>
      </c>
      <c r="F12" s="15">
        <f t="shared" si="0"/>
        <v>20</v>
      </c>
      <c r="G12" s="15">
        <f t="shared" si="0"/>
        <v>20</v>
      </c>
      <c r="O12" t="s">
        <v>24</v>
      </c>
      <c r="P12" s="15">
        <v>20</v>
      </c>
      <c r="Q12" s="15">
        <f t="shared" si="2"/>
        <v>20</v>
      </c>
      <c r="R12" s="15">
        <f t="shared" si="2"/>
        <v>20</v>
      </c>
      <c r="S12" s="15">
        <f t="shared" si="2"/>
        <v>20</v>
      </c>
      <c r="T12" s="15">
        <f t="shared" si="2"/>
        <v>20</v>
      </c>
      <c r="U12" s="15">
        <f t="shared" si="2"/>
        <v>20</v>
      </c>
      <c r="AC12" t="s">
        <v>24</v>
      </c>
      <c r="AD12" s="15">
        <v>20</v>
      </c>
      <c r="AE12" s="15">
        <f t="shared" si="1"/>
        <v>20</v>
      </c>
      <c r="AF12" s="15">
        <f t="shared" si="1"/>
        <v>20</v>
      </c>
      <c r="AG12" s="15">
        <f t="shared" si="1"/>
        <v>20</v>
      </c>
      <c r="AH12" s="15">
        <f t="shared" si="1"/>
        <v>20</v>
      </c>
      <c r="AI12" s="15">
        <f t="shared" si="1"/>
        <v>20</v>
      </c>
    </row>
    <row r="13" spans="1:35" ht="12.75">
      <c r="A13" t="s">
        <v>9</v>
      </c>
      <c r="B13" s="118">
        <v>1.1</v>
      </c>
      <c r="C13" s="118">
        <f t="shared" si="0"/>
        <v>1.1</v>
      </c>
      <c r="D13" s="118">
        <f t="shared" si="0"/>
        <v>1.1</v>
      </c>
      <c r="E13" s="118">
        <f t="shared" si="0"/>
        <v>1.1</v>
      </c>
      <c r="F13" s="118">
        <f t="shared" si="0"/>
        <v>1.1</v>
      </c>
      <c r="G13" s="118">
        <f t="shared" si="0"/>
        <v>1.1</v>
      </c>
      <c r="O13" t="s">
        <v>9</v>
      </c>
      <c r="P13" s="118">
        <v>1.1</v>
      </c>
      <c r="Q13" s="118">
        <f t="shared" si="2"/>
        <v>1.1</v>
      </c>
      <c r="R13" s="118">
        <f t="shared" si="2"/>
        <v>1.1</v>
      </c>
      <c r="S13" s="118">
        <f t="shared" si="2"/>
        <v>1.1</v>
      </c>
      <c r="T13" s="118">
        <f t="shared" si="2"/>
        <v>1.1</v>
      </c>
      <c r="U13" s="118">
        <f t="shared" si="2"/>
        <v>1.1</v>
      </c>
      <c r="AC13" t="s">
        <v>9</v>
      </c>
      <c r="AD13" s="118">
        <v>1.1</v>
      </c>
      <c r="AE13" s="118">
        <f t="shared" si="1"/>
        <v>1.1</v>
      </c>
      <c r="AF13" s="118">
        <f t="shared" si="1"/>
        <v>1.1</v>
      </c>
      <c r="AG13" s="118">
        <f t="shared" si="1"/>
        <v>1.1</v>
      </c>
      <c r="AH13" s="118">
        <f t="shared" si="1"/>
        <v>1.1</v>
      </c>
      <c r="AI13" s="118">
        <f t="shared" si="1"/>
        <v>1.1</v>
      </c>
    </row>
    <row r="14" spans="1:35" ht="12.75">
      <c r="A14" t="s">
        <v>12</v>
      </c>
      <c r="B14" s="118">
        <v>2.2</v>
      </c>
      <c r="C14" s="118">
        <f t="shared" si="0"/>
        <v>2.2</v>
      </c>
      <c r="D14" s="118">
        <f t="shared" si="0"/>
        <v>2.2</v>
      </c>
      <c r="E14" s="118">
        <f t="shared" si="0"/>
        <v>2.2</v>
      </c>
      <c r="F14" s="118">
        <f t="shared" si="0"/>
        <v>2.2</v>
      </c>
      <c r="G14" s="118">
        <f t="shared" si="0"/>
        <v>2.2</v>
      </c>
      <c r="O14" t="s">
        <v>12</v>
      </c>
      <c r="P14" s="118">
        <v>2.2</v>
      </c>
      <c r="Q14" s="118">
        <f t="shared" si="2"/>
        <v>2.2</v>
      </c>
      <c r="R14" s="118">
        <f t="shared" si="2"/>
        <v>2.2</v>
      </c>
      <c r="S14" s="118">
        <f t="shared" si="2"/>
        <v>2.2</v>
      </c>
      <c r="T14" s="118">
        <f t="shared" si="2"/>
        <v>2.2</v>
      </c>
      <c r="U14" s="118">
        <f t="shared" si="2"/>
        <v>2.2</v>
      </c>
      <c r="AC14" t="s">
        <v>12</v>
      </c>
      <c r="AD14" s="118">
        <v>2.2</v>
      </c>
      <c r="AE14" s="118">
        <f t="shared" si="1"/>
        <v>2.2</v>
      </c>
      <c r="AF14" s="118">
        <f t="shared" si="1"/>
        <v>2.2</v>
      </c>
      <c r="AG14" s="118">
        <f t="shared" si="1"/>
        <v>2.2</v>
      </c>
      <c r="AH14" s="118">
        <f t="shared" si="1"/>
        <v>2.2</v>
      </c>
      <c r="AI14" s="118">
        <f t="shared" si="1"/>
        <v>2.2</v>
      </c>
    </row>
    <row r="15" spans="1:35" ht="12.75">
      <c r="A15" t="s">
        <v>28</v>
      </c>
      <c r="B15" s="118">
        <v>1.6</v>
      </c>
      <c r="C15" s="118">
        <f t="shared" si="0"/>
        <v>1.6</v>
      </c>
      <c r="D15" s="118">
        <f t="shared" si="0"/>
        <v>1.6</v>
      </c>
      <c r="E15" s="118">
        <f t="shared" si="0"/>
        <v>1.6</v>
      </c>
      <c r="F15" s="118">
        <f t="shared" si="0"/>
        <v>1.6</v>
      </c>
      <c r="G15" s="118">
        <f t="shared" si="0"/>
        <v>1.6</v>
      </c>
      <c r="O15" t="s">
        <v>28</v>
      </c>
      <c r="P15" s="118">
        <v>1.6</v>
      </c>
      <c r="Q15" s="118">
        <f t="shared" si="2"/>
        <v>1.6</v>
      </c>
      <c r="R15" s="118">
        <f t="shared" si="2"/>
        <v>1.6</v>
      </c>
      <c r="S15" s="118">
        <f t="shared" si="2"/>
        <v>1.6</v>
      </c>
      <c r="T15" s="118">
        <f t="shared" si="2"/>
        <v>1.6</v>
      </c>
      <c r="U15" s="118">
        <f t="shared" si="2"/>
        <v>1.6</v>
      </c>
      <c r="AC15" t="s">
        <v>28</v>
      </c>
      <c r="AD15" s="118">
        <v>1.6</v>
      </c>
      <c r="AE15" s="118">
        <f t="shared" si="1"/>
        <v>1.6</v>
      </c>
      <c r="AF15" s="118">
        <f t="shared" si="1"/>
        <v>1.6</v>
      </c>
      <c r="AG15" s="118">
        <f t="shared" si="1"/>
        <v>1.6</v>
      </c>
      <c r="AH15" s="118">
        <f t="shared" si="1"/>
        <v>1.6</v>
      </c>
      <c r="AI15" s="118">
        <f t="shared" si="1"/>
        <v>1.6</v>
      </c>
    </row>
    <row r="16" spans="1:35" ht="12.75">
      <c r="A16" s="11" t="s">
        <v>574</v>
      </c>
      <c r="B16" s="13">
        <v>0.84</v>
      </c>
      <c r="C16" s="13">
        <v>0.84</v>
      </c>
      <c r="D16" s="13">
        <v>0.84</v>
      </c>
      <c r="E16" s="13">
        <v>0.84</v>
      </c>
      <c r="F16" s="13">
        <v>0.84</v>
      </c>
      <c r="G16" s="13">
        <v>0.84</v>
      </c>
      <c r="O16" s="11" t="s">
        <v>56</v>
      </c>
      <c r="P16" s="13">
        <v>0.84</v>
      </c>
      <c r="Q16" s="13">
        <v>0.84</v>
      </c>
      <c r="R16" s="13">
        <v>0.84</v>
      </c>
      <c r="S16" s="13">
        <v>0.84</v>
      </c>
      <c r="T16" s="13">
        <v>0.84</v>
      </c>
      <c r="U16" s="13">
        <v>0.84</v>
      </c>
      <c r="AC16" s="11" t="s">
        <v>56</v>
      </c>
      <c r="AD16" s="13">
        <v>0.84</v>
      </c>
      <c r="AE16" s="13">
        <v>0.84</v>
      </c>
      <c r="AF16" s="13">
        <v>0.84</v>
      </c>
      <c r="AG16" s="13">
        <v>0.84</v>
      </c>
      <c r="AH16" s="13">
        <v>0.84</v>
      </c>
      <c r="AI16" s="13">
        <v>0.84</v>
      </c>
    </row>
    <row r="17" spans="1:35" ht="12.75">
      <c r="A17" t="s">
        <v>470</v>
      </c>
      <c r="B17" s="15">
        <v>2370</v>
      </c>
      <c r="C17" s="15">
        <f>+B17</f>
        <v>2370</v>
      </c>
      <c r="D17" s="15">
        <f>+B17</f>
        <v>2370</v>
      </c>
      <c r="E17" s="15">
        <f>+B17</f>
        <v>2370</v>
      </c>
      <c r="F17" s="15">
        <f>+B17</f>
        <v>2370</v>
      </c>
      <c r="G17" s="15">
        <f>+B17</f>
        <v>2370</v>
      </c>
      <c r="O17" t="s">
        <v>470</v>
      </c>
      <c r="P17" s="15">
        <v>2370</v>
      </c>
      <c r="Q17" s="15">
        <f>+P17</f>
        <v>2370</v>
      </c>
      <c r="R17" s="15">
        <f>+P17</f>
        <v>2370</v>
      </c>
      <c r="S17" s="15">
        <f>+P17</f>
        <v>2370</v>
      </c>
      <c r="T17" s="15">
        <f>+P17</f>
        <v>2370</v>
      </c>
      <c r="U17" s="15">
        <f>+P17</f>
        <v>2370</v>
      </c>
      <c r="AC17" t="s">
        <v>470</v>
      </c>
      <c r="AD17" s="15">
        <v>2370</v>
      </c>
      <c r="AE17" s="15">
        <f>+AD17</f>
        <v>2370</v>
      </c>
      <c r="AF17" s="15">
        <f>+AD17</f>
        <v>2370</v>
      </c>
      <c r="AG17" s="15">
        <f>+AD17</f>
        <v>2370</v>
      </c>
      <c r="AH17" s="15">
        <f>+AD17</f>
        <v>2370</v>
      </c>
      <c r="AI17" s="15">
        <f>+AD17</f>
        <v>2370</v>
      </c>
    </row>
    <row r="18" spans="1:35" ht="12.75">
      <c r="A18" t="s">
        <v>469</v>
      </c>
      <c r="B18" s="15">
        <v>8</v>
      </c>
      <c r="C18" s="15">
        <v>8</v>
      </c>
      <c r="D18" s="15">
        <v>8</v>
      </c>
      <c r="E18" s="15">
        <v>8</v>
      </c>
      <c r="F18" s="15">
        <v>8</v>
      </c>
      <c r="G18" s="15">
        <v>8</v>
      </c>
      <c r="N18" s="11"/>
      <c r="O18" t="s">
        <v>469</v>
      </c>
      <c r="P18" s="15">
        <v>8</v>
      </c>
      <c r="Q18" s="15">
        <v>8</v>
      </c>
      <c r="R18" s="15">
        <v>8</v>
      </c>
      <c r="S18" s="15">
        <v>8</v>
      </c>
      <c r="T18" s="15">
        <v>8</v>
      </c>
      <c r="U18" s="15">
        <v>8</v>
      </c>
      <c r="AB18" s="11"/>
      <c r="AC18" t="s">
        <v>469</v>
      </c>
      <c r="AD18" s="15">
        <v>8</v>
      </c>
      <c r="AE18" s="15">
        <v>8</v>
      </c>
      <c r="AF18" s="15">
        <v>8</v>
      </c>
      <c r="AG18" s="15">
        <v>8</v>
      </c>
      <c r="AH18" s="15">
        <v>8</v>
      </c>
      <c r="AI18" s="15">
        <v>8</v>
      </c>
    </row>
    <row r="19" spans="1:35" ht="12.75">
      <c r="A19" t="s">
        <v>575</v>
      </c>
      <c r="B19" s="15">
        <v>4000</v>
      </c>
      <c r="C19" s="15">
        <v>4000</v>
      </c>
      <c r="D19" s="15">
        <v>4000</v>
      </c>
      <c r="E19" s="15">
        <v>4000</v>
      </c>
      <c r="F19" s="15">
        <v>4000</v>
      </c>
      <c r="G19" s="15">
        <v>4000</v>
      </c>
      <c r="O19" t="s">
        <v>377</v>
      </c>
      <c r="P19" s="15">
        <v>4000</v>
      </c>
      <c r="Q19" s="15">
        <v>4000</v>
      </c>
      <c r="R19" s="15">
        <v>4000</v>
      </c>
      <c r="S19" s="15">
        <v>4000</v>
      </c>
      <c r="T19" s="15">
        <v>4000</v>
      </c>
      <c r="U19" s="15">
        <v>4000</v>
      </c>
      <c r="AC19" t="s">
        <v>377</v>
      </c>
      <c r="AD19" s="15">
        <v>4000</v>
      </c>
      <c r="AE19" s="15">
        <v>4000</v>
      </c>
      <c r="AF19" s="15">
        <v>4000</v>
      </c>
      <c r="AG19" s="15">
        <v>4000</v>
      </c>
      <c r="AH19" s="15">
        <v>4000</v>
      </c>
      <c r="AI19" s="15">
        <v>4000</v>
      </c>
    </row>
    <row r="20" spans="2:35" ht="12.75">
      <c r="B20" s="8"/>
      <c r="C20" s="8"/>
      <c r="D20" s="8"/>
      <c r="E20" s="8"/>
      <c r="F20" s="8"/>
      <c r="G20" s="8"/>
      <c r="P20" s="8"/>
      <c r="Q20" s="8"/>
      <c r="R20" s="8"/>
      <c r="S20" s="8"/>
      <c r="T20" s="8"/>
      <c r="U20" s="8"/>
      <c r="AD20" s="8"/>
      <c r="AE20" s="8"/>
      <c r="AF20" s="8"/>
      <c r="AG20" s="8"/>
      <c r="AH20" s="8"/>
      <c r="AI20" s="8"/>
    </row>
    <row r="21" spans="2:35" ht="12.75">
      <c r="B21" s="5" t="s">
        <v>21</v>
      </c>
      <c r="C21" s="5" t="s">
        <v>43</v>
      </c>
      <c r="D21" s="5" t="s">
        <v>44</v>
      </c>
      <c r="E21" s="5" t="s">
        <v>46</v>
      </c>
      <c r="F21" s="5" t="s">
        <v>47</v>
      </c>
      <c r="G21" s="5" t="s">
        <v>48</v>
      </c>
      <c r="P21" s="5" t="s">
        <v>21</v>
      </c>
      <c r="Q21" s="5" t="s">
        <v>43</v>
      </c>
      <c r="R21" s="5" t="s">
        <v>44</v>
      </c>
      <c r="S21" s="5" t="s">
        <v>46</v>
      </c>
      <c r="T21" s="5" t="s">
        <v>47</v>
      </c>
      <c r="U21" s="5" t="s">
        <v>48</v>
      </c>
      <c r="AD21" s="5" t="s">
        <v>21</v>
      </c>
      <c r="AE21" s="5" t="s">
        <v>43</v>
      </c>
      <c r="AF21" s="5" t="s">
        <v>44</v>
      </c>
      <c r="AG21" s="5" t="s">
        <v>46</v>
      </c>
      <c r="AH21" s="5" t="s">
        <v>47</v>
      </c>
      <c r="AI21" s="5" t="s">
        <v>48</v>
      </c>
    </row>
    <row r="22" spans="1:35" ht="12.75">
      <c r="A22" s="1"/>
      <c r="B22" s="122" t="s">
        <v>553</v>
      </c>
      <c r="C22" s="122" t="s">
        <v>642</v>
      </c>
      <c r="D22" s="122" t="s">
        <v>643</v>
      </c>
      <c r="E22" s="122" t="s">
        <v>644</v>
      </c>
      <c r="F22" s="122" t="s">
        <v>645</v>
      </c>
      <c r="G22" s="127" t="s">
        <v>556</v>
      </c>
      <c r="O22" s="1" t="s">
        <v>20</v>
      </c>
      <c r="P22" s="39" t="s">
        <v>553</v>
      </c>
      <c r="Q22" s="39" t="s">
        <v>554</v>
      </c>
      <c r="R22" s="39" t="s">
        <v>558</v>
      </c>
      <c r="S22" s="39" t="s">
        <v>555</v>
      </c>
      <c r="T22" s="39" t="s">
        <v>557</v>
      </c>
      <c r="U22" s="7" t="s">
        <v>556</v>
      </c>
      <c r="AC22" s="1" t="s">
        <v>20</v>
      </c>
      <c r="AD22" s="39" t="s">
        <v>553</v>
      </c>
      <c r="AE22" s="39" t="s">
        <v>554</v>
      </c>
      <c r="AF22" s="39" t="s">
        <v>558</v>
      </c>
      <c r="AG22" s="39" t="s">
        <v>555</v>
      </c>
      <c r="AH22" s="39" t="s">
        <v>557</v>
      </c>
      <c r="AI22" s="7" t="s">
        <v>556</v>
      </c>
    </row>
    <row r="23" spans="1:29" ht="12.75">
      <c r="A23" t="s">
        <v>523</v>
      </c>
      <c r="O23" t="s">
        <v>523</v>
      </c>
      <c r="AC23" t="s">
        <v>523</v>
      </c>
    </row>
    <row r="24" spans="1:35" ht="12.75">
      <c r="A24" t="s">
        <v>17</v>
      </c>
      <c r="B24" s="19">
        <v>-6.9</v>
      </c>
      <c r="C24" s="19">
        <v>-7.9</v>
      </c>
      <c r="D24" s="19">
        <v>-7.7</v>
      </c>
      <c r="E24" s="19">
        <v>-6</v>
      </c>
      <c r="F24" s="19">
        <v>-7</v>
      </c>
      <c r="G24" s="19">
        <v>-21</v>
      </c>
      <c r="O24" t="s">
        <v>17</v>
      </c>
      <c r="P24" s="19">
        <f>+B24</f>
        <v>-6.9</v>
      </c>
      <c r="Q24" s="19">
        <f aca="true" t="shared" si="3" ref="Q24:Q42">+C24</f>
        <v>-7.9</v>
      </c>
      <c r="R24" s="19">
        <f aca="true" t="shared" si="4" ref="R24:R42">+D24</f>
        <v>-7.7</v>
      </c>
      <c r="S24" s="19">
        <f aca="true" t="shared" si="5" ref="S24:S42">+E24</f>
        <v>-6</v>
      </c>
      <c r="T24" s="19">
        <f>+F24</f>
        <v>-7</v>
      </c>
      <c r="U24" s="19">
        <f aca="true" t="shared" si="6" ref="U24:U42">+G24</f>
        <v>-21</v>
      </c>
      <c r="AC24" t="s">
        <v>17</v>
      </c>
      <c r="AD24" s="19">
        <f>+P24</f>
        <v>-6.9</v>
      </c>
      <c r="AE24" s="19">
        <f aca="true" t="shared" si="7" ref="AE24:AE42">+Q24</f>
        <v>-7.9</v>
      </c>
      <c r="AF24" s="19">
        <f aca="true" t="shared" si="8" ref="AF24:AF42">+R24</f>
        <v>-7.7</v>
      </c>
      <c r="AG24" s="19">
        <f aca="true" t="shared" si="9" ref="AG24:AG42">+S24</f>
        <v>-6</v>
      </c>
      <c r="AH24" s="19">
        <f aca="true" t="shared" si="10" ref="AH24:AH42">+T24</f>
        <v>-7</v>
      </c>
      <c r="AI24" s="19">
        <f aca="true" t="shared" si="11" ref="AI24:AI42">+U24</f>
        <v>-21</v>
      </c>
    </row>
    <row r="25" spans="1:35" ht="12.75">
      <c r="A25" t="s">
        <v>18</v>
      </c>
      <c r="B25" s="19">
        <v>-6.9</v>
      </c>
      <c r="C25" s="19">
        <v>-7.9</v>
      </c>
      <c r="D25" s="19">
        <v>-7.7</v>
      </c>
      <c r="E25" s="19">
        <v>-30</v>
      </c>
      <c r="F25" s="19">
        <v>-30</v>
      </c>
      <c r="G25" s="19">
        <v>-30</v>
      </c>
      <c r="O25" t="s">
        <v>18</v>
      </c>
      <c r="P25" s="19">
        <f aca="true" t="shared" si="12" ref="P25:P42">+B25</f>
        <v>-6.9</v>
      </c>
      <c r="Q25" s="19">
        <f t="shared" si="3"/>
        <v>-7.9</v>
      </c>
      <c r="R25" s="19">
        <f t="shared" si="4"/>
        <v>-7.7</v>
      </c>
      <c r="S25" s="19">
        <f t="shared" si="5"/>
        <v>-30</v>
      </c>
      <c r="T25" s="19">
        <f>+F25</f>
        <v>-30</v>
      </c>
      <c r="U25" s="19">
        <f t="shared" si="6"/>
        <v>-30</v>
      </c>
      <c r="AC25" t="s">
        <v>18</v>
      </c>
      <c r="AD25" s="19">
        <f aca="true" t="shared" si="13" ref="AD25:AD42">+P25</f>
        <v>-6.9</v>
      </c>
      <c r="AE25" s="19">
        <f t="shared" si="7"/>
        <v>-7.9</v>
      </c>
      <c r="AF25" s="19">
        <f t="shared" si="8"/>
        <v>-7.7</v>
      </c>
      <c r="AG25" s="19">
        <f t="shared" si="9"/>
        <v>-30</v>
      </c>
      <c r="AH25" s="19">
        <f t="shared" si="10"/>
        <v>-30</v>
      </c>
      <c r="AI25" s="19">
        <f t="shared" si="11"/>
        <v>-30</v>
      </c>
    </row>
    <row r="26" spans="1:35" ht="12.75">
      <c r="A26" t="s">
        <v>19</v>
      </c>
      <c r="B26" s="19">
        <v>-6.9</v>
      </c>
      <c r="C26" s="19">
        <v>-15</v>
      </c>
      <c r="D26" s="19">
        <v>-30</v>
      </c>
      <c r="E26" s="19">
        <v>-15</v>
      </c>
      <c r="F26" s="19">
        <v>-30</v>
      </c>
      <c r="G26" s="19">
        <v>-30</v>
      </c>
      <c r="O26" t="s">
        <v>19</v>
      </c>
      <c r="P26" s="19">
        <f t="shared" si="12"/>
        <v>-6.9</v>
      </c>
      <c r="Q26" s="19">
        <f t="shared" si="3"/>
        <v>-15</v>
      </c>
      <c r="R26" s="19">
        <f t="shared" si="4"/>
        <v>-30</v>
      </c>
      <c r="S26" s="19">
        <f t="shared" si="5"/>
        <v>-15</v>
      </c>
      <c r="T26" s="19">
        <f>+F26</f>
        <v>-30</v>
      </c>
      <c r="U26" s="19">
        <f t="shared" si="6"/>
        <v>-30</v>
      </c>
      <c r="AC26" t="s">
        <v>19</v>
      </c>
      <c r="AD26" s="19">
        <f t="shared" si="13"/>
        <v>-6.9</v>
      </c>
      <c r="AE26" s="19">
        <f t="shared" si="7"/>
        <v>-15</v>
      </c>
      <c r="AF26" s="19">
        <f t="shared" si="8"/>
        <v>-30</v>
      </c>
      <c r="AG26" s="19">
        <f t="shared" si="9"/>
        <v>-15</v>
      </c>
      <c r="AH26" s="19">
        <f t="shared" si="10"/>
        <v>-30</v>
      </c>
      <c r="AI26" s="19">
        <f t="shared" si="11"/>
        <v>-30</v>
      </c>
    </row>
    <row r="27" spans="2:35" ht="12.75">
      <c r="B27" s="19"/>
      <c r="C27" s="19"/>
      <c r="D27" s="19"/>
      <c r="E27" s="19"/>
      <c r="F27" s="19"/>
      <c r="G27" s="19"/>
      <c r="P27" s="19"/>
      <c r="Q27" s="19"/>
      <c r="R27" s="19"/>
      <c r="S27" s="19"/>
      <c r="T27" s="19"/>
      <c r="U27" s="19"/>
      <c r="AD27" s="19"/>
      <c r="AE27" s="19"/>
      <c r="AF27" s="19"/>
      <c r="AG27" s="19"/>
      <c r="AH27" s="19"/>
      <c r="AI27" s="19"/>
    </row>
    <row r="28" spans="1:35" ht="12.75">
      <c r="A28" t="s">
        <v>49</v>
      </c>
      <c r="B28" s="19"/>
      <c r="C28" s="19"/>
      <c r="D28" s="19"/>
      <c r="E28" s="19"/>
      <c r="F28" s="19"/>
      <c r="G28" s="19"/>
      <c r="O28" t="s">
        <v>49</v>
      </c>
      <c r="P28" s="19"/>
      <c r="Q28" s="19"/>
      <c r="R28" s="19"/>
      <c r="S28" s="19"/>
      <c r="T28" s="19"/>
      <c r="U28" s="19"/>
      <c r="AC28" t="s">
        <v>49</v>
      </c>
      <c r="AD28" s="19"/>
      <c r="AE28" s="19"/>
      <c r="AF28" s="19"/>
      <c r="AG28" s="19"/>
      <c r="AH28" s="19"/>
      <c r="AI28" s="19"/>
    </row>
    <row r="29" spans="1:35" ht="12.75">
      <c r="A29" t="s">
        <v>17</v>
      </c>
      <c r="B29" s="19"/>
      <c r="C29" s="19"/>
      <c r="D29" s="19"/>
      <c r="E29" s="19"/>
      <c r="F29" s="19"/>
      <c r="G29" s="19"/>
      <c r="O29" t="s">
        <v>17</v>
      </c>
      <c r="P29" s="19">
        <f t="shared" si="12"/>
        <v>0</v>
      </c>
      <c r="Q29" s="19">
        <f t="shared" si="3"/>
        <v>0</v>
      </c>
      <c r="R29" s="19">
        <f t="shared" si="4"/>
        <v>0</v>
      </c>
      <c r="S29" s="19">
        <f t="shared" si="5"/>
        <v>0</v>
      </c>
      <c r="T29" s="19">
        <f>+F29</f>
        <v>0</v>
      </c>
      <c r="U29" s="19">
        <f t="shared" si="6"/>
        <v>0</v>
      </c>
      <c r="AC29" t="s">
        <v>17</v>
      </c>
      <c r="AD29" s="19">
        <f t="shared" si="13"/>
        <v>0</v>
      </c>
      <c r="AE29" s="19">
        <f t="shared" si="7"/>
        <v>0</v>
      </c>
      <c r="AF29" s="19">
        <f t="shared" si="8"/>
        <v>0</v>
      </c>
      <c r="AG29" s="19">
        <f t="shared" si="9"/>
        <v>0</v>
      </c>
      <c r="AH29" s="19">
        <f t="shared" si="10"/>
        <v>0</v>
      </c>
      <c r="AI29" s="19">
        <f t="shared" si="11"/>
        <v>0</v>
      </c>
    </row>
    <row r="30" spans="1:35" ht="12.75">
      <c r="A30" t="s">
        <v>18</v>
      </c>
      <c r="B30" s="19"/>
      <c r="C30" s="19"/>
      <c r="D30" s="19"/>
      <c r="E30" s="19"/>
      <c r="F30" s="19"/>
      <c r="G30" s="19"/>
      <c r="O30" t="s">
        <v>18</v>
      </c>
      <c r="P30" s="19">
        <f t="shared" si="12"/>
        <v>0</v>
      </c>
      <c r="Q30" s="19">
        <f t="shared" si="3"/>
        <v>0</v>
      </c>
      <c r="R30" s="19">
        <f t="shared" si="4"/>
        <v>0</v>
      </c>
      <c r="S30" s="19">
        <f t="shared" si="5"/>
        <v>0</v>
      </c>
      <c r="T30" s="19">
        <f>+F30</f>
        <v>0</v>
      </c>
      <c r="U30" s="19">
        <f t="shared" si="6"/>
        <v>0</v>
      </c>
      <c r="AC30" t="s">
        <v>18</v>
      </c>
      <c r="AD30" s="19">
        <f t="shared" si="13"/>
        <v>0</v>
      </c>
      <c r="AE30" s="19">
        <f t="shared" si="7"/>
        <v>0</v>
      </c>
      <c r="AF30" s="19">
        <f t="shared" si="8"/>
        <v>0</v>
      </c>
      <c r="AG30" s="19">
        <f t="shared" si="9"/>
        <v>0</v>
      </c>
      <c r="AH30" s="19">
        <f t="shared" si="10"/>
        <v>0</v>
      </c>
      <c r="AI30" s="19">
        <f t="shared" si="11"/>
        <v>0</v>
      </c>
    </row>
    <row r="31" spans="1:35" ht="12.75">
      <c r="A31" t="s">
        <v>19</v>
      </c>
      <c r="B31" s="19">
        <v>0</v>
      </c>
      <c r="C31" s="19">
        <v>0</v>
      </c>
      <c r="D31" s="19">
        <v>-5</v>
      </c>
      <c r="E31" s="19">
        <v>0</v>
      </c>
      <c r="F31" s="19">
        <v>-5</v>
      </c>
      <c r="G31" s="19">
        <v>-5</v>
      </c>
      <c r="O31" t="s">
        <v>19</v>
      </c>
      <c r="P31" s="19">
        <f t="shared" si="12"/>
        <v>0</v>
      </c>
      <c r="Q31" s="19">
        <f t="shared" si="3"/>
        <v>0</v>
      </c>
      <c r="R31" s="19">
        <f t="shared" si="4"/>
        <v>-5</v>
      </c>
      <c r="S31" s="19">
        <f t="shared" si="5"/>
        <v>0</v>
      </c>
      <c r="T31" s="19">
        <f>+F31</f>
        <v>-5</v>
      </c>
      <c r="U31" s="19">
        <f t="shared" si="6"/>
        <v>-5</v>
      </c>
      <c r="AC31" t="s">
        <v>19</v>
      </c>
      <c r="AD31" s="19">
        <f t="shared" si="13"/>
        <v>0</v>
      </c>
      <c r="AE31" s="19">
        <f t="shared" si="7"/>
        <v>0</v>
      </c>
      <c r="AF31" s="19">
        <f t="shared" si="8"/>
        <v>-5</v>
      </c>
      <c r="AG31" s="19">
        <f t="shared" si="9"/>
        <v>0</v>
      </c>
      <c r="AH31" s="19">
        <f t="shared" si="10"/>
        <v>-5</v>
      </c>
      <c r="AI31" s="19">
        <f t="shared" si="11"/>
        <v>-5</v>
      </c>
    </row>
    <row r="32" spans="2:35" ht="12.75">
      <c r="B32" s="19"/>
      <c r="C32" s="19"/>
      <c r="D32" s="19"/>
      <c r="E32" s="19"/>
      <c r="F32" s="19"/>
      <c r="G32" s="19"/>
      <c r="P32" s="19"/>
      <c r="Q32" s="19"/>
      <c r="R32" s="19"/>
      <c r="S32" s="19"/>
      <c r="T32" s="19"/>
      <c r="U32" s="19"/>
      <c r="AD32" s="19"/>
      <c r="AE32" s="19"/>
      <c r="AF32" s="19"/>
      <c r="AG32" s="19"/>
      <c r="AH32" s="19"/>
      <c r="AI32" s="19"/>
    </row>
    <row r="33" spans="1:35" ht="12.75">
      <c r="A33" t="s">
        <v>603</v>
      </c>
      <c r="B33" s="19"/>
      <c r="C33" s="19"/>
      <c r="D33" s="19"/>
      <c r="E33" s="19"/>
      <c r="F33" s="19"/>
      <c r="G33" s="19"/>
      <c r="O33" t="s">
        <v>45</v>
      </c>
      <c r="P33" s="19"/>
      <c r="Q33" s="19"/>
      <c r="R33" s="19"/>
      <c r="S33" s="19"/>
      <c r="T33" s="19"/>
      <c r="U33" s="19"/>
      <c r="AC33" t="s">
        <v>45</v>
      </c>
      <c r="AD33" s="19"/>
      <c r="AE33" s="19"/>
      <c r="AF33" s="19"/>
      <c r="AG33" s="19"/>
      <c r="AH33" s="19"/>
      <c r="AI33" s="19"/>
    </row>
    <row r="34" spans="1:35" ht="12.75">
      <c r="A34" t="s">
        <v>17</v>
      </c>
      <c r="B34" s="19"/>
      <c r="C34" s="19"/>
      <c r="D34" s="19"/>
      <c r="E34" s="19"/>
      <c r="F34" s="19"/>
      <c r="G34" s="19"/>
      <c r="O34" t="s">
        <v>17</v>
      </c>
      <c r="P34" s="19">
        <f t="shared" si="12"/>
        <v>0</v>
      </c>
      <c r="Q34" s="19">
        <f t="shared" si="3"/>
        <v>0</v>
      </c>
      <c r="R34" s="19">
        <f t="shared" si="4"/>
        <v>0</v>
      </c>
      <c r="S34" s="19">
        <f t="shared" si="5"/>
        <v>0</v>
      </c>
      <c r="T34" s="19">
        <f>+F34</f>
        <v>0</v>
      </c>
      <c r="U34" s="19">
        <f t="shared" si="6"/>
        <v>0</v>
      </c>
      <c r="AC34" t="s">
        <v>17</v>
      </c>
      <c r="AD34" s="19">
        <f t="shared" si="13"/>
        <v>0</v>
      </c>
      <c r="AE34" s="19">
        <f t="shared" si="7"/>
        <v>0</v>
      </c>
      <c r="AF34" s="19">
        <f t="shared" si="8"/>
        <v>0</v>
      </c>
      <c r="AG34" s="19">
        <f t="shared" si="9"/>
        <v>0</v>
      </c>
      <c r="AH34" s="19">
        <f t="shared" si="10"/>
        <v>0</v>
      </c>
      <c r="AI34" s="19">
        <f t="shared" si="11"/>
        <v>0</v>
      </c>
    </row>
    <row r="35" spans="1:35" ht="12.75">
      <c r="A35" t="s">
        <v>18</v>
      </c>
      <c r="B35" s="19"/>
      <c r="C35" s="19"/>
      <c r="D35" s="19"/>
      <c r="E35" s="19"/>
      <c r="F35" s="19"/>
      <c r="G35" s="19"/>
      <c r="O35" t="s">
        <v>18</v>
      </c>
      <c r="P35" s="19">
        <f t="shared" si="12"/>
        <v>0</v>
      </c>
      <c r="Q35" s="19">
        <f t="shared" si="3"/>
        <v>0</v>
      </c>
      <c r="R35" s="19">
        <f t="shared" si="4"/>
        <v>0</v>
      </c>
      <c r="S35" s="19">
        <f t="shared" si="5"/>
        <v>0</v>
      </c>
      <c r="T35" s="19">
        <f>+F35</f>
        <v>0</v>
      </c>
      <c r="U35" s="19">
        <f t="shared" si="6"/>
        <v>0</v>
      </c>
      <c r="AC35" t="s">
        <v>18</v>
      </c>
      <c r="AD35" s="19">
        <f t="shared" si="13"/>
        <v>0</v>
      </c>
      <c r="AE35" s="19">
        <f t="shared" si="7"/>
        <v>0</v>
      </c>
      <c r="AF35" s="19">
        <f t="shared" si="8"/>
        <v>0</v>
      </c>
      <c r="AG35" s="19">
        <f t="shared" si="9"/>
        <v>0</v>
      </c>
      <c r="AH35" s="19">
        <f t="shared" si="10"/>
        <v>0</v>
      </c>
      <c r="AI35" s="19">
        <f t="shared" si="11"/>
        <v>0</v>
      </c>
    </row>
    <row r="36" spans="1:35" ht="12.75">
      <c r="A36" t="s">
        <v>19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-100</v>
      </c>
      <c r="O36" t="s">
        <v>19</v>
      </c>
      <c r="P36" s="19">
        <f t="shared" si="12"/>
        <v>0</v>
      </c>
      <c r="Q36" s="19">
        <f t="shared" si="3"/>
        <v>0</v>
      </c>
      <c r="R36" s="19">
        <f t="shared" si="4"/>
        <v>0</v>
      </c>
      <c r="S36" s="19">
        <f t="shared" si="5"/>
        <v>0</v>
      </c>
      <c r="T36" s="19">
        <f>+F36</f>
        <v>0</v>
      </c>
      <c r="U36" s="19">
        <f t="shared" si="6"/>
        <v>-100</v>
      </c>
      <c r="AC36" t="s">
        <v>19</v>
      </c>
      <c r="AD36" s="19">
        <f t="shared" si="13"/>
        <v>0</v>
      </c>
      <c r="AE36" s="19">
        <f t="shared" si="7"/>
        <v>0</v>
      </c>
      <c r="AF36" s="19">
        <f t="shared" si="8"/>
        <v>0</v>
      </c>
      <c r="AG36" s="19">
        <f t="shared" si="9"/>
        <v>0</v>
      </c>
      <c r="AH36" s="19">
        <f t="shared" si="10"/>
        <v>0</v>
      </c>
      <c r="AI36" s="19">
        <f t="shared" si="11"/>
        <v>-100</v>
      </c>
    </row>
    <row r="37" spans="2:35" ht="12.75">
      <c r="B37" s="19"/>
      <c r="C37" s="19"/>
      <c r="D37" s="19"/>
      <c r="E37" s="19"/>
      <c r="F37" s="19"/>
      <c r="G37" s="19"/>
      <c r="P37" s="19"/>
      <c r="Q37" s="19"/>
      <c r="R37" s="19"/>
      <c r="S37" s="19"/>
      <c r="T37" s="19"/>
      <c r="U37" s="19"/>
      <c r="AD37" s="19"/>
      <c r="AE37" s="19"/>
      <c r="AF37" s="19"/>
      <c r="AG37" s="19"/>
      <c r="AH37" s="19"/>
      <c r="AI37" s="19"/>
    </row>
    <row r="38" spans="1:35" ht="12.75">
      <c r="A38" t="s">
        <v>534</v>
      </c>
      <c r="B38" s="15">
        <v>2280</v>
      </c>
      <c r="C38" s="15">
        <v>2280</v>
      </c>
      <c r="D38" s="15">
        <v>2280</v>
      </c>
      <c r="E38" s="15">
        <v>2280</v>
      </c>
      <c r="F38" s="15">
        <v>2280</v>
      </c>
      <c r="G38" s="15">
        <v>2400</v>
      </c>
      <c r="O38" t="s">
        <v>534</v>
      </c>
      <c r="P38" s="19">
        <f t="shared" si="12"/>
        <v>2280</v>
      </c>
      <c r="Q38" s="19">
        <f t="shared" si="3"/>
        <v>2280</v>
      </c>
      <c r="R38" s="19">
        <f t="shared" si="4"/>
        <v>2280</v>
      </c>
      <c r="S38" s="19">
        <f t="shared" si="5"/>
        <v>2280</v>
      </c>
      <c r="T38" s="19">
        <f>+F38</f>
        <v>2280</v>
      </c>
      <c r="U38" s="19">
        <f>+G38</f>
        <v>2400</v>
      </c>
      <c r="AC38" t="s">
        <v>534</v>
      </c>
      <c r="AD38" s="19">
        <f t="shared" si="13"/>
        <v>2280</v>
      </c>
      <c r="AE38" s="19">
        <f t="shared" si="7"/>
        <v>2280</v>
      </c>
      <c r="AF38" s="19">
        <f t="shared" si="8"/>
        <v>2280</v>
      </c>
      <c r="AG38" s="19">
        <f t="shared" si="9"/>
        <v>2280</v>
      </c>
      <c r="AH38" s="19">
        <f t="shared" si="10"/>
        <v>2280</v>
      </c>
      <c r="AI38" s="19">
        <f t="shared" si="11"/>
        <v>2400</v>
      </c>
    </row>
    <row r="39" spans="1:35" ht="12.75">
      <c r="A39" t="s">
        <v>535</v>
      </c>
      <c r="B39" s="15">
        <v>2400</v>
      </c>
      <c r="C39" s="15">
        <v>2310</v>
      </c>
      <c r="D39" s="15">
        <v>2310</v>
      </c>
      <c r="E39" s="15">
        <v>2310</v>
      </c>
      <c r="F39" s="15">
        <v>2310</v>
      </c>
      <c r="G39" s="15">
        <v>2280</v>
      </c>
      <c r="O39" t="s">
        <v>535</v>
      </c>
      <c r="P39" s="19">
        <f t="shared" si="12"/>
        <v>2400</v>
      </c>
      <c r="Q39" s="19">
        <f t="shared" si="3"/>
        <v>2310</v>
      </c>
      <c r="R39" s="19">
        <f t="shared" si="4"/>
        <v>2310</v>
      </c>
      <c r="S39" s="19">
        <f t="shared" si="5"/>
        <v>2310</v>
      </c>
      <c r="T39" s="19">
        <f>+F39</f>
        <v>2310</v>
      </c>
      <c r="U39" s="19">
        <f>+G39</f>
        <v>2280</v>
      </c>
      <c r="AC39" t="s">
        <v>535</v>
      </c>
      <c r="AD39" s="19">
        <f t="shared" si="13"/>
        <v>2400</v>
      </c>
      <c r="AE39" s="19">
        <f t="shared" si="7"/>
        <v>2310</v>
      </c>
      <c r="AF39" s="19">
        <f t="shared" si="8"/>
        <v>2310</v>
      </c>
      <c r="AG39" s="19">
        <f t="shared" si="9"/>
        <v>2310</v>
      </c>
      <c r="AH39" s="19">
        <f t="shared" si="10"/>
        <v>2310</v>
      </c>
      <c r="AI39" s="19">
        <f t="shared" si="11"/>
        <v>2280</v>
      </c>
    </row>
    <row r="40" spans="1:35" ht="12.75">
      <c r="A40" t="s">
        <v>469</v>
      </c>
      <c r="B40" s="15">
        <v>1E-08</v>
      </c>
      <c r="C40" s="15">
        <v>4</v>
      </c>
      <c r="D40" s="15">
        <v>4</v>
      </c>
      <c r="E40" s="15">
        <v>4</v>
      </c>
      <c r="F40" s="15">
        <v>4</v>
      </c>
      <c r="G40" s="15">
        <v>10</v>
      </c>
      <c r="O40" t="s">
        <v>469</v>
      </c>
      <c r="P40" s="120">
        <f t="shared" si="12"/>
        <v>1E-08</v>
      </c>
      <c r="Q40" s="19">
        <f t="shared" si="3"/>
        <v>4</v>
      </c>
      <c r="R40" s="19">
        <f t="shared" si="4"/>
        <v>4</v>
      </c>
      <c r="S40" s="19">
        <f t="shared" si="5"/>
        <v>4</v>
      </c>
      <c r="T40" s="19">
        <f>+F40</f>
        <v>4</v>
      </c>
      <c r="U40" s="19">
        <f t="shared" si="6"/>
        <v>10</v>
      </c>
      <c r="AC40" t="s">
        <v>469</v>
      </c>
      <c r="AD40" s="19">
        <f t="shared" si="13"/>
        <v>1E-08</v>
      </c>
      <c r="AE40" s="19">
        <f t="shared" si="7"/>
        <v>4</v>
      </c>
      <c r="AF40" s="19">
        <f t="shared" si="8"/>
        <v>4</v>
      </c>
      <c r="AG40" s="19">
        <f t="shared" si="9"/>
        <v>4</v>
      </c>
      <c r="AH40" s="19">
        <f t="shared" si="10"/>
        <v>4</v>
      </c>
      <c r="AI40" s="19">
        <f t="shared" si="11"/>
        <v>10</v>
      </c>
    </row>
    <row r="41" spans="1:35" ht="12.75">
      <c r="A41" t="s">
        <v>471</v>
      </c>
      <c r="B41" s="15">
        <v>10</v>
      </c>
      <c r="C41" s="15">
        <v>6</v>
      </c>
      <c r="D41" s="15">
        <v>6</v>
      </c>
      <c r="E41" s="15">
        <v>6</v>
      </c>
      <c r="F41" s="15">
        <v>6</v>
      </c>
      <c r="G41" s="15">
        <v>0.0001</v>
      </c>
      <c r="O41" t="s">
        <v>471</v>
      </c>
      <c r="P41" s="19">
        <f t="shared" si="12"/>
        <v>10</v>
      </c>
      <c r="Q41" s="19">
        <f t="shared" si="3"/>
        <v>6</v>
      </c>
      <c r="R41" s="19">
        <f t="shared" si="4"/>
        <v>6</v>
      </c>
      <c r="S41" s="19">
        <f t="shared" si="5"/>
        <v>6</v>
      </c>
      <c r="T41" s="19">
        <f>+F41</f>
        <v>6</v>
      </c>
      <c r="U41" s="19">
        <f t="shared" si="6"/>
        <v>0.0001</v>
      </c>
      <c r="AC41" t="s">
        <v>471</v>
      </c>
      <c r="AD41" s="19">
        <f t="shared" si="13"/>
        <v>10</v>
      </c>
      <c r="AE41" s="19">
        <f t="shared" si="7"/>
        <v>6</v>
      </c>
      <c r="AF41" s="19">
        <f t="shared" si="8"/>
        <v>6</v>
      </c>
      <c r="AG41" s="19">
        <f t="shared" si="9"/>
        <v>6</v>
      </c>
      <c r="AH41" s="19">
        <f t="shared" si="10"/>
        <v>6</v>
      </c>
      <c r="AI41" s="19">
        <f t="shared" si="11"/>
        <v>0.0001</v>
      </c>
    </row>
    <row r="42" spans="1:35" ht="12.75">
      <c r="A42" t="s">
        <v>400</v>
      </c>
      <c r="B42" s="118">
        <v>0.75</v>
      </c>
      <c r="C42" s="118">
        <v>0.75</v>
      </c>
      <c r="D42" s="118">
        <v>0.75</v>
      </c>
      <c r="E42" s="118">
        <v>0.75</v>
      </c>
      <c r="F42" s="118">
        <v>0.75</v>
      </c>
      <c r="G42" s="118">
        <v>0.85</v>
      </c>
      <c r="O42" t="s">
        <v>400</v>
      </c>
      <c r="P42" s="19">
        <f t="shared" si="12"/>
        <v>0.75</v>
      </c>
      <c r="Q42" s="19">
        <f t="shared" si="3"/>
        <v>0.75</v>
      </c>
      <c r="R42" s="19">
        <f t="shared" si="4"/>
        <v>0.75</v>
      </c>
      <c r="S42" s="19">
        <f t="shared" si="5"/>
        <v>0.75</v>
      </c>
      <c r="T42" s="19">
        <f>+F42</f>
        <v>0.75</v>
      </c>
      <c r="U42" s="19">
        <f t="shared" si="6"/>
        <v>0.85</v>
      </c>
      <c r="AC42" t="s">
        <v>400</v>
      </c>
      <c r="AD42" s="19">
        <f t="shared" si="13"/>
        <v>0.75</v>
      </c>
      <c r="AE42" s="19">
        <f t="shared" si="7"/>
        <v>0.75</v>
      </c>
      <c r="AF42" s="19">
        <f t="shared" si="8"/>
        <v>0.75</v>
      </c>
      <c r="AG42" s="19">
        <f t="shared" si="9"/>
        <v>0.75</v>
      </c>
      <c r="AH42" s="19">
        <f t="shared" si="10"/>
        <v>0.75</v>
      </c>
      <c r="AI42" s="19">
        <f t="shared" si="11"/>
        <v>0.85</v>
      </c>
    </row>
    <row r="43" spans="2:35" ht="12.75">
      <c r="B43" s="118"/>
      <c r="C43" s="118"/>
      <c r="D43" s="118"/>
      <c r="E43" s="118"/>
      <c r="F43" s="118"/>
      <c r="G43" s="118"/>
      <c r="P43" s="19"/>
      <c r="Q43" s="19"/>
      <c r="R43" s="19"/>
      <c r="S43" s="19"/>
      <c r="T43" s="19"/>
      <c r="U43" s="19"/>
      <c r="AD43" s="19"/>
      <c r="AE43" s="19"/>
      <c r="AF43" s="19"/>
      <c r="AG43" s="19"/>
      <c r="AH43" s="19"/>
      <c r="AI43" s="19"/>
    </row>
    <row r="44" spans="2:35" ht="12.75">
      <c r="B44" s="118"/>
      <c r="C44" s="118"/>
      <c r="D44" s="118"/>
      <c r="E44" s="118"/>
      <c r="F44" s="118"/>
      <c r="G44" s="118"/>
      <c r="P44" s="19"/>
      <c r="Q44" s="19"/>
      <c r="R44" s="19"/>
      <c r="S44" s="19"/>
      <c r="T44" s="19"/>
      <c r="U44" s="19"/>
      <c r="AD44" s="19"/>
      <c r="AE44" s="19"/>
      <c r="AF44" s="19"/>
      <c r="AG44" s="19"/>
      <c r="AH44" s="19"/>
      <c r="AI44" s="19"/>
    </row>
    <row r="45" spans="2:35" ht="12.75">
      <c r="B45" s="5" t="s">
        <v>21</v>
      </c>
      <c r="C45" s="5" t="s">
        <v>43</v>
      </c>
      <c r="D45" s="5" t="s">
        <v>44</v>
      </c>
      <c r="E45" s="5" t="s">
        <v>46</v>
      </c>
      <c r="F45" s="5" t="s">
        <v>47</v>
      </c>
      <c r="G45" s="5" t="s">
        <v>48</v>
      </c>
      <c r="P45" s="19"/>
      <c r="Q45" s="19"/>
      <c r="R45" s="19"/>
      <c r="S45" s="19"/>
      <c r="T45" s="19"/>
      <c r="U45" s="19"/>
      <c r="AD45" s="19"/>
      <c r="AE45" s="19"/>
      <c r="AF45" s="19"/>
      <c r="AG45" s="19"/>
      <c r="AH45" s="19"/>
      <c r="AI45" s="19"/>
    </row>
    <row r="46" spans="2:35" ht="12.75">
      <c r="B46" s="122" t="s">
        <v>553</v>
      </c>
      <c r="C46" s="122" t="s">
        <v>642</v>
      </c>
      <c r="D46" s="122" t="s">
        <v>643</v>
      </c>
      <c r="E46" s="122" t="s">
        <v>644</v>
      </c>
      <c r="F46" s="122" t="s">
        <v>645</v>
      </c>
      <c r="G46" s="127" t="s">
        <v>556</v>
      </c>
      <c r="P46" s="18"/>
      <c r="Q46" s="18"/>
      <c r="R46" s="18"/>
      <c r="S46" s="18"/>
      <c r="T46" s="18"/>
      <c r="U46" s="18"/>
      <c r="AD46" s="18"/>
      <c r="AE46" s="18"/>
      <c r="AF46" s="18"/>
      <c r="AG46" s="18"/>
      <c r="AH46" s="18"/>
      <c r="AI46" s="18"/>
    </row>
    <row r="47" spans="1:35" ht="12.75">
      <c r="A47" s="1" t="s">
        <v>608</v>
      </c>
      <c r="B47" s="18"/>
      <c r="C47" s="18"/>
      <c r="D47" s="18"/>
      <c r="E47" s="18"/>
      <c r="F47" s="18"/>
      <c r="G47" s="18"/>
      <c r="O47" s="1" t="s">
        <v>608</v>
      </c>
      <c r="P47" s="18"/>
      <c r="Q47" s="18"/>
      <c r="R47" s="18"/>
      <c r="S47" s="18"/>
      <c r="T47" s="18"/>
      <c r="U47" s="18"/>
      <c r="AC47" s="1" t="s">
        <v>608</v>
      </c>
      <c r="AD47" s="18"/>
      <c r="AE47" s="18"/>
      <c r="AF47" s="18"/>
      <c r="AG47" s="18"/>
      <c r="AH47" s="18"/>
      <c r="AI47" s="18"/>
    </row>
    <row r="48" spans="1:35" ht="12.75">
      <c r="A48" s="11" t="s">
        <v>441</v>
      </c>
      <c r="B48" s="38">
        <v>0.5</v>
      </c>
      <c r="C48" s="38">
        <v>0.5</v>
      </c>
      <c r="D48" s="38">
        <v>0.5</v>
      </c>
      <c r="E48" s="38">
        <v>0.5</v>
      </c>
      <c r="F48" s="38">
        <v>0.5</v>
      </c>
      <c r="G48" s="38">
        <v>0.5</v>
      </c>
      <c r="O48" s="11" t="s">
        <v>441</v>
      </c>
      <c r="P48" s="38">
        <f aca="true" t="shared" si="14" ref="P48:U49">+B48</f>
        <v>0.5</v>
      </c>
      <c r="Q48" s="38">
        <f t="shared" si="14"/>
        <v>0.5</v>
      </c>
      <c r="R48" s="38">
        <f t="shared" si="14"/>
        <v>0.5</v>
      </c>
      <c r="S48" s="38">
        <f t="shared" si="14"/>
        <v>0.5</v>
      </c>
      <c r="T48" s="38">
        <f t="shared" si="14"/>
        <v>0.5</v>
      </c>
      <c r="U48" s="38">
        <f t="shared" si="14"/>
        <v>0.5</v>
      </c>
      <c r="AC48" s="11" t="s">
        <v>441</v>
      </c>
      <c r="AD48" s="38">
        <f aca="true" t="shared" si="15" ref="AD48:AI49">+P48</f>
        <v>0.5</v>
      </c>
      <c r="AE48" s="38">
        <f t="shared" si="15"/>
        <v>0.5</v>
      </c>
      <c r="AF48" s="38">
        <f t="shared" si="15"/>
        <v>0.5</v>
      </c>
      <c r="AG48" s="38">
        <f t="shared" si="15"/>
        <v>0.5</v>
      </c>
      <c r="AH48" s="38">
        <f t="shared" si="15"/>
        <v>0.5</v>
      </c>
      <c r="AI48" s="38">
        <f t="shared" si="15"/>
        <v>0.5</v>
      </c>
    </row>
    <row r="49" spans="1:41" ht="12.75">
      <c r="A49" s="11" t="s">
        <v>512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0.2</v>
      </c>
      <c r="H49" s="79"/>
      <c r="I49" s="112"/>
      <c r="J49" s="112"/>
      <c r="K49" s="112"/>
      <c r="L49" s="79"/>
      <c r="M49" s="112"/>
      <c r="O49" s="11" t="s">
        <v>512</v>
      </c>
      <c r="P49" s="38">
        <f t="shared" si="14"/>
        <v>0</v>
      </c>
      <c r="Q49" s="38">
        <f t="shared" si="14"/>
        <v>0</v>
      </c>
      <c r="R49" s="38">
        <f t="shared" si="14"/>
        <v>0</v>
      </c>
      <c r="S49" s="38">
        <f t="shared" si="14"/>
        <v>0</v>
      </c>
      <c r="T49" s="38">
        <f t="shared" si="14"/>
        <v>0</v>
      </c>
      <c r="U49" s="38">
        <f t="shared" si="14"/>
        <v>0.2</v>
      </c>
      <c r="V49" s="79"/>
      <c r="W49" s="112"/>
      <c r="X49" s="112"/>
      <c r="Y49" s="112"/>
      <c r="Z49" s="79"/>
      <c r="AA49" s="112"/>
      <c r="AC49" s="11" t="s">
        <v>512</v>
      </c>
      <c r="AD49" s="38">
        <f t="shared" si="15"/>
        <v>0</v>
      </c>
      <c r="AE49" s="38">
        <f t="shared" si="15"/>
        <v>0</v>
      </c>
      <c r="AF49" s="38">
        <f t="shared" si="15"/>
        <v>0</v>
      </c>
      <c r="AG49" s="38">
        <f t="shared" si="15"/>
        <v>0</v>
      </c>
      <c r="AH49" s="38">
        <f t="shared" si="15"/>
        <v>0</v>
      </c>
      <c r="AI49" s="38">
        <f t="shared" si="15"/>
        <v>0.2</v>
      </c>
      <c r="AJ49" s="79"/>
      <c r="AK49" s="112"/>
      <c r="AL49" s="112"/>
      <c r="AM49" s="112"/>
      <c r="AN49" s="79"/>
      <c r="AO49" s="49"/>
    </row>
    <row r="50" spans="1:41" ht="12.75">
      <c r="A50" s="11"/>
      <c r="B50" s="38"/>
      <c r="C50" s="38"/>
      <c r="D50" s="38"/>
      <c r="E50" s="38"/>
      <c r="F50" s="38"/>
      <c r="G50" s="38"/>
      <c r="H50" s="79"/>
      <c r="I50" s="112"/>
      <c r="J50" s="112"/>
      <c r="K50" s="112"/>
      <c r="L50" s="79"/>
      <c r="M50" s="112"/>
      <c r="O50" s="11"/>
      <c r="P50" s="38"/>
      <c r="Q50" s="38"/>
      <c r="R50" s="38"/>
      <c r="S50" s="38"/>
      <c r="T50" s="38"/>
      <c r="U50" s="38"/>
      <c r="V50" s="79"/>
      <c r="W50" s="112"/>
      <c r="X50" s="112"/>
      <c r="Y50" s="112"/>
      <c r="Z50" s="79"/>
      <c r="AA50" s="112"/>
      <c r="AC50" s="11"/>
      <c r="AD50" s="38"/>
      <c r="AE50" s="38"/>
      <c r="AF50" s="38"/>
      <c r="AG50" s="38"/>
      <c r="AH50" s="38"/>
      <c r="AI50" s="38"/>
      <c r="AJ50" s="79"/>
      <c r="AK50" s="112"/>
      <c r="AL50" s="112"/>
      <c r="AM50" s="112"/>
      <c r="AN50" s="79"/>
      <c r="AO50" s="49"/>
    </row>
    <row r="51" spans="1:41" ht="12.75">
      <c r="A51" s="20" t="s">
        <v>614</v>
      </c>
      <c r="B51" s="38"/>
      <c r="C51" s="38"/>
      <c r="D51" s="38"/>
      <c r="E51" s="38"/>
      <c r="F51" s="38"/>
      <c r="G51" s="38"/>
      <c r="H51" s="79"/>
      <c r="I51" s="112"/>
      <c r="J51" s="112"/>
      <c r="K51" s="112"/>
      <c r="L51" s="79"/>
      <c r="M51" s="112"/>
      <c r="O51" s="20" t="s">
        <v>614</v>
      </c>
      <c r="P51" s="38"/>
      <c r="Q51" s="38"/>
      <c r="R51" s="38"/>
      <c r="S51" s="38"/>
      <c r="T51" s="38"/>
      <c r="U51" s="38"/>
      <c r="V51" s="79"/>
      <c r="W51" s="112"/>
      <c r="X51" s="112"/>
      <c r="Y51" s="112"/>
      <c r="Z51" s="79"/>
      <c r="AA51" s="112"/>
      <c r="AC51" s="20" t="s">
        <v>614</v>
      </c>
      <c r="AD51" s="38"/>
      <c r="AE51" s="38"/>
      <c r="AF51" s="38"/>
      <c r="AG51" s="38"/>
      <c r="AH51" s="38"/>
      <c r="AI51" s="38"/>
      <c r="AJ51" s="79"/>
      <c r="AK51" s="112"/>
      <c r="AL51" s="112"/>
      <c r="AM51" s="112"/>
      <c r="AN51" s="79"/>
      <c r="AO51" s="49"/>
    </row>
    <row r="52" spans="1:41" ht="12.75">
      <c r="A52" s="11" t="s">
        <v>610</v>
      </c>
      <c r="B52" s="38">
        <v>10</v>
      </c>
      <c r="C52" s="38">
        <v>10</v>
      </c>
      <c r="D52" s="38">
        <v>10</v>
      </c>
      <c r="E52" s="38">
        <v>10</v>
      </c>
      <c r="F52" s="38">
        <v>10</v>
      </c>
      <c r="G52" s="38">
        <v>10</v>
      </c>
      <c r="H52" s="79"/>
      <c r="I52" s="112"/>
      <c r="J52" s="112"/>
      <c r="K52" s="112"/>
      <c r="L52" s="79"/>
      <c r="M52" s="112"/>
      <c r="O52" s="11" t="s">
        <v>610</v>
      </c>
      <c r="P52" s="38">
        <f aca="true" t="shared" si="16" ref="P52:T57">+B52</f>
        <v>10</v>
      </c>
      <c r="Q52" s="38">
        <f t="shared" si="16"/>
        <v>10</v>
      </c>
      <c r="R52" s="38">
        <f t="shared" si="16"/>
        <v>10</v>
      </c>
      <c r="S52" s="38">
        <f t="shared" si="16"/>
        <v>10</v>
      </c>
      <c r="T52" s="38">
        <f t="shared" si="16"/>
        <v>10</v>
      </c>
      <c r="U52" s="38">
        <f aca="true" t="shared" si="17" ref="U52:U60">+G52</f>
        <v>10</v>
      </c>
      <c r="V52" s="79"/>
      <c r="W52" s="112"/>
      <c r="X52" s="112"/>
      <c r="Y52" s="112"/>
      <c r="Z52" s="79"/>
      <c r="AA52" s="112"/>
      <c r="AC52" s="11" t="s">
        <v>610</v>
      </c>
      <c r="AD52" s="38">
        <f aca="true" t="shared" si="18" ref="AD52:AH57">+P52</f>
        <v>10</v>
      </c>
      <c r="AE52" s="38">
        <f t="shared" si="18"/>
        <v>10</v>
      </c>
      <c r="AF52" s="38">
        <f t="shared" si="18"/>
        <v>10</v>
      </c>
      <c r="AG52" s="38">
        <f t="shared" si="18"/>
        <v>10</v>
      </c>
      <c r="AH52" s="38">
        <f t="shared" si="18"/>
        <v>10</v>
      </c>
      <c r="AI52" s="38">
        <f aca="true" t="shared" si="19" ref="AI52:AI61">+U52</f>
        <v>10</v>
      </c>
      <c r="AJ52" s="79"/>
      <c r="AK52" s="112"/>
      <c r="AL52" s="112"/>
      <c r="AM52" s="112"/>
      <c r="AN52" s="79"/>
      <c r="AO52" s="49"/>
    </row>
    <row r="53" spans="1:41" ht="12.75">
      <c r="A53" s="11" t="s">
        <v>620</v>
      </c>
      <c r="B53" s="38">
        <v>0</v>
      </c>
      <c r="C53" s="38">
        <v>2</v>
      </c>
      <c r="D53" s="38">
        <v>2</v>
      </c>
      <c r="E53" s="38">
        <v>2</v>
      </c>
      <c r="F53" s="38">
        <v>2</v>
      </c>
      <c r="G53" s="38">
        <v>0</v>
      </c>
      <c r="H53" s="79"/>
      <c r="I53" s="112"/>
      <c r="J53" s="112"/>
      <c r="K53" s="112"/>
      <c r="L53" s="79"/>
      <c r="M53" s="112"/>
      <c r="O53" s="11" t="s">
        <v>620</v>
      </c>
      <c r="P53" s="38">
        <f t="shared" si="16"/>
        <v>0</v>
      </c>
      <c r="Q53" s="38">
        <f t="shared" si="16"/>
        <v>2</v>
      </c>
      <c r="R53" s="38">
        <f t="shared" si="16"/>
        <v>2</v>
      </c>
      <c r="S53" s="38">
        <f t="shared" si="16"/>
        <v>2</v>
      </c>
      <c r="T53" s="38">
        <f t="shared" si="16"/>
        <v>2</v>
      </c>
      <c r="U53" s="38">
        <f t="shared" si="17"/>
        <v>0</v>
      </c>
      <c r="V53" s="79"/>
      <c r="W53" s="112"/>
      <c r="X53" s="112"/>
      <c r="Y53" s="112"/>
      <c r="Z53" s="79"/>
      <c r="AA53" s="112"/>
      <c r="AC53" s="11" t="s">
        <v>620</v>
      </c>
      <c r="AD53" s="38">
        <f t="shared" si="18"/>
        <v>0</v>
      </c>
      <c r="AE53" s="38">
        <f t="shared" si="18"/>
        <v>2</v>
      </c>
      <c r="AF53" s="38">
        <f t="shared" si="18"/>
        <v>2</v>
      </c>
      <c r="AG53" s="38">
        <f t="shared" si="18"/>
        <v>2</v>
      </c>
      <c r="AH53" s="38">
        <f t="shared" si="18"/>
        <v>2</v>
      </c>
      <c r="AI53" s="38">
        <f t="shared" si="19"/>
        <v>0</v>
      </c>
      <c r="AJ53" s="79"/>
      <c r="AK53" s="112"/>
      <c r="AL53" s="112"/>
      <c r="AM53" s="112"/>
      <c r="AN53" s="79"/>
      <c r="AO53" s="49"/>
    </row>
    <row r="54" spans="1:41" ht="12.75">
      <c r="A54" s="11" t="s">
        <v>616</v>
      </c>
      <c r="B54" s="38">
        <v>20</v>
      </c>
      <c r="C54" s="38">
        <v>20</v>
      </c>
      <c r="D54" s="38">
        <v>20</v>
      </c>
      <c r="E54" s="38">
        <v>20</v>
      </c>
      <c r="F54" s="38">
        <v>20</v>
      </c>
      <c r="G54" s="38">
        <v>20</v>
      </c>
      <c r="H54" s="79"/>
      <c r="I54" s="112"/>
      <c r="J54" s="112"/>
      <c r="K54" s="112"/>
      <c r="L54" s="79"/>
      <c r="M54" s="112"/>
      <c r="O54" s="11" t="s">
        <v>616</v>
      </c>
      <c r="P54" s="38">
        <f t="shared" si="16"/>
        <v>20</v>
      </c>
      <c r="Q54" s="38">
        <f t="shared" si="16"/>
        <v>20</v>
      </c>
      <c r="R54" s="38">
        <f t="shared" si="16"/>
        <v>20</v>
      </c>
      <c r="S54" s="38">
        <f t="shared" si="16"/>
        <v>20</v>
      </c>
      <c r="T54" s="38">
        <f t="shared" si="16"/>
        <v>20</v>
      </c>
      <c r="U54" s="38">
        <f t="shared" si="17"/>
        <v>20</v>
      </c>
      <c r="V54" s="79"/>
      <c r="W54" s="112"/>
      <c r="X54" s="112"/>
      <c r="Y54" s="112"/>
      <c r="Z54" s="79"/>
      <c r="AA54" s="112"/>
      <c r="AC54" s="11" t="s">
        <v>616</v>
      </c>
      <c r="AD54" s="38">
        <f t="shared" si="18"/>
        <v>20</v>
      </c>
      <c r="AE54" s="38">
        <f t="shared" si="18"/>
        <v>20</v>
      </c>
      <c r="AF54" s="38">
        <f t="shared" si="18"/>
        <v>20</v>
      </c>
      <c r="AG54" s="38">
        <f t="shared" si="18"/>
        <v>20</v>
      </c>
      <c r="AH54" s="38">
        <f t="shared" si="18"/>
        <v>20</v>
      </c>
      <c r="AI54" s="38">
        <f t="shared" si="19"/>
        <v>20</v>
      </c>
      <c r="AJ54" s="79"/>
      <c r="AK54" s="112"/>
      <c r="AL54" s="112"/>
      <c r="AM54" s="112"/>
      <c r="AN54" s="79"/>
      <c r="AO54" s="49"/>
    </row>
    <row r="55" spans="1:41" ht="12.75">
      <c r="A55" s="11" t="s">
        <v>617</v>
      </c>
      <c r="B55" s="38">
        <v>0</v>
      </c>
      <c r="C55" s="38">
        <v>10</v>
      </c>
      <c r="D55" s="38">
        <v>10</v>
      </c>
      <c r="E55" s="38">
        <v>10</v>
      </c>
      <c r="F55" s="38">
        <v>10</v>
      </c>
      <c r="G55" s="38">
        <v>0</v>
      </c>
      <c r="H55" s="79"/>
      <c r="I55" s="112"/>
      <c r="J55" s="112"/>
      <c r="K55" s="112"/>
      <c r="L55" s="79"/>
      <c r="M55" s="112"/>
      <c r="O55" s="11" t="s">
        <v>611</v>
      </c>
      <c r="P55" s="38">
        <f t="shared" si="16"/>
        <v>0</v>
      </c>
      <c r="Q55" s="38">
        <f t="shared" si="16"/>
        <v>10</v>
      </c>
      <c r="R55" s="38">
        <f t="shared" si="16"/>
        <v>10</v>
      </c>
      <c r="S55" s="38">
        <f t="shared" si="16"/>
        <v>10</v>
      </c>
      <c r="T55" s="38">
        <f t="shared" si="16"/>
        <v>10</v>
      </c>
      <c r="U55" s="38">
        <f t="shared" si="17"/>
        <v>0</v>
      </c>
      <c r="V55" s="79"/>
      <c r="W55" s="112"/>
      <c r="X55" s="112"/>
      <c r="Y55" s="112"/>
      <c r="Z55" s="79"/>
      <c r="AA55" s="112"/>
      <c r="AC55" s="11" t="s">
        <v>611</v>
      </c>
      <c r="AD55" s="38">
        <f t="shared" si="18"/>
        <v>0</v>
      </c>
      <c r="AE55" s="38">
        <f t="shared" si="18"/>
        <v>10</v>
      </c>
      <c r="AF55" s="38">
        <f t="shared" si="18"/>
        <v>10</v>
      </c>
      <c r="AG55" s="38">
        <f t="shared" si="18"/>
        <v>10</v>
      </c>
      <c r="AH55" s="38">
        <f t="shared" si="18"/>
        <v>10</v>
      </c>
      <c r="AI55" s="38">
        <f t="shared" si="19"/>
        <v>0</v>
      </c>
      <c r="AJ55" s="79"/>
      <c r="AK55" s="112"/>
      <c r="AL55" s="112"/>
      <c r="AM55" s="112"/>
      <c r="AN55" s="79"/>
      <c r="AO55" s="49"/>
    </row>
    <row r="56" spans="1:41" ht="12.75">
      <c r="A56" s="11" t="s">
        <v>618</v>
      </c>
      <c r="B56" s="38">
        <v>0</v>
      </c>
      <c r="C56" s="38">
        <v>1</v>
      </c>
      <c r="D56" s="38">
        <v>1</v>
      </c>
      <c r="E56" s="38">
        <v>1</v>
      </c>
      <c r="F56" s="38">
        <v>1</v>
      </c>
      <c r="G56" s="38">
        <v>2</v>
      </c>
      <c r="H56" s="79"/>
      <c r="I56" s="112"/>
      <c r="J56" s="112"/>
      <c r="K56" s="112"/>
      <c r="L56" s="79"/>
      <c r="M56" s="112"/>
      <c r="O56" s="11" t="s">
        <v>618</v>
      </c>
      <c r="P56" s="38">
        <f t="shared" si="16"/>
        <v>0</v>
      </c>
      <c r="Q56" s="38">
        <f t="shared" si="16"/>
        <v>1</v>
      </c>
      <c r="R56" s="38">
        <f t="shared" si="16"/>
        <v>1</v>
      </c>
      <c r="S56" s="38">
        <f t="shared" si="16"/>
        <v>1</v>
      </c>
      <c r="T56" s="38">
        <f t="shared" si="16"/>
        <v>1</v>
      </c>
      <c r="U56" s="38">
        <f>+G56</f>
        <v>2</v>
      </c>
      <c r="V56" s="79"/>
      <c r="W56" s="112"/>
      <c r="X56" s="112"/>
      <c r="Y56" s="112"/>
      <c r="Z56" s="79"/>
      <c r="AA56" s="112"/>
      <c r="AC56" s="11" t="s">
        <v>618</v>
      </c>
      <c r="AD56" s="38">
        <f t="shared" si="18"/>
        <v>0</v>
      </c>
      <c r="AE56" s="38">
        <f t="shared" si="18"/>
        <v>1</v>
      </c>
      <c r="AF56" s="38">
        <f t="shared" si="18"/>
        <v>1</v>
      </c>
      <c r="AG56" s="38">
        <f t="shared" si="18"/>
        <v>1</v>
      </c>
      <c r="AH56" s="38">
        <f t="shared" si="18"/>
        <v>1</v>
      </c>
      <c r="AI56" s="38">
        <f t="shared" si="19"/>
        <v>2</v>
      </c>
      <c r="AJ56" s="79"/>
      <c r="AK56" s="112"/>
      <c r="AL56" s="112"/>
      <c r="AM56" s="112"/>
      <c r="AN56" s="79"/>
      <c r="AO56" s="49"/>
    </row>
    <row r="57" spans="1:41" ht="12.75">
      <c r="A57" s="11" t="s">
        <v>619</v>
      </c>
      <c r="B57" s="38">
        <f aca="true" t="shared" si="20" ref="B57:G57">+B52*2+B53*2+B54+B55+B56</f>
        <v>40</v>
      </c>
      <c r="C57" s="38">
        <f t="shared" si="20"/>
        <v>55</v>
      </c>
      <c r="D57" s="38">
        <f t="shared" si="20"/>
        <v>55</v>
      </c>
      <c r="E57" s="38">
        <f t="shared" si="20"/>
        <v>55</v>
      </c>
      <c r="F57" s="38">
        <f t="shared" si="20"/>
        <v>55</v>
      </c>
      <c r="G57" s="38">
        <f t="shared" si="20"/>
        <v>42</v>
      </c>
      <c r="H57" s="79"/>
      <c r="I57" s="112"/>
      <c r="J57" s="112"/>
      <c r="K57" s="112"/>
      <c r="L57" s="79"/>
      <c r="M57" s="112"/>
      <c r="O57" s="11" t="s">
        <v>619</v>
      </c>
      <c r="P57" s="38">
        <f t="shared" si="16"/>
        <v>40</v>
      </c>
      <c r="Q57" s="38">
        <f t="shared" si="16"/>
        <v>55</v>
      </c>
      <c r="R57" s="38">
        <f t="shared" si="16"/>
        <v>55</v>
      </c>
      <c r="S57" s="38">
        <f t="shared" si="16"/>
        <v>55</v>
      </c>
      <c r="T57" s="38">
        <f t="shared" si="16"/>
        <v>55</v>
      </c>
      <c r="U57" s="38">
        <f>+G57</f>
        <v>42</v>
      </c>
      <c r="V57" s="79"/>
      <c r="W57" s="112"/>
      <c r="X57" s="112"/>
      <c r="Y57" s="112"/>
      <c r="Z57" s="79"/>
      <c r="AA57" s="112"/>
      <c r="AC57" s="11" t="s">
        <v>619</v>
      </c>
      <c r="AD57" s="38">
        <f t="shared" si="18"/>
        <v>40</v>
      </c>
      <c r="AE57" s="38">
        <f t="shared" si="18"/>
        <v>55</v>
      </c>
      <c r="AF57" s="38">
        <f t="shared" si="18"/>
        <v>55</v>
      </c>
      <c r="AG57" s="38">
        <f t="shared" si="18"/>
        <v>55</v>
      </c>
      <c r="AH57" s="38">
        <f t="shared" si="18"/>
        <v>55</v>
      </c>
      <c r="AI57" s="38">
        <f t="shared" si="19"/>
        <v>42</v>
      </c>
      <c r="AJ57" s="79"/>
      <c r="AK57" s="112"/>
      <c r="AL57" s="112"/>
      <c r="AM57" s="112"/>
      <c r="AN57" s="79"/>
      <c r="AO57" s="49"/>
    </row>
    <row r="58" spans="1:41" ht="12.75">
      <c r="A58" s="11"/>
      <c r="B58" s="38"/>
      <c r="C58" s="38"/>
      <c r="D58" s="38"/>
      <c r="E58" s="38"/>
      <c r="F58" s="38"/>
      <c r="G58" s="38"/>
      <c r="H58" s="79"/>
      <c r="I58" s="112"/>
      <c r="J58" s="112"/>
      <c r="K58" s="112"/>
      <c r="L58" s="79"/>
      <c r="M58" s="112"/>
      <c r="O58" s="11"/>
      <c r="P58" s="38"/>
      <c r="Q58" s="38"/>
      <c r="R58" s="38"/>
      <c r="S58" s="38"/>
      <c r="T58" s="38"/>
      <c r="U58" s="38"/>
      <c r="V58" s="79"/>
      <c r="W58" s="112"/>
      <c r="X58" s="112"/>
      <c r="Y58" s="112"/>
      <c r="Z58" s="79"/>
      <c r="AA58" s="112"/>
      <c r="AC58" s="11"/>
      <c r="AD58" s="38"/>
      <c r="AE58" s="38"/>
      <c r="AF58" s="38"/>
      <c r="AG58" s="38"/>
      <c r="AH58" s="38"/>
      <c r="AI58" s="38"/>
      <c r="AJ58" s="79"/>
      <c r="AK58" s="112"/>
      <c r="AL58" s="112"/>
      <c r="AM58" s="112"/>
      <c r="AN58" s="79"/>
      <c r="AO58" s="49"/>
    </row>
    <row r="59" spans="1:41" ht="12.75">
      <c r="A59" s="11" t="s">
        <v>612</v>
      </c>
      <c r="B59" s="38">
        <v>0.05</v>
      </c>
      <c r="C59" s="38">
        <v>0.05</v>
      </c>
      <c r="D59" s="38">
        <v>0.05</v>
      </c>
      <c r="E59" s="38">
        <v>0.05</v>
      </c>
      <c r="F59" s="38">
        <v>0.05</v>
      </c>
      <c r="G59" s="38">
        <v>0.05</v>
      </c>
      <c r="H59" s="79"/>
      <c r="I59" s="112"/>
      <c r="J59" s="112"/>
      <c r="K59" s="112"/>
      <c r="L59" s="79"/>
      <c r="M59" s="112"/>
      <c r="O59" s="11" t="s">
        <v>612</v>
      </c>
      <c r="P59" s="38">
        <f aca="true" t="shared" si="21" ref="P59:T60">+B59</f>
        <v>0.05</v>
      </c>
      <c r="Q59" s="38">
        <f t="shared" si="21"/>
        <v>0.05</v>
      </c>
      <c r="R59" s="38">
        <f t="shared" si="21"/>
        <v>0.05</v>
      </c>
      <c r="S59" s="38">
        <f t="shared" si="21"/>
        <v>0.05</v>
      </c>
      <c r="T59" s="38">
        <f t="shared" si="21"/>
        <v>0.05</v>
      </c>
      <c r="U59" s="38">
        <f t="shared" si="17"/>
        <v>0.05</v>
      </c>
      <c r="V59" s="79"/>
      <c r="W59" s="112"/>
      <c r="X59" s="112"/>
      <c r="Y59" s="112"/>
      <c r="Z59" s="79"/>
      <c r="AA59" s="112"/>
      <c r="AC59" s="11" t="s">
        <v>612</v>
      </c>
      <c r="AD59" s="38">
        <f aca="true" t="shared" si="22" ref="AD59:AH61">+P59</f>
        <v>0.05</v>
      </c>
      <c r="AE59" s="38">
        <f t="shared" si="22"/>
        <v>0.05</v>
      </c>
      <c r="AF59" s="38">
        <f t="shared" si="22"/>
        <v>0.05</v>
      </c>
      <c r="AG59" s="38">
        <f t="shared" si="22"/>
        <v>0.05</v>
      </c>
      <c r="AH59" s="38">
        <f t="shared" si="22"/>
        <v>0.05</v>
      </c>
      <c r="AI59" s="38">
        <f t="shared" si="19"/>
        <v>0.05</v>
      </c>
      <c r="AJ59" s="79"/>
      <c r="AK59" s="112"/>
      <c r="AL59" s="112"/>
      <c r="AM59" s="112"/>
      <c r="AN59" s="79"/>
      <c r="AO59" s="49"/>
    </row>
    <row r="60" spans="1:41" ht="12.75">
      <c r="A60" s="11" t="s">
        <v>615</v>
      </c>
      <c r="B60" s="38">
        <v>0</v>
      </c>
      <c r="C60" s="38">
        <v>0</v>
      </c>
      <c r="D60" s="38">
        <v>0</v>
      </c>
      <c r="E60" s="38">
        <v>0.1</v>
      </c>
      <c r="F60" s="38">
        <v>0.1</v>
      </c>
      <c r="G60" s="38">
        <v>0.1</v>
      </c>
      <c r="H60" s="79"/>
      <c r="I60" s="112"/>
      <c r="J60" s="112"/>
      <c r="K60" s="112"/>
      <c r="L60" s="79"/>
      <c r="M60" s="112"/>
      <c r="O60" s="11" t="s">
        <v>615</v>
      </c>
      <c r="P60" s="38">
        <f t="shared" si="21"/>
        <v>0</v>
      </c>
      <c r="Q60" s="38">
        <f t="shared" si="21"/>
        <v>0</v>
      </c>
      <c r="R60" s="38">
        <f t="shared" si="21"/>
        <v>0</v>
      </c>
      <c r="S60" s="38">
        <f t="shared" si="21"/>
        <v>0.1</v>
      </c>
      <c r="T60" s="38">
        <f t="shared" si="21"/>
        <v>0.1</v>
      </c>
      <c r="U60" s="38">
        <f t="shared" si="17"/>
        <v>0.1</v>
      </c>
      <c r="V60" s="79"/>
      <c r="W60" s="112"/>
      <c r="X60" s="112"/>
      <c r="Y60" s="112"/>
      <c r="Z60" s="79"/>
      <c r="AA60" s="112"/>
      <c r="AC60" s="11" t="s">
        <v>615</v>
      </c>
      <c r="AD60" s="38">
        <f t="shared" si="22"/>
        <v>0</v>
      </c>
      <c r="AE60" s="38">
        <f t="shared" si="22"/>
        <v>0</v>
      </c>
      <c r="AF60" s="38">
        <f t="shared" si="22"/>
        <v>0</v>
      </c>
      <c r="AG60" s="38">
        <f t="shared" si="22"/>
        <v>0.1</v>
      </c>
      <c r="AH60" s="38">
        <f t="shared" si="22"/>
        <v>0.1</v>
      </c>
      <c r="AI60" s="38">
        <f t="shared" si="19"/>
        <v>0.1</v>
      </c>
      <c r="AJ60" s="79"/>
      <c r="AK60" s="112"/>
      <c r="AL60" s="112"/>
      <c r="AM60" s="112"/>
      <c r="AN60" s="79"/>
      <c r="AO60" s="49"/>
    </row>
    <row r="61" spans="1:41" ht="12.75">
      <c r="A61" s="11" t="s">
        <v>504</v>
      </c>
      <c r="B61" s="47">
        <v>12.409</v>
      </c>
      <c r="C61" s="47">
        <v>12.409</v>
      </c>
      <c r="D61" s="47">
        <v>12.409</v>
      </c>
      <c r="E61" s="47">
        <v>12.409</v>
      </c>
      <c r="F61" s="47">
        <v>12.409</v>
      </c>
      <c r="G61" s="47">
        <v>12.409</v>
      </c>
      <c r="H61" s="47"/>
      <c r="I61" s="47"/>
      <c r="J61" s="47"/>
      <c r="K61" s="47"/>
      <c r="L61" s="47"/>
      <c r="M61" s="47"/>
      <c r="O61" s="11" t="s">
        <v>504</v>
      </c>
      <c r="P61" s="47">
        <v>12.409</v>
      </c>
      <c r="Q61" s="47">
        <v>12.409</v>
      </c>
      <c r="R61" s="47">
        <v>12.409</v>
      </c>
      <c r="S61" s="47">
        <v>12.409</v>
      </c>
      <c r="T61" s="47">
        <v>12.409</v>
      </c>
      <c r="U61" s="47">
        <v>12.409</v>
      </c>
      <c r="V61" s="47"/>
      <c r="W61" s="47"/>
      <c r="Y61" s="47"/>
      <c r="Z61" s="47"/>
      <c r="AA61" s="47"/>
      <c r="AC61" s="11" t="s">
        <v>504</v>
      </c>
      <c r="AD61" s="47">
        <f t="shared" si="22"/>
        <v>12.409</v>
      </c>
      <c r="AE61" s="47">
        <f t="shared" si="22"/>
        <v>12.409</v>
      </c>
      <c r="AF61" s="47">
        <f t="shared" si="22"/>
        <v>12.409</v>
      </c>
      <c r="AG61" s="47">
        <f t="shared" si="22"/>
        <v>12.409</v>
      </c>
      <c r="AH61" s="47">
        <f t="shared" si="22"/>
        <v>12.409</v>
      </c>
      <c r="AI61" s="47">
        <f t="shared" si="19"/>
        <v>12.409</v>
      </c>
      <c r="AJ61" s="47"/>
      <c r="AK61" s="47"/>
      <c r="AM61" s="47"/>
      <c r="AN61" s="47"/>
      <c r="AO61" s="47"/>
    </row>
    <row r="62" spans="1:41" ht="12.75">
      <c r="A62" s="11" t="s">
        <v>621</v>
      </c>
      <c r="B62" s="38">
        <f aca="true" t="shared" si="23" ref="B62:G62">+B57/B61+B59*2+B60</f>
        <v>3.3234668385848978</v>
      </c>
      <c r="C62" s="38">
        <f t="shared" si="23"/>
        <v>4.532266903054234</v>
      </c>
      <c r="D62" s="38">
        <f t="shared" si="23"/>
        <v>4.532266903054234</v>
      </c>
      <c r="E62" s="38">
        <f t="shared" si="23"/>
        <v>4.632266903054234</v>
      </c>
      <c r="F62" s="38">
        <f t="shared" si="23"/>
        <v>4.632266903054234</v>
      </c>
      <c r="G62" s="38">
        <f t="shared" si="23"/>
        <v>3.584640180514143</v>
      </c>
      <c r="H62" s="47"/>
      <c r="I62" s="47"/>
      <c r="J62" s="47"/>
      <c r="K62" s="47"/>
      <c r="L62" s="47"/>
      <c r="M62" s="47"/>
      <c r="O62" s="11" t="s">
        <v>621</v>
      </c>
      <c r="P62" s="38">
        <f aca="true" t="shared" si="24" ref="P62:U62">+P57/P61+P59+P60</f>
        <v>3.2734668385848975</v>
      </c>
      <c r="Q62" s="38">
        <f t="shared" si="24"/>
        <v>4.482266903054234</v>
      </c>
      <c r="R62" s="38">
        <f t="shared" si="24"/>
        <v>4.482266903054234</v>
      </c>
      <c r="S62" s="38">
        <f t="shared" si="24"/>
        <v>4.582266903054234</v>
      </c>
      <c r="T62" s="38">
        <f t="shared" si="24"/>
        <v>4.582266903054234</v>
      </c>
      <c r="U62" s="38">
        <f t="shared" si="24"/>
        <v>3.5346401805141427</v>
      </c>
      <c r="V62" s="47"/>
      <c r="W62" s="47"/>
      <c r="Y62" s="47"/>
      <c r="Z62" s="47"/>
      <c r="AA62" s="47"/>
      <c r="AC62" s="11" t="s">
        <v>621</v>
      </c>
      <c r="AD62" s="38">
        <f aca="true" t="shared" si="25" ref="AD62:AI62">+AD57/AD61+AD59+AD60</f>
        <v>3.2734668385848975</v>
      </c>
      <c r="AE62" s="38">
        <f t="shared" si="25"/>
        <v>4.482266903054234</v>
      </c>
      <c r="AF62" s="38">
        <f t="shared" si="25"/>
        <v>4.482266903054234</v>
      </c>
      <c r="AG62" s="38">
        <f t="shared" si="25"/>
        <v>4.582266903054234</v>
      </c>
      <c r="AH62" s="38">
        <f t="shared" si="25"/>
        <v>4.582266903054234</v>
      </c>
      <c r="AI62" s="38">
        <f t="shared" si="25"/>
        <v>3.5346401805141427</v>
      </c>
      <c r="AJ62" s="47"/>
      <c r="AK62" s="47"/>
      <c r="AM62" s="47"/>
      <c r="AN62" s="47"/>
      <c r="AO62" s="47"/>
    </row>
    <row r="63" spans="1:41" ht="12.75">
      <c r="A63" s="11" t="s">
        <v>622</v>
      </c>
      <c r="B63" s="38">
        <f aca="true" t="shared" si="26" ref="B63:G63">+B62*B61*B5</f>
        <v>371.1681</v>
      </c>
      <c r="C63" s="38">
        <f t="shared" si="26"/>
        <v>506.1680999999999</v>
      </c>
      <c r="D63" s="38">
        <f t="shared" si="26"/>
        <v>506.1680999999999</v>
      </c>
      <c r="E63" s="38">
        <f t="shared" si="26"/>
        <v>517.3361999999998</v>
      </c>
      <c r="F63" s="38">
        <f t="shared" si="26"/>
        <v>517.3361999999998</v>
      </c>
      <c r="G63" s="38">
        <f t="shared" si="26"/>
        <v>400.3362</v>
      </c>
      <c r="H63" s="47"/>
      <c r="I63" s="47"/>
      <c r="J63" s="47"/>
      <c r="K63" s="47"/>
      <c r="L63" s="47"/>
      <c r="M63" s="47"/>
      <c r="O63" s="11" t="s">
        <v>622</v>
      </c>
      <c r="P63" s="38">
        <f aca="true" t="shared" si="27" ref="P63:U63">+P62*P61*P5</f>
        <v>243.72269999999997</v>
      </c>
      <c r="Q63" s="38">
        <f t="shared" si="27"/>
        <v>333.7226999999999</v>
      </c>
      <c r="R63" s="38">
        <f t="shared" si="27"/>
        <v>333.7226999999999</v>
      </c>
      <c r="S63" s="38">
        <f t="shared" si="27"/>
        <v>341.1680999999999</v>
      </c>
      <c r="T63" s="38">
        <f t="shared" si="27"/>
        <v>341.1680999999999</v>
      </c>
      <c r="U63" s="38">
        <f t="shared" si="27"/>
        <v>263.1681</v>
      </c>
      <c r="V63" s="47"/>
      <c r="W63" s="47"/>
      <c r="Y63" s="47"/>
      <c r="Z63" s="47"/>
      <c r="AA63" s="47"/>
      <c r="AC63" s="11" t="s">
        <v>622</v>
      </c>
      <c r="AD63" s="38">
        <f aca="true" t="shared" si="28" ref="AD63:AI63">+AD62*AD61*AD5</f>
        <v>203.10225</v>
      </c>
      <c r="AE63" s="38">
        <f t="shared" si="28"/>
        <v>278.10224999999997</v>
      </c>
      <c r="AF63" s="38">
        <f t="shared" si="28"/>
        <v>278.10224999999997</v>
      </c>
      <c r="AG63" s="38">
        <f t="shared" si="28"/>
        <v>284.30674999999997</v>
      </c>
      <c r="AH63" s="38">
        <f t="shared" si="28"/>
        <v>284.30674999999997</v>
      </c>
      <c r="AI63" s="38">
        <f t="shared" si="28"/>
        <v>219.30675000000002</v>
      </c>
      <c r="AJ63" s="47"/>
      <c r="AK63" s="47"/>
      <c r="AM63" s="47"/>
      <c r="AN63" s="47"/>
      <c r="AO63" s="47"/>
    </row>
    <row r="64" spans="1:41" ht="12.75">
      <c r="A64" s="11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O64" s="11"/>
      <c r="P64" s="47"/>
      <c r="Q64" s="47"/>
      <c r="R64" s="47"/>
      <c r="S64" s="47"/>
      <c r="T64" s="47"/>
      <c r="U64" s="47"/>
      <c r="V64" s="47"/>
      <c r="W64" s="47"/>
      <c r="Y64" s="47"/>
      <c r="Z64" s="47"/>
      <c r="AA64" s="47"/>
      <c r="AC64" s="11"/>
      <c r="AD64" s="47"/>
      <c r="AE64" s="47"/>
      <c r="AF64" s="47"/>
      <c r="AG64" s="47"/>
      <c r="AH64" s="47"/>
      <c r="AI64" s="47"/>
      <c r="AJ64" s="47"/>
      <c r="AK64" s="47"/>
      <c r="AM64" s="47"/>
      <c r="AN64" s="47"/>
      <c r="AO64" s="47"/>
    </row>
    <row r="65" spans="1:41" ht="12.75">
      <c r="A65" s="20" t="s">
        <v>609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O65" s="20" t="s">
        <v>609</v>
      </c>
      <c r="P65" s="47"/>
      <c r="Q65" s="47"/>
      <c r="R65" s="47"/>
      <c r="S65" s="47"/>
      <c r="T65" s="47"/>
      <c r="U65" s="47"/>
      <c r="V65" s="47"/>
      <c r="W65" s="47"/>
      <c r="Y65" s="47"/>
      <c r="Z65" s="47"/>
      <c r="AA65" s="47"/>
      <c r="AC65" s="20" t="s">
        <v>609</v>
      </c>
      <c r="AD65" s="47"/>
      <c r="AE65" s="47"/>
      <c r="AF65" s="47"/>
      <c r="AG65" s="47"/>
      <c r="AH65" s="47"/>
      <c r="AI65" s="47"/>
      <c r="AJ65" s="47"/>
      <c r="AK65" s="47"/>
      <c r="AM65" s="47"/>
      <c r="AN65" s="47"/>
      <c r="AO65" s="47"/>
    </row>
    <row r="66" spans="1:35" ht="12.75">
      <c r="A66" s="11" t="s">
        <v>429</v>
      </c>
      <c r="B66" s="64">
        <v>250</v>
      </c>
      <c r="C66" s="64">
        <v>250</v>
      </c>
      <c r="D66" s="64">
        <v>250</v>
      </c>
      <c r="E66" s="64">
        <v>250</v>
      </c>
      <c r="F66" s="64">
        <v>250</v>
      </c>
      <c r="G66" s="64">
        <v>250</v>
      </c>
      <c r="O66" s="11" t="s">
        <v>429</v>
      </c>
      <c r="P66" s="64">
        <f aca="true" t="shared" si="29" ref="P66:S69">+B66</f>
        <v>250</v>
      </c>
      <c r="Q66" s="64">
        <f t="shared" si="29"/>
        <v>250</v>
      </c>
      <c r="R66" s="64">
        <f t="shared" si="29"/>
        <v>250</v>
      </c>
      <c r="S66" s="64">
        <f t="shared" si="29"/>
        <v>250</v>
      </c>
      <c r="T66" s="64">
        <f aca="true" t="shared" si="30" ref="T66:U69">+F66</f>
        <v>250</v>
      </c>
      <c r="U66" s="64">
        <f t="shared" si="30"/>
        <v>250</v>
      </c>
      <c r="AC66" s="11" t="s">
        <v>429</v>
      </c>
      <c r="AD66" s="64">
        <f aca="true" t="shared" si="31" ref="AD66:AG69">+P66</f>
        <v>250</v>
      </c>
      <c r="AE66" s="64">
        <f t="shared" si="31"/>
        <v>250</v>
      </c>
      <c r="AF66" s="64">
        <f t="shared" si="31"/>
        <v>250</v>
      </c>
      <c r="AG66" s="64">
        <f t="shared" si="31"/>
        <v>250</v>
      </c>
      <c r="AH66" s="64">
        <f aca="true" t="shared" si="32" ref="AH66:AI69">+T66</f>
        <v>250</v>
      </c>
      <c r="AI66" s="64">
        <f t="shared" si="32"/>
        <v>250</v>
      </c>
    </row>
    <row r="67" spans="1:35" ht="12.75">
      <c r="A67" s="11" t="s">
        <v>552</v>
      </c>
      <c r="B67" s="65">
        <v>1</v>
      </c>
      <c r="C67" s="65">
        <v>1</v>
      </c>
      <c r="D67" s="65">
        <v>1</v>
      </c>
      <c r="E67" s="65">
        <v>1</v>
      </c>
      <c r="F67" s="65">
        <v>1</v>
      </c>
      <c r="G67" s="65">
        <v>1</v>
      </c>
      <c r="O67" s="11" t="s">
        <v>552</v>
      </c>
      <c r="P67" s="65">
        <f t="shared" si="29"/>
        <v>1</v>
      </c>
      <c r="Q67" s="65">
        <f t="shared" si="29"/>
        <v>1</v>
      </c>
      <c r="R67" s="65">
        <f t="shared" si="29"/>
        <v>1</v>
      </c>
      <c r="S67" s="65">
        <f t="shared" si="29"/>
        <v>1</v>
      </c>
      <c r="T67" s="65">
        <f t="shared" si="30"/>
        <v>1</v>
      </c>
      <c r="U67" s="65">
        <f t="shared" si="30"/>
        <v>1</v>
      </c>
      <c r="AC67" s="11" t="s">
        <v>552</v>
      </c>
      <c r="AD67" s="65">
        <f t="shared" si="31"/>
        <v>1</v>
      </c>
      <c r="AE67" s="65">
        <f t="shared" si="31"/>
        <v>1</v>
      </c>
      <c r="AF67" s="65">
        <f t="shared" si="31"/>
        <v>1</v>
      </c>
      <c r="AG67" s="65">
        <f t="shared" si="31"/>
        <v>1</v>
      </c>
      <c r="AH67" s="65">
        <f t="shared" si="32"/>
        <v>1</v>
      </c>
      <c r="AI67" s="65">
        <f t="shared" si="32"/>
        <v>1</v>
      </c>
    </row>
    <row r="68" spans="1:35" ht="12.75">
      <c r="A68" s="11" t="s">
        <v>590</v>
      </c>
      <c r="B68" s="77">
        <v>1.6</v>
      </c>
      <c r="C68" s="77">
        <v>1.6</v>
      </c>
      <c r="D68" s="77">
        <v>1.6</v>
      </c>
      <c r="E68" s="77">
        <v>1.6</v>
      </c>
      <c r="F68" s="77">
        <v>1.6</v>
      </c>
      <c r="G68" s="77">
        <v>1.6</v>
      </c>
      <c r="O68" s="11" t="s">
        <v>590</v>
      </c>
      <c r="P68" s="77">
        <f t="shared" si="29"/>
        <v>1.6</v>
      </c>
      <c r="Q68" s="77">
        <f t="shared" si="29"/>
        <v>1.6</v>
      </c>
      <c r="R68" s="77">
        <f t="shared" si="29"/>
        <v>1.6</v>
      </c>
      <c r="S68" s="77">
        <f t="shared" si="29"/>
        <v>1.6</v>
      </c>
      <c r="T68" s="77">
        <f t="shared" si="30"/>
        <v>1.6</v>
      </c>
      <c r="U68" s="77">
        <f t="shared" si="30"/>
        <v>1.6</v>
      </c>
      <c r="AC68" s="11" t="s">
        <v>590</v>
      </c>
      <c r="AD68" s="77">
        <f t="shared" si="31"/>
        <v>1.6</v>
      </c>
      <c r="AE68" s="77">
        <f t="shared" si="31"/>
        <v>1.6</v>
      </c>
      <c r="AF68" s="77">
        <f t="shared" si="31"/>
        <v>1.6</v>
      </c>
      <c r="AG68" s="77">
        <f t="shared" si="31"/>
        <v>1.6</v>
      </c>
      <c r="AH68" s="77">
        <f t="shared" si="32"/>
        <v>1.6</v>
      </c>
      <c r="AI68" s="77">
        <f t="shared" si="32"/>
        <v>1.6</v>
      </c>
    </row>
    <row r="69" spans="1:35" ht="12.75">
      <c r="A69" s="11" t="s">
        <v>597</v>
      </c>
      <c r="B69" s="131">
        <v>0.06</v>
      </c>
      <c r="C69" s="131">
        <v>0.06</v>
      </c>
      <c r="D69" s="131">
        <v>0.06</v>
      </c>
      <c r="E69" s="131">
        <v>0.06</v>
      </c>
      <c r="F69" s="131">
        <v>0.06</v>
      </c>
      <c r="G69" s="131">
        <v>0.06</v>
      </c>
      <c r="O69" s="11" t="s">
        <v>597</v>
      </c>
      <c r="P69" s="131">
        <f t="shared" si="29"/>
        <v>0.06</v>
      </c>
      <c r="Q69" s="131">
        <f t="shared" si="29"/>
        <v>0.06</v>
      </c>
      <c r="R69" s="131">
        <f t="shared" si="29"/>
        <v>0.06</v>
      </c>
      <c r="S69" s="131">
        <f t="shared" si="29"/>
        <v>0.06</v>
      </c>
      <c r="T69" s="131">
        <f t="shared" si="30"/>
        <v>0.06</v>
      </c>
      <c r="U69" s="131">
        <f t="shared" si="30"/>
        <v>0.06</v>
      </c>
      <c r="AC69" s="11" t="s">
        <v>597</v>
      </c>
      <c r="AD69" s="131">
        <f t="shared" si="31"/>
        <v>0.06</v>
      </c>
      <c r="AE69" s="131">
        <f t="shared" si="31"/>
        <v>0.06</v>
      </c>
      <c r="AF69" s="131">
        <f t="shared" si="31"/>
        <v>0.06</v>
      </c>
      <c r="AG69" s="131">
        <f t="shared" si="31"/>
        <v>0.06</v>
      </c>
      <c r="AH69" s="131">
        <f t="shared" si="32"/>
        <v>0.06</v>
      </c>
      <c r="AI69" s="131">
        <f t="shared" si="32"/>
        <v>0.06</v>
      </c>
    </row>
    <row r="74" ht="12.75">
      <c r="A74" s="1" t="str">
        <f>+A1</f>
        <v>TABLE 1. MODEL INPUTS</v>
      </c>
    </row>
    <row r="76" ht="12.75">
      <c r="A76" s="1" t="str">
        <f>+A3</f>
        <v>SOUTHERN SEGMENT </v>
      </c>
    </row>
    <row r="78" spans="1:7" ht="12.75">
      <c r="A78" s="1" t="str">
        <f>+A5</f>
        <v>Length</v>
      </c>
      <c r="B78" s="43">
        <f>+B5</f>
        <v>9</v>
      </c>
      <c r="C78" s="43"/>
      <c r="D78" s="43"/>
      <c r="E78" s="43"/>
      <c r="F78" s="43"/>
      <c r="G78" s="43"/>
    </row>
    <row r="80" spans="2:7" ht="12.75">
      <c r="B80" s="122" t="str">
        <f aca="true" t="shared" si="33" ref="B80:B92">+B7</f>
        <v>No Build</v>
      </c>
      <c r="C80" s="140"/>
      <c r="D80" s="140"/>
      <c r="E80" s="140"/>
      <c r="F80" s="140"/>
      <c r="G80" s="140"/>
    </row>
    <row r="81" spans="1:2" ht="12.75">
      <c r="A81" s="1" t="str">
        <f aca="true" t="shared" si="34" ref="A81:A92">+A8</f>
        <v>Travel demand and highway capacity:</v>
      </c>
      <c r="B81">
        <f t="shared" si="33"/>
        <v>0</v>
      </c>
    </row>
    <row r="82" spans="1:7" ht="12.75">
      <c r="A82" t="str">
        <f t="shared" si="34"/>
        <v>Total daily person trips</v>
      </c>
      <c r="B82" s="15">
        <f t="shared" si="33"/>
        <v>445000</v>
      </c>
      <c r="C82" s="15"/>
      <c r="D82" s="15"/>
      <c r="E82" s="15"/>
      <c r="F82" s="15"/>
      <c r="G82" s="15"/>
    </row>
    <row r="83" spans="1:7" ht="12.75">
      <c r="A83" t="str">
        <f t="shared" si="34"/>
        <v>Percent in peak periods</v>
      </c>
      <c r="B83" s="118">
        <f t="shared" si="33"/>
        <v>0.5</v>
      </c>
      <c r="C83" s="118"/>
      <c r="D83" s="118"/>
      <c r="E83" s="118"/>
      <c r="F83" s="118"/>
      <c r="G83" s="118"/>
    </row>
    <row r="84" spans="1:7" ht="12.75">
      <c r="A84" t="str">
        <f t="shared" si="34"/>
        <v>Transit mode share</v>
      </c>
      <c r="B84" s="118">
        <f t="shared" si="33"/>
        <v>0.04</v>
      </c>
      <c r="C84" s="118"/>
      <c r="D84" s="118"/>
      <c r="E84" s="118"/>
      <c r="F84" s="118"/>
      <c r="G84" s="118"/>
    </row>
    <row r="85" spans="1:7" ht="12.75">
      <c r="A85" t="str">
        <f t="shared" si="34"/>
        <v>Bus occupancy (avg.)</v>
      </c>
      <c r="B85" s="15">
        <f t="shared" si="33"/>
        <v>20</v>
      </c>
      <c r="C85" s="15"/>
      <c r="D85" s="15"/>
      <c r="E85" s="15"/>
      <c r="F85" s="15"/>
      <c r="G85" s="15"/>
    </row>
    <row r="86" spans="1:7" ht="12.75">
      <c r="A86" t="str">
        <f t="shared" si="34"/>
        <v>Avg. auto occupancy</v>
      </c>
      <c r="B86" s="118">
        <f t="shared" si="33"/>
        <v>1.1</v>
      </c>
      <c r="C86" s="118"/>
      <c r="D86" s="118"/>
      <c r="E86" s="118"/>
      <c r="F86" s="118"/>
      <c r="G86" s="118"/>
    </row>
    <row r="87" spans="1:7" ht="12.75">
      <c r="A87" t="str">
        <f t="shared" si="34"/>
        <v>Avg carpool occupancy</v>
      </c>
      <c r="B87" s="118">
        <f t="shared" si="33"/>
        <v>2.2</v>
      </c>
      <c r="C87" s="118"/>
      <c r="D87" s="118"/>
      <c r="E87" s="118"/>
      <c r="F87" s="118"/>
      <c r="G87" s="118"/>
    </row>
    <row r="88" spans="1:7" ht="12.75">
      <c r="A88" t="str">
        <f t="shared" si="34"/>
        <v>Off-peak avg. auto ccupancy</v>
      </c>
      <c r="B88" s="118">
        <f t="shared" si="33"/>
        <v>1.6</v>
      </c>
      <c r="C88" s="118"/>
      <c r="D88" s="118"/>
      <c r="E88" s="118"/>
      <c r="F88" s="118"/>
      <c r="G88" s="118"/>
    </row>
    <row r="89" spans="1:7" ht="12.75">
      <c r="A89" s="11" t="str">
        <f t="shared" si="34"/>
        <v>Percent of traffic volume on freeways</v>
      </c>
      <c r="B89" s="13">
        <f t="shared" si="33"/>
        <v>0.84</v>
      </c>
      <c r="C89" s="13"/>
      <c r="D89" s="13"/>
      <c r="E89" s="13"/>
      <c r="F89" s="13"/>
      <c r="G89" s="13"/>
    </row>
    <row r="90" spans="1:7" ht="12.75">
      <c r="A90" t="str">
        <f t="shared" si="34"/>
        <v>Freeway capacity per lane (vph)</v>
      </c>
      <c r="B90" s="15">
        <f t="shared" si="33"/>
        <v>2370</v>
      </c>
      <c r="C90" s="15"/>
      <c r="D90" s="15"/>
      <c r="E90" s="15"/>
      <c r="F90" s="15"/>
      <c r="G90" s="15"/>
    </row>
    <row r="91" spans="1:7" ht="12.75">
      <c r="A91" t="str">
        <f t="shared" si="34"/>
        <v>Number of restricted freeway lanes</v>
      </c>
      <c r="B91" s="15">
        <f t="shared" si="33"/>
        <v>8</v>
      </c>
      <c r="C91" s="15"/>
      <c r="D91" s="15"/>
      <c r="E91" s="15"/>
      <c r="F91" s="15"/>
      <c r="G91" s="15"/>
    </row>
    <row r="92" spans="1:7" ht="12.75">
      <c r="A92" t="str">
        <f t="shared" si="34"/>
        <v>Total arterial capacity (vph)</v>
      </c>
      <c r="B92" s="15">
        <f t="shared" si="33"/>
        <v>4000</v>
      </c>
      <c r="C92" s="15"/>
      <c r="D92" s="15"/>
      <c r="E92" s="15"/>
      <c r="F92" s="15"/>
      <c r="G92" s="15"/>
    </row>
    <row r="93" spans="2:7" ht="12.75">
      <c r="B93" s="8"/>
      <c r="C93" s="8"/>
      <c r="D93" s="8"/>
      <c r="E93" s="8"/>
      <c r="F93" s="8"/>
      <c r="G93" s="8"/>
    </row>
    <row r="94" spans="2:7" ht="12.75">
      <c r="B94" s="5" t="str">
        <f aca="true" t="shared" si="35" ref="B94:G99">+B21</f>
        <v>No 1</v>
      </c>
      <c r="C94" s="5" t="str">
        <f t="shared" si="35"/>
        <v>No 2</v>
      </c>
      <c r="D94" s="5" t="str">
        <f t="shared" si="35"/>
        <v>No 3</v>
      </c>
      <c r="E94" s="5" t="str">
        <f t="shared" si="35"/>
        <v>No 4</v>
      </c>
      <c r="F94" s="5" t="str">
        <f t="shared" si="35"/>
        <v>No 5</v>
      </c>
      <c r="G94" s="5" t="str">
        <f t="shared" si="35"/>
        <v>No 6</v>
      </c>
    </row>
    <row r="95" spans="1:7" ht="12.75">
      <c r="A95" s="1"/>
      <c r="B95" s="122" t="str">
        <f t="shared" si="35"/>
        <v>10 GP Ln</v>
      </c>
      <c r="C95" s="122" t="str">
        <f t="shared" si="35"/>
        <v>4 ET+EB</v>
      </c>
      <c r="D95" s="122" t="str">
        <f t="shared" si="35"/>
        <v>4 ET + BRT</v>
      </c>
      <c r="E95" s="122" t="str">
        <f t="shared" si="35"/>
        <v>4 HOT+EB</v>
      </c>
      <c r="F95" s="122" t="str">
        <f t="shared" si="35"/>
        <v>4 HOT+BRT</v>
      </c>
      <c r="G95" s="127" t="str">
        <f t="shared" si="35"/>
        <v>10 H + BRT</v>
      </c>
    </row>
    <row r="96" spans="1:7" ht="12.75">
      <c r="A96" t="str">
        <f>+A23</f>
        <v>Change in in-vehicle time</v>
      </c>
      <c r="B96">
        <f t="shared" si="35"/>
        <v>0</v>
      </c>
      <c r="C96">
        <f t="shared" si="35"/>
        <v>0</v>
      </c>
      <c r="D96">
        <f t="shared" si="35"/>
        <v>0</v>
      </c>
      <c r="E96">
        <f t="shared" si="35"/>
        <v>0</v>
      </c>
      <c r="F96">
        <f t="shared" si="35"/>
        <v>0</v>
      </c>
      <c r="G96">
        <f t="shared" si="35"/>
        <v>0</v>
      </c>
    </row>
    <row r="97" spans="1:7" ht="12.75">
      <c r="A97" t="str">
        <f>+A24</f>
        <v>Solo driver</v>
      </c>
      <c r="B97" s="19">
        <f t="shared" si="35"/>
        <v>-6.9</v>
      </c>
      <c r="C97" s="19">
        <f t="shared" si="35"/>
        <v>-7.9</v>
      </c>
      <c r="D97" s="19">
        <f t="shared" si="35"/>
        <v>-7.7</v>
      </c>
      <c r="E97" s="19">
        <f t="shared" si="35"/>
        <v>-6</v>
      </c>
      <c r="F97" s="19">
        <f t="shared" si="35"/>
        <v>-7</v>
      </c>
      <c r="G97" s="19">
        <f t="shared" si="35"/>
        <v>-21</v>
      </c>
    </row>
    <row r="98" spans="1:7" ht="12.75">
      <c r="A98" t="str">
        <f>+A25</f>
        <v>Carpool</v>
      </c>
      <c r="B98" s="19">
        <f t="shared" si="35"/>
        <v>-6.9</v>
      </c>
      <c r="C98" s="19">
        <f t="shared" si="35"/>
        <v>-7.9</v>
      </c>
      <c r="D98" s="19">
        <f t="shared" si="35"/>
        <v>-7.7</v>
      </c>
      <c r="E98" s="19">
        <f t="shared" si="35"/>
        <v>-30</v>
      </c>
      <c r="F98" s="19">
        <f t="shared" si="35"/>
        <v>-30</v>
      </c>
      <c r="G98" s="19">
        <f t="shared" si="35"/>
        <v>-30</v>
      </c>
    </row>
    <row r="99" spans="1:7" ht="12.75">
      <c r="A99" t="str">
        <f>+A26</f>
        <v>Transit</v>
      </c>
      <c r="B99" s="19">
        <f t="shared" si="35"/>
        <v>-6.9</v>
      </c>
      <c r="C99" s="19">
        <f t="shared" si="35"/>
        <v>-15</v>
      </c>
      <c r="D99" s="19">
        <f t="shared" si="35"/>
        <v>-30</v>
      </c>
      <c r="E99" s="19">
        <f t="shared" si="35"/>
        <v>-15</v>
      </c>
      <c r="F99" s="19">
        <f t="shared" si="35"/>
        <v>-30</v>
      </c>
      <c r="G99" s="19">
        <f t="shared" si="35"/>
        <v>-30</v>
      </c>
    </row>
    <row r="100" spans="2:7" ht="12.75">
      <c r="B100" s="19"/>
      <c r="C100" s="19"/>
      <c r="D100" s="19"/>
      <c r="E100" s="19"/>
      <c r="F100" s="19"/>
      <c r="G100" s="19"/>
    </row>
    <row r="101" spans="1:7" ht="12.75">
      <c r="A101" t="str">
        <f aca="true" t="shared" si="36" ref="A101:G104">+A28</f>
        <v>Change in out-of-vehicle times (min)</v>
      </c>
      <c r="B101" s="19">
        <f t="shared" si="36"/>
        <v>0</v>
      </c>
      <c r="C101" s="19">
        <f t="shared" si="36"/>
        <v>0</v>
      </c>
      <c r="D101" s="19">
        <f t="shared" si="36"/>
        <v>0</v>
      </c>
      <c r="E101" s="19">
        <f t="shared" si="36"/>
        <v>0</v>
      </c>
      <c r="F101" s="19">
        <f t="shared" si="36"/>
        <v>0</v>
      </c>
      <c r="G101" s="19">
        <f t="shared" si="36"/>
        <v>0</v>
      </c>
    </row>
    <row r="102" spans="1:7" ht="12.75">
      <c r="A102" t="str">
        <f t="shared" si="36"/>
        <v>Solo driver</v>
      </c>
      <c r="B102" s="19">
        <f t="shared" si="36"/>
        <v>0</v>
      </c>
      <c r="C102" s="19">
        <f t="shared" si="36"/>
        <v>0</v>
      </c>
      <c r="D102" s="19">
        <f t="shared" si="36"/>
        <v>0</v>
      </c>
      <c r="E102" s="19">
        <f t="shared" si="36"/>
        <v>0</v>
      </c>
      <c r="F102" s="19">
        <f t="shared" si="36"/>
        <v>0</v>
      </c>
      <c r="G102" s="19">
        <f t="shared" si="36"/>
        <v>0</v>
      </c>
    </row>
    <row r="103" spans="1:7" ht="12.75">
      <c r="A103" t="str">
        <f t="shared" si="36"/>
        <v>Carpool</v>
      </c>
      <c r="B103" s="19">
        <f t="shared" si="36"/>
        <v>0</v>
      </c>
      <c r="C103" s="19">
        <f t="shared" si="36"/>
        <v>0</v>
      </c>
      <c r="D103" s="19">
        <f t="shared" si="36"/>
        <v>0</v>
      </c>
      <c r="E103" s="19">
        <f t="shared" si="36"/>
        <v>0</v>
      </c>
      <c r="F103" s="19">
        <f t="shared" si="36"/>
        <v>0</v>
      </c>
      <c r="G103" s="19">
        <f t="shared" si="36"/>
        <v>0</v>
      </c>
    </row>
    <row r="104" spans="1:7" ht="12.75">
      <c r="A104" t="str">
        <f t="shared" si="36"/>
        <v>Transit</v>
      </c>
      <c r="B104" s="19">
        <f t="shared" si="36"/>
        <v>0</v>
      </c>
      <c r="C104" s="19">
        <f t="shared" si="36"/>
        <v>0</v>
      </c>
      <c r="D104" s="19">
        <f t="shared" si="36"/>
        <v>-5</v>
      </c>
      <c r="E104" s="19">
        <f t="shared" si="36"/>
        <v>0</v>
      </c>
      <c r="F104" s="19">
        <f t="shared" si="36"/>
        <v>-5</v>
      </c>
      <c r="G104" s="19">
        <f t="shared" si="36"/>
        <v>-5</v>
      </c>
    </row>
    <row r="105" spans="2:7" ht="12.75">
      <c r="B105" s="19"/>
      <c r="C105" s="19"/>
      <c r="D105" s="19"/>
      <c r="E105" s="19"/>
      <c r="F105" s="19"/>
      <c r="G105" s="19"/>
    </row>
    <row r="106" spans="1:7" ht="12.75">
      <c r="A106" t="str">
        <f aca="true" t="shared" si="37" ref="A106:G109">+A33</f>
        <v>Change in out-of-pocket costs (cents)</v>
      </c>
      <c r="B106" s="19">
        <f t="shared" si="37"/>
        <v>0</v>
      </c>
      <c r="C106" s="19">
        <f t="shared" si="37"/>
        <v>0</v>
      </c>
      <c r="D106" s="19">
        <f t="shared" si="37"/>
        <v>0</v>
      </c>
      <c r="E106" s="19">
        <f t="shared" si="37"/>
        <v>0</v>
      </c>
      <c r="F106" s="19">
        <f t="shared" si="37"/>
        <v>0</v>
      </c>
      <c r="G106" s="19">
        <f t="shared" si="37"/>
        <v>0</v>
      </c>
    </row>
    <row r="107" spans="1:7" ht="12.75">
      <c r="A107" t="str">
        <f t="shared" si="37"/>
        <v>Solo driver</v>
      </c>
      <c r="B107" s="19">
        <f t="shared" si="37"/>
        <v>0</v>
      </c>
      <c r="C107" s="19">
        <f t="shared" si="37"/>
        <v>0</v>
      </c>
      <c r="D107" s="19">
        <f t="shared" si="37"/>
        <v>0</v>
      </c>
      <c r="E107" s="19">
        <f t="shared" si="37"/>
        <v>0</v>
      </c>
      <c r="F107" s="19">
        <f t="shared" si="37"/>
        <v>0</v>
      </c>
      <c r="G107" s="19">
        <f t="shared" si="37"/>
        <v>0</v>
      </c>
    </row>
    <row r="108" spans="1:7" ht="12.75">
      <c r="A108" t="str">
        <f t="shared" si="37"/>
        <v>Carpool</v>
      </c>
      <c r="B108" s="19">
        <f t="shared" si="37"/>
        <v>0</v>
      </c>
      <c r="C108" s="19">
        <f t="shared" si="37"/>
        <v>0</v>
      </c>
      <c r="D108" s="19">
        <f t="shared" si="37"/>
        <v>0</v>
      </c>
      <c r="E108" s="19">
        <f t="shared" si="37"/>
        <v>0</v>
      </c>
      <c r="F108" s="19">
        <f t="shared" si="37"/>
        <v>0</v>
      </c>
      <c r="G108" s="19">
        <f t="shared" si="37"/>
        <v>0</v>
      </c>
    </row>
    <row r="109" spans="1:7" ht="12.75">
      <c r="A109" t="str">
        <f t="shared" si="37"/>
        <v>Transit</v>
      </c>
      <c r="B109" s="19">
        <f t="shared" si="37"/>
        <v>0</v>
      </c>
      <c r="C109" s="19">
        <f t="shared" si="37"/>
        <v>0</v>
      </c>
      <c r="D109" s="19">
        <f t="shared" si="37"/>
        <v>0</v>
      </c>
      <c r="E109" s="19">
        <f t="shared" si="37"/>
        <v>0</v>
      </c>
      <c r="F109" s="19">
        <f t="shared" si="37"/>
        <v>0</v>
      </c>
      <c r="G109" s="19">
        <f t="shared" si="37"/>
        <v>-100</v>
      </c>
    </row>
    <row r="110" spans="2:7" ht="12.75">
      <c r="B110" s="19"/>
      <c r="C110" s="19"/>
      <c r="D110" s="19"/>
      <c r="E110" s="19"/>
      <c r="F110" s="19"/>
      <c r="G110" s="19"/>
    </row>
    <row r="111" spans="1:7" ht="12.75">
      <c r="A111" t="str">
        <f aca="true" t="shared" si="38" ref="A111:G115">+A38</f>
        <v>Freeway capacity per lane - managed lanes (vph)</v>
      </c>
      <c r="B111" s="15">
        <f t="shared" si="38"/>
        <v>2280</v>
      </c>
      <c r="C111" s="15">
        <f t="shared" si="38"/>
        <v>2280</v>
      </c>
      <c r="D111" s="15">
        <f t="shared" si="38"/>
        <v>2280</v>
      </c>
      <c r="E111" s="15">
        <f t="shared" si="38"/>
        <v>2280</v>
      </c>
      <c r="F111" s="15">
        <f t="shared" si="38"/>
        <v>2280</v>
      </c>
      <c r="G111" s="15">
        <f t="shared" si="38"/>
        <v>2400</v>
      </c>
    </row>
    <row r="112" spans="1:7" ht="12.75">
      <c r="A112" t="str">
        <f t="shared" si="38"/>
        <v>Freeway capacity per lane- GP lanes(vph)</v>
      </c>
      <c r="B112" s="15">
        <f t="shared" si="38"/>
        <v>2400</v>
      </c>
      <c r="C112" s="15">
        <f t="shared" si="38"/>
        <v>2310</v>
      </c>
      <c r="D112" s="15">
        <f t="shared" si="38"/>
        <v>2310</v>
      </c>
      <c r="E112" s="15">
        <f t="shared" si="38"/>
        <v>2310</v>
      </c>
      <c r="F112" s="15">
        <f t="shared" si="38"/>
        <v>2310</v>
      </c>
      <c r="G112" s="15">
        <f t="shared" si="38"/>
        <v>2280</v>
      </c>
    </row>
    <row r="113" spans="1:7" ht="12.75">
      <c r="A113" t="str">
        <f t="shared" si="38"/>
        <v>Number of restricted freeway lanes</v>
      </c>
      <c r="B113" s="15">
        <f t="shared" si="38"/>
        <v>1E-08</v>
      </c>
      <c r="C113" s="15">
        <f t="shared" si="38"/>
        <v>4</v>
      </c>
      <c r="D113" s="15">
        <f t="shared" si="38"/>
        <v>4</v>
      </c>
      <c r="E113" s="15">
        <f t="shared" si="38"/>
        <v>4</v>
      </c>
      <c r="F113" s="15">
        <f t="shared" si="38"/>
        <v>4</v>
      </c>
      <c r="G113" s="15">
        <f t="shared" si="38"/>
        <v>10</v>
      </c>
    </row>
    <row r="114" spans="1:7" ht="12.75">
      <c r="A114" t="str">
        <f t="shared" si="38"/>
        <v>Number of GP lanes</v>
      </c>
      <c r="B114" s="15">
        <f t="shared" si="38"/>
        <v>10</v>
      </c>
      <c r="C114" s="15">
        <f t="shared" si="38"/>
        <v>6</v>
      </c>
      <c r="D114" s="15">
        <f t="shared" si="38"/>
        <v>6</v>
      </c>
      <c r="E114" s="15">
        <f t="shared" si="38"/>
        <v>6</v>
      </c>
      <c r="F114" s="15">
        <f t="shared" si="38"/>
        <v>6</v>
      </c>
      <c r="G114" s="15">
        <f t="shared" si="38"/>
        <v>0.0001</v>
      </c>
    </row>
    <row r="115" spans="1:7" ht="12.75">
      <c r="A115" t="str">
        <f t="shared" si="38"/>
        <v>% of capacity used at LOS C (free-flow)</v>
      </c>
      <c r="B115" s="118">
        <f t="shared" si="38"/>
        <v>0.75</v>
      </c>
      <c r="C115" s="118">
        <f t="shared" si="38"/>
        <v>0.75</v>
      </c>
      <c r="D115" s="118">
        <f t="shared" si="38"/>
        <v>0.75</v>
      </c>
      <c r="E115" s="118">
        <f t="shared" si="38"/>
        <v>0.75</v>
      </c>
      <c r="F115" s="118">
        <f t="shared" si="38"/>
        <v>0.75</v>
      </c>
      <c r="G115" s="118">
        <f t="shared" si="38"/>
        <v>0.85</v>
      </c>
    </row>
    <row r="116" spans="2:7" ht="12.75">
      <c r="B116" s="18"/>
      <c r="C116" s="18"/>
      <c r="D116" s="18"/>
      <c r="E116" s="18"/>
      <c r="F116" s="18"/>
      <c r="G116" s="18"/>
    </row>
    <row r="117" spans="1:7" ht="12.75">
      <c r="A117" s="1" t="str">
        <f>+A47</f>
        <v>Transit costs:</v>
      </c>
      <c r="B117" s="18"/>
      <c r="C117" s="18"/>
      <c r="D117" s="18"/>
      <c r="E117" s="18"/>
      <c r="F117" s="18"/>
      <c r="G117" s="18"/>
    </row>
    <row r="118" spans="1:7" ht="12.75">
      <c r="A118" s="11" t="str">
        <f>+A48</f>
        <v>Transit subsidy per passenger mile</v>
      </c>
      <c r="B118" s="38">
        <f aca="true" t="shared" si="39" ref="B118:G119">+B48</f>
        <v>0.5</v>
      </c>
      <c r="C118" s="38">
        <f t="shared" si="39"/>
        <v>0.5</v>
      </c>
      <c r="D118" s="38">
        <f t="shared" si="39"/>
        <v>0.5</v>
      </c>
      <c r="E118" s="38">
        <f t="shared" si="39"/>
        <v>0.5</v>
      </c>
      <c r="F118" s="38">
        <f t="shared" si="39"/>
        <v>0.5</v>
      </c>
      <c r="G118" s="38">
        <f t="shared" si="39"/>
        <v>0.5</v>
      </c>
    </row>
    <row r="119" spans="1:7" ht="12.75">
      <c r="A119" s="11" t="str">
        <f>+A49</f>
        <v>Cost per passenger mile for low fare service</v>
      </c>
      <c r="B119" s="38">
        <f t="shared" si="39"/>
        <v>0</v>
      </c>
      <c r="C119" s="38">
        <f t="shared" si="39"/>
        <v>0</v>
      </c>
      <c r="D119" s="38">
        <f t="shared" si="39"/>
        <v>0</v>
      </c>
      <c r="E119" s="38">
        <f t="shared" si="39"/>
        <v>0</v>
      </c>
      <c r="F119" s="38">
        <f t="shared" si="39"/>
        <v>0</v>
      </c>
      <c r="G119" s="38">
        <f t="shared" si="39"/>
        <v>0.2</v>
      </c>
    </row>
    <row r="120" spans="1:7" ht="12.75">
      <c r="A120" s="11"/>
      <c r="B120" s="38"/>
      <c r="C120" s="38"/>
      <c r="D120" s="38"/>
      <c r="E120" s="38"/>
      <c r="F120" s="38"/>
      <c r="G120" s="38"/>
    </row>
    <row r="121" spans="1:7" ht="12.75">
      <c r="A121" s="20" t="str">
        <f aca="true" t="shared" si="40" ref="A121:A127">+A51</f>
        <v>Highway costs (million $):</v>
      </c>
      <c r="B121" s="38"/>
      <c r="C121" s="38"/>
      <c r="D121" s="38"/>
      <c r="E121" s="38"/>
      <c r="F121" s="38"/>
      <c r="G121" s="38"/>
    </row>
    <row r="122" spans="1:7" ht="12.75">
      <c r="A122" s="11" t="str">
        <f t="shared" si="40"/>
        <v>Construction cost per added lane mile</v>
      </c>
      <c r="B122" s="38">
        <f aca="true" t="shared" si="41" ref="B122:G127">+B52</f>
        <v>10</v>
      </c>
      <c r="C122" s="38">
        <f t="shared" si="41"/>
        <v>10</v>
      </c>
      <c r="D122" s="38">
        <f t="shared" si="41"/>
        <v>10</v>
      </c>
      <c r="E122" s="38">
        <f t="shared" si="41"/>
        <v>10</v>
      </c>
      <c r="F122" s="38">
        <f t="shared" si="41"/>
        <v>10</v>
      </c>
      <c r="G122" s="38">
        <f t="shared" si="41"/>
        <v>10</v>
      </c>
    </row>
    <row r="123" spans="1:7" ht="12.75">
      <c r="A123" s="11" t="str">
        <f t="shared" si="40"/>
        <v>Construction cost per mile of lane separation</v>
      </c>
      <c r="B123" s="38">
        <f t="shared" si="41"/>
        <v>0</v>
      </c>
      <c r="C123" s="38">
        <f t="shared" si="41"/>
        <v>2</v>
      </c>
      <c r="D123" s="38">
        <f t="shared" si="41"/>
        <v>2</v>
      </c>
      <c r="E123" s="38">
        <f t="shared" si="41"/>
        <v>2</v>
      </c>
      <c r="F123" s="38">
        <f t="shared" si="41"/>
        <v>2</v>
      </c>
      <c r="G123" s="38">
        <f t="shared" si="41"/>
        <v>0</v>
      </c>
    </row>
    <row r="124" spans="1:7" ht="12.75">
      <c r="A124" s="11" t="str">
        <f t="shared" si="40"/>
        <v>Interchange modification costs per mile</v>
      </c>
      <c r="B124" s="38">
        <f t="shared" si="41"/>
        <v>20</v>
      </c>
      <c r="C124" s="38">
        <f t="shared" si="41"/>
        <v>20</v>
      </c>
      <c r="D124" s="38">
        <f t="shared" si="41"/>
        <v>20</v>
      </c>
      <c r="E124" s="38">
        <f t="shared" si="41"/>
        <v>20</v>
      </c>
      <c r="F124" s="38">
        <f t="shared" si="41"/>
        <v>20</v>
      </c>
      <c r="G124" s="38">
        <f t="shared" si="41"/>
        <v>20</v>
      </c>
    </row>
    <row r="125" spans="1:7" ht="12.75">
      <c r="A125" s="11" t="str">
        <f t="shared" si="40"/>
        <v>Direct connector ramp const cost per mile</v>
      </c>
      <c r="B125" s="38">
        <f t="shared" si="41"/>
        <v>0</v>
      </c>
      <c r="C125" s="38">
        <f t="shared" si="41"/>
        <v>10</v>
      </c>
      <c r="D125" s="38">
        <f t="shared" si="41"/>
        <v>10</v>
      </c>
      <c r="E125" s="38">
        <f t="shared" si="41"/>
        <v>10</v>
      </c>
      <c r="F125" s="38">
        <f t="shared" si="41"/>
        <v>10</v>
      </c>
      <c r="G125" s="38">
        <f t="shared" si="41"/>
        <v>0</v>
      </c>
    </row>
    <row r="126" spans="1:7" ht="12.75">
      <c r="A126" s="11" t="str">
        <f t="shared" si="40"/>
        <v>Toll collection equipment cost per mile</v>
      </c>
      <c r="B126" s="38">
        <f t="shared" si="41"/>
        <v>0</v>
      </c>
      <c r="C126" s="38">
        <f t="shared" si="41"/>
        <v>1</v>
      </c>
      <c r="D126" s="38">
        <f t="shared" si="41"/>
        <v>1</v>
      </c>
      <c r="E126" s="38">
        <f t="shared" si="41"/>
        <v>1</v>
      </c>
      <c r="F126" s="38">
        <f t="shared" si="41"/>
        <v>1</v>
      </c>
      <c r="G126" s="38">
        <f t="shared" si="41"/>
        <v>2</v>
      </c>
    </row>
    <row r="127" spans="1:7" ht="12.75">
      <c r="A127" s="11" t="str">
        <f t="shared" si="40"/>
        <v>Total capital cost per mile</v>
      </c>
      <c r="B127" s="38">
        <f t="shared" si="41"/>
        <v>40</v>
      </c>
      <c r="C127" s="38">
        <f t="shared" si="41"/>
        <v>55</v>
      </c>
      <c r="D127" s="38">
        <f t="shared" si="41"/>
        <v>55</v>
      </c>
      <c r="E127" s="38">
        <f t="shared" si="41"/>
        <v>55</v>
      </c>
      <c r="F127" s="38">
        <f t="shared" si="41"/>
        <v>55</v>
      </c>
      <c r="G127" s="38">
        <f t="shared" si="41"/>
        <v>42</v>
      </c>
    </row>
    <row r="128" spans="1:7" ht="12.75">
      <c r="A128" s="11"/>
      <c r="B128" s="38"/>
      <c r="C128" s="38"/>
      <c r="D128" s="38"/>
      <c r="E128" s="38"/>
      <c r="F128" s="38"/>
      <c r="G128" s="38"/>
    </row>
    <row r="129" spans="1:7" ht="12.75">
      <c r="A129" s="11" t="str">
        <f aca="true" t="shared" si="42" ref="A129:G133">+A59</f>
        <v>Annual maintenance costs per added lane mile</v>
      </c>
      <c r="B129" s="38">
        <f t="shared" si="42"/>
        <v>0.05</v>
      </c>
      <c r="C129" s="38">
        <f t="shared" si="42"/>
        <v>0.05</v>
      </c>
      <c r="D129" s="38">
        <f t="shared" si="42"/>
        <v>0.05</v>
      </c>
      <c r="E129" s="38">
        <f t="shared" si="42"/>
        <v>0.05</v>
      </c>
      <c r="F129" s="38">
        <f t="shared" si="42"/>
        <v>0.05</v>
      </c>
      <c r="G129" s="38">
        <f t="shared" si="42"/>
        <v>0.05</v>
      </c>
    </row>
    <row r="130" spans="1:7" ht="12.75">
      <c r="A130" s="11" t="str">
        <f t="shared" si="42"/>
        <v>Annual law enforcementcosts per mile</v>
      </c>
      <c r="B130" s="38">
        <f t="shared" si="42"/>
        <v>0</v>
      </c>
      <c r="C130" s="38">
        <f t="shared" si="42"/>
        <v>0</v>
      </c>
      <c r="D130" s="38">
        <f t="shared" si="42"/>
        <v>0</v>
      </c>
      <c r="E130" s="38">
        <f t="shared" si="42"/>
        <v>0.1</v>
      </c>
      <c r="F130" s="38">
        <f t="shared" si="42"/>
        <v>0.1</v>
      </c>
      <c r="G130" s="38">
        <f t="shared" si="42"/>
        <v>0.1</v>
      </c>
    </row>
    <row r="131" spans="1:7" ht="12.75">
      <c r="A131" s="11" t="str">
        <f t="shared" si="42"/>
        <v>Discount factor for 7% discount rate/30-year payback</v>
      </c>
      <c r="B131" s="47">
        <f t="shared" si="42"/>
        <v>12.409</v>
      </c>
      <c r="C131" s="47">
        <f t="shared" si="42"/>
        <v>12.409</v>
      </c>
      <c r="D131" s="47">
        <f t="shared" si="42"/>
        <v>12.409</v>
      </c>
      <c r="E131" s="47">
        <f t="shared" si="42"/>
        <v>12.409</v>
      </c>
      <c r="F131" s="47">
        <f t="shared" si="42"/>
        <v>12.409</v>
      </c>
      <c r="G131" s="47">
        <f t="shared" si="42"/>
        <v>12.409</v>
      </c>
    </row>
    <row r="132" spans="1:7" ht="12.75">
      <c r="A132" s="11" t="str">
        <f t="shared" si="42"/>
        <v>Annualized highway cost per mile</v>
      </c>
      <c r="B132" s="38">
        <f t="shared" si="42"/>
        <v>3.3234668385848978</v>
      </c>
      <c r="C132" s="38">
        <f t="shared" si="42"/>
        <v>4.532266903054234</v>
      </c>
      <c r="D132" s="38">
        <f t="shared" si="42"/>
        <v>4.532266903054234</v>
      </c>
      <c r="E132" s="38">
        <f t="shared" si="42"/>
        <v>4.632266903054234</v>
      </c>
      <c r="F132" s="38">
        <f t="shared" si="42"/>
        <v>4.632266903054234</v>
      </c>
      <c r="G132" s="38">
        <f t="shared" si="42"/>
        <v>3.584640180514143</v>
      </c>
    </row>
    <row r="133" spans="1:7" ht="12.75">
      <c r="A133" s="11" t="str">
        <f t="shared" si="42"/>
        <v>Present value of highway costs</v>
      </c>
      <c r="B133" s="38">
        <f t="shared" si="42"/>
        <v>371.1681</v>
      </c>
      <c r="C133" s="38">
        <f t="shared" si="42"/>
        <v>506.1680999999999</v>
      </c>
      <c r="D133" s="38">
        <f t="shared" si="42"/>
        <v>506.1680999999999</v>
      </c>
      <c r="E133" s="38">
        <f t="shared" si="42"/>
        <v>517.3361999999998</v>
      </c>
      <c r="F133" s="38">
        <f t="shared" si="42"/>
        <v>517.3361999999998</v>
      </c>
      <c r="G133" s="38">
        <f t="shared" si="42"/>
        <v>400.3362</v>
      </c>
    </row>
    <row r="134" spans="1:7" ht="12.75">
      <c r="A134" s="11"/>
      <c r="B134" s="47"/>
      <c r="C134" s="47"/>
      <c r="D134" s="47"/>
      <c r="E134" s="47"/>
      <c r="F134" s="47"/>
      <c r="G134" s="47"/>
    </row>
    <row r="135" spans="1:7" ht="12.75">
      <c r="A135" s="20" t="str">
        <f>+A65</f>
        <v>User and external benefits:</v>
      </c>
      <c r="B135" s="47"/>
      <c r="C135" s="47"/>
      <c r="D135" s="47"/>
      <c r="E135" s="47"/>
      <c r="F135" s="47"/>
      <c r="G135" s="47"/>
    </row>
    <row r="136" spans="1:7" ht="12.75">
      <c r="A136" s="11" t="str">
        <f>+A66</f>
        <v>No. of construction days</v>
      </c>
      <c r="B136" s="64">
        <f aca="true" t="shared" si="43" ref="B136:G137">+B66</f>
        <v>250</v>
      </c>
      <c r="C136" s="64">
        <f t="shared" si="43"/>
        <v>250</v>
      </c>
      <c r="D136" s="64">
        <f t="shared" si="43"/>
        <v>250</v>
      </c>
      <c r="E136" s="64">
        <f t="shared" si="43"/>
        <v>250</v>
      </c>
      <c r="F136" s="64">
        <f t="shared" si="43"/>
        <v>250</v>
      </c>
      <c r="G136" s="64">
        <f t="shared" si="43"/>
        <v>250</v>
      </c>
    </row>
    <row r="137" spans="1:7" ht="12.75">
      <c r="A137" s="11" t="str">
        <f>+A67</f>
        <v>% increase in delays due to construction</v>
      </c>
      <c r="B137" s="65">
        <f t="shared" si="43"/>
        <v>1</v>
      </c>
      <c r="C137" s="65">
        <f t="shared" si="43"/>
        <v>1</v>
      </c>
      <c r="D137" s="65">
        <f t="shared" si="43"/>
        <v>1</v>
      </c>
      <c r="E137" s="65">
        <f t="shared" si="43"/>
        <v>1</v>
      </c>
      <c r="F137" s="65">
        <f t="shared" si="43"/>
        <v>1</v>
      </c>
      <c r="G137" s="65">
        <f t="shared" si="43"/>
        <v>1</v>
      </c>
    </row>
    <row r="138" spans="1:7" ht="12.75">
      <c r="A138" s="11" t="str">
        <f aca="true" t="shared" si="44" ref="A138:G138">+A68</f>
        <v>Fuel cost per gallon excluding taxes</v>
      </c>
      <c r="B138" s="77">
        <f t="shared" si="44"/>
        <v>1.6</v>
      </c>
      <c r="C138" s="77">
        <f t="shared" si="44"/>
        <v>1.6</v>
      </c>
      <c r="D138" s="77">
        <f t="shared" si="44"/>
        <v>1.6</v>
      </c>
      <c r="E138" s="77">
        <f t="shared" si="44"/>
        <v>1.6</v>
      </c>
      <c r="F138" s="77">
        <f t="shared" si="44"/>
        <v>1.6</v>
      </c>
      <c r="G138" s="77">
        <f t="shared" si="44"/>
        <v>1.6</v>
      </c>
    </row>
    <row r="139" spans="1:7" ht="12.75">
      <c r="A139" s="11" t="str">
        <f aca="true" t="shared" si="45" ref="A139:G139">+A69</f>
        <v>External cost per VMT($)</v>
      </c>
      <c r="B139" s="131">
        <f t="shared" si="45"/>
        <v>0.06</v>
      </c>
      <c r="C139" s="131">
        <f t="shared" si="45"/>
        <v>0.06</v>
      </c>
      <c r="D139" s="131">
        <f t="shared" si="45"/>
        <v>0.06</v>
      </c>
      <c r="E139" s="131">
        <f t="shared" si="45"/>
        <v>0.06</v>
      </c>
      <c r="F139" s="131">
        <f t="shared" si="45"/>
        <v>0.06</v>
      </c>
      <c r="G139" s="131">
        <f t="shared" si="45"/>
        <v>0.06</v>
      </c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"/>
  <sheetViews>
    <sheetView view="pageBreakPreview" zoomScale="75" zoomScaleNormal="75" zoomScaleSheetLayoutView="75" workbookViewId="0" topLeftCell="A1">
      <selection activeCell="A1" sqref="A1:IV346"/>
    </sheetView>
  </sheetViews>
  <sheetFormatPr defaultColWidth="9.140625" defaultRowHeight="12.75"/>
  <cols>
    <col min="1" max="1" width="34.8515625" style="0" customWidth="1"/>
    <col min="2" max="2" width="11.421875" style="0" customWidth="1"/>
    <col min="3" max="3" width="11.140625" style="0" customWidth="1"/>
    <col min="4" max="4" width="12.00390625" style="0" customWidth="1"/>
    <col min="5" max="5" width="14.140625" style="0" customWidth="1"/>
    <col min="6" max="6" width="5.7109375" style="0" customWidth="1"/>
    <col min="7" max="8" width="11.7109375" style="0" bestFit="1" customWidth="1"/>
    <col min="9" max="9" width="13.8515625" style="0" customWidth="1"/>
  </cols>
  <sheetData>
    <row r="1" spans="1:9" ht="12.75">
      <c r="A1" s="1" t="s">
        <v>564</v>
      </c>
      <c r="B1" s="108"/>
      <c r="C1" s="108"/>
      <c r="D1" s="108"/>
      <c r="E1" s="108"/>
      <c r="F1" s="108"/>
      <c r="G1" s="108"/>
      <c r="H1" s="108"/>
      <c r="I1" s="108"/>
    </row>
    <row r="2" spans="2:9" ht="12.75"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"/>
      <c r="B3" s="1"/>
      <c r="C3" s="1"/>
      <c r="D3" s="1"/>
      <c r="E3" s="1"/>
      <c r="F3" s="1"/>
      <c r="G3" s="1"/>
      <c r="H3" s="1"/>
      <c r="I3" s="109"/>
    </row>
    <row r="4" spans="1:9" ht="12.75">
      <c r="A4" s="1"/>
      <c r="B4" s="1"/>
      <c r="C4" s="1"/>
      <c r="D4" s="1"/>
      <c r="E4" s="1"/>
      <c r="F4" s="1"/>
      <c r="G4" s="1"/>
      <c r="H4" s="1"/>
      <c r="I4" s="109"/>
    </row>
    <row r="5" spans="1:9" ht="12.75">
      <c r="A5" s="108"/>
      <c r="B5" s="39"/>
      <c r="C5" s="175"/>
      <c r="D5" s="176"/>
      <c r="E5" s="176"/>
      <c r="F5" s="108"/>
      <c r="G5" s="175"/>
      <c r="H5" s="176"/>
      <c r="I5" s="176"/>
    </row>
    <row r="6" spans="1:9" ht="12.75">
      <c r="A6" s="7"/>
      <c r="B6" s="108"/>
      <c r="C6" s="5" t="str">
        <f>+C46</f>
        <v>No 1</v>
      </c>
      <c r="D6" s="5" t="str">
        <f aca="true" t="shared" si="0" ref="D6:I6">+D46</f>
        <v>No 2</v>
      </c>
      <c r="E6" s="5" t="str">
        <f t="shared" si="0"/>
        <v>No 3</v>
      </c>
      <c r="F6" s="5">
        <f t="shared" si="0"/>
        <v>0</v>
      </c>
      <c r="G6" s="5" t="str">
        <f t="shared" si="0"/>
        <v>No 4</v>
      </c>
      <c r="H6" s="5" t="str">
        <f t="shared" si="0"/>
        <v>No 5</v>
      </c>
      <c r="I6" s="5" t="str">
        <f t="shared" si="0"/>
        <v>No 6</v>
      </c>
    </row>
    <row r="7" spans="1:9" ht="12.75">
      <c r="A7" s="108"/>
      <c r="B7" s="108"/>
      <c r="C7" s="5" t="str">
        <f aca="true" t="shared" si="1" ref="C7:I7">+C47</f>
        <v>10 GP Ln</v>
      </c>
      <c r="D7" s="5" t="str">
        <f t="shared" si="1"/>
        <v>4 ET+EB</v>
      </c>
      <c r="E7" s="5" t="str">
        <f t="shared" si="1"/>
        <v>4 ET+BRT</v>
      </c>
      <c r="F7" s="5">
        <f t="shared" si="1"/>
        <v>0</v>
      </c>
      <c r="G7" s="5" t="str">
        <f t="shared" si="1"/>
        <v>4 HOT+EB</v>
      </c>
      <c r="H7" s="5" t="str">
        <f t="shared" si="1"/>
        <v>4 HOT+BRT</v>
      </c>
      <c r="I7" s="5" t="str">
        <f t="shared" si="1"/>
        <v>10 H + BRT</v>
      </c>
    </row>
    <row r="8" spans="1:9" ht="12.75">
      <c r="A8" s="7" t="s">
        <v>489</v>
      </c>
      <c r="B8" s="108"/>
      <c r="C8" s="108"/>
      <c r="D8" s="108"/>
      <c r="E8" s="108"/>
      <c r="F8" s="108"/>
      <c r="G8" s="108"/>
      <c r="H8" s="108"/>
      <c r="I8" s="108"/>
    </row>
    <row r="9" spans="1:9" ht="12.75">
      <c r="A9" s="108" t="str">
        <f>+A59</f>
        <v>Yr 2020 new carpool person trips daily</v>
      </c>
      <c r="B9" s="108"/>
      <c r="C9" s="74">
        <f>+C59</f>
        <v>0</v>
      </c>
      <c r="D9" s="74">
        <f>+D59</f>
        <v>-357.9806648158701</v>
      </c>
      <c r="E9" s="74">
        <f>+E59</f>
        <v>-2573.4669750629982</v>
      </c>
      <c r="F9" s="74"/>
      <c r="G9" s="74">
        <f>+G59</f>
        <v>26867.50032964941</v>
      </c>
      <c r="H9" s="74">
        <f>+H59</f>
        <v>22808.178306771108</v>
      </c>
      <c r="I9" s="74">
        <f>+I59</f>
        <v>6672.044095669698</v>
      </c>
    </row>
    <row r="10" spans="1:9" ht="12.75">
      <c r="A10" s="11" t="s">
        <v>513</v>
      </c>
      <c r="B10" s="108"/>
      <c r="C10" s="74">
        <f>+C110</f>
        <v>0</v>
      </c>
      <c r="D10" s="74">
        <f aca="true" t="shared" si="2" ref="D10:I10">+D110</f>
        <v>1493.5941713995126</v>
      </c>
      <c r="E10" s="74">
        <f t="shared" si="2"/>
        <v>10737.214749350147</v>
      </c>
      <c r="F10" s="74"/>
      <c r="G10" s="74">
        <f t="shared" si="2"/>
        <v>875.6936665243647</v>
      </c>
      <c r="H10" s="74">
        <f t="shared" si="2"/>
        <v>9400.09839527756</v>
      </c>
      <c r="I10" s="74">
        <f t="shared" si="2"/>
        <v>10041.471624630896</v>
      </c>
    </row>
    <row r="11" spans="1:9" ht="12.75">
      <c r="A11" s="11" t="s">
        <v>514</v>
      </c>
      <c r="B11" s="108"/>
      <c r="C11" s="74">
        <f>+C112</f>
        <v>44985.43606827373</v>
      </c>
      <c r="D11" s="74">
        <f>+D112</f>
        <v>10731.96337805374</v>
      </c>
      <c r="E11" s="74">
        <f>+E112</f>
        <v>13571.26856026391</v>
      </c>
      <c r="F11" s="74"/>
      <c r="G11" s="74">
        <f>+G112</f>
        <v>14228.222025541589</v>
      </c>
      <c r="H11" s="74">
        <f>+H112</f>
        <v>16670.79762136785</v>
      </c>
      <c r="I11" s="74">
        <f>+I112</f>
        <v>204.47276314534247</v>
      </c>
    </row>
    <row r="12" spans="1:9" ht="12.75">
      <c r="A12" s="108" t="str">
        <f>+A76</f>
        <v>Yr 2020 travel delay reduced daily (person hours)</v>
      </c>
      <c r="B12" s="108"/>
      <c r="C12" s="74">
        <f>+C76</f>
        <v>104211.79731829808</v>
      </c>
      <c r="D12" s="74">
        <f>+D76</f>
        <v>119142.0524440505</v>
      </c>
      <c r="E12" s="74">
        <f>+E76</f>
        <v>130094.65852614887</v>
      </c>
      <c r="F12" s="74"/>
      <c r="G12" s="74">
        <f>+G76</f>
        <v>127682.74212118611</v>
      </c>
      <c r="H12" s="74">
        <f>+H76</f>
        <v>136789.6237234467</v>
      </c>
      <c r="I12" s="74">
        <f>+I76</f>
        <v>298920.1361125211</v>
      </c>
    </row>
    <row r="13" spans="1:9" ht="12.75">
      <c r="A13" s="108"/>
      <c r="B13" s="108"/>
      <c r="C13" s="108"/>
      <c r="D13" s="108"/>
      <c r="E13" s="108"/>
      <c r="F13" s="108"/>
      <c r="G13" s="108"/>
      <c r="H13" s="108"/>
      <c r="I13" s="108"/>
    </row>
    <row r="14" spans="1:9" ht="12.75">
      <c r="A14" s="96" t="s">
        <v>488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>
      <c r="A15" s="108" t="str">
        <f>+A83</f>
        <v>Gross annual revenues from tolls (mil.$)</v>
      </c>
      <c r="B15" s="108"/>
      <c r="C15" s="110">
        <f aca="true" t="shared" si="3" ref="C15:E16">+C83</f>
        <v>0</v>
      </c>
      <c r="D15" s="110">
        <f t="shared" si="3"/>
        <v>135.9437402818736</v>
      </c>
      <c r="E15" s="110">
        <f t="shared" si="3"/>
        <v>126.79711479914039</v>
      </c>
      <c r="F15" s="110"/>
      <c r="G15" s="110">
        <f aca="true" t="shared" si="4" ref="G15:I16">+G83</f>
        <v>106.82735610801127</v>
      </c>
      <c r="H15" s="110">
        <f t="shared" si="4"/>
        <v>101.47745409689497</v>
      </c>
      <c r="I15" s="110">
        <f t="shared" si="4"/>
        <v>273.87242154911496</v>
      </c>
    </row>
    <row r="16" spans="1:9" ht="12.75">
      <c r="A16" s="108" t="str">
        <f>+A84</f>
        <v>Adjusted annual revenues from tolls (mil.$)</v>
      </c>
      <c r="B16" s="108"/>
      <c r="C16" s="110">
        <f t="shared" si="3"/>
        <v>0</v>
      </c>
      <c r="D16" s="110">
        <f t="shared" si="3"/>
        <v>135.9437402818736</v>
      </c>
      <c r="E16" s="110">
        <f t="shared" si="3"/>
        <v>126.79711479914039</v>
      </c>
      <c r="F16" s="110"/>
      <c r="G16" s="110">
        <f t="shared" si="4"/>
        <v>106.82735610801127</v>
      </c>
      <c r="H16" s="110">
        <f t="shared" si="4"/>
        <v>101.47745409689497</v>
      </c>
      <c r="I16" s="110">
        <f t="shared" si="4"/>
        <v>246.48517939420347</v>
      </c>
    </row>
    <row r="17" spans="1:9" ht="12.75">
      <c r="A17" s="108"/>
      <c r="B17" s="108"/>
      <c r="C17" s="110"/>
      <c r="D17" s="110"/>
      <c r="E17" s="110"/>
      <c r="F17" s="110"/>
      <c r="G17" s="110"/>
      <c r="H17" s="110"/>
      <c r="I17" s="110"/>
    </row>
    <row r="18" spans="1:9" ht="12.75">
      <c r="A18" s="53" t="str">
        <f aca="true" t="shared" si="5" ref="A18:A23">+A86</f>
        <v>Yr 2020 highway costs (mil.$):</v>
      </c>
      <c r="B18" s="108"/>
      <c r="C18" s="110"/>
      <c r="D18" s="110"/>
      <c r="E18" s="110"/>
      <c r="F18" s="110"/>
      <c r="G18" s="110"/>
      <c r="H18" s="110"/>
      <c r="I18" s="110"/>
    </row>
    <row r="19" spans="1:9" ht="12.75">
      <c r="A19" s="108" t="str">
        <f t="shared" si="5"/>
        <v>Present value of highway costs</v>
      </c>
      <c r="B19" s="108"/>
      <c r="C19" s="110" t="e">
        <f>+#REF!</f>
        <v>#REF!</v>
      </c>
      <c r="D19" s="110">
        <f>+D87</f>
        <v>1117.9930499999998</v>
      </c>
      <c r="E19" s="110">
        <f>+E87</f>
        <v>1117.9930499999998</v>
      </c>
      <c r="F19" s="110"/>
      <c r="G19" s="110">
        <f>+G87</f>
        <v>1142.8110499999998</v>
      </c>
      <c r="H19" s="110">
        <f>+H87</f>
        <v>1142.8110499999998</v>
      </c>
      <c r="I19" s="110">
        <f>+I87</f>
        <v>882.81105</v>
      </c>
    </row>
    <row r="20" spans="1:9" ht="12.75">
      <c r="A20" s="108" t="str">
        <f t="shared" si="5"/>
        <v>Annual toll operations cost </v>
      </c>
      <c r="B20" s="108"/>
      <c r="C20" s="110">
        <f aca="true" t="shared" si="6" ref="C20:E23">+C88</f>
        <v>1.3752983778276475</v>
      </c>
      <c r="D20" s="110">
        <f t="shared" si="6"/>
        <v>8.0195971982473</v>
      </c>
      <c r="E20" s="110">
        <f t="shared" si="6"/>
        <v>8.004423707864625</v>
      </c>
      <c r="F20" s="110"/>
      <c r="G20" s="110">
        <f aca="true" t="shared" si="7" ref="G20:I23">+G88</f>
        <v>6.3785866052158084</v>
      </c>
      <c r="H20" s="110">
        <f t="shared" si="7"/>
        <v>6.422299532054803</v>
      </c>
      <c r="I20" s="110">
        <f t="shared" si="7"/>
        <v>21.001663168075776</v>
      </c>
    </row>
    <row r="21" spans="1:9" ht="12.75">
      <c r="A21" s="108" t="str">
        <f t="shared" si="5"/>
        <v>Annualized highway facility cost </v>
      </c>
      <c r="B21" s="108"/>
      <c r="C21" s="110">
        <f t="shared" si="6"/>
        <v>65.91933677169796</v>
      </c>
      <c r="D21" s="110">
        <f t="shared" si="6"/>
        <v>90.09533806108468</v>
      </c>
      <c r="E21" s="110">
        <f t="shared" si="6"/>
        <v>90.09533806108468</v>
      </c>
      <c r="F21" s="110"/>
      <c r="G21" s="110">
        <f t="shared" si="7"/>
        <v>92.09533806108468</v>
      </c>
      <c r="H21" s="110">
        <f t="shared" si="7"/>
        <v>92.09533806108468</v>
      </c>
      <c r="I21" s="110">
        <f t="shared" si="7"/>
        <v>71.14280361028285</v>
      </c>
    </row>
    <row r="22" spans="1:9" ht="12.75">
      <c r="A22" s="108" t="str">
        <f t="shared" si="5"/>
        <v>Total annualized highway costs</v>
      </c>
      <c r="B22" s="108"/>
      <c r="C22" s="110">
        <f t="shared" si="6"/>
        <v>67.2946351495256</v>
      </c>
      <c r="D22" s="110">
        <f t="shared" si="6"/>
        <v>98.11493525933197</v>
      </c>
      <c r="E22" s="110">
        <f t="shared" si="6"/>
        <v>98.09976176894929</v>
      </c>
      <c r="F22" s="110"/>
      <c r="G22" s="110">
        <f t="shared" si="7"/>
        <v>98.47392466630049</v>
      </c>
      <c r="H22" s="110">
        <f t="shared" si="7"/>
        <v>98.51763759313948</v>
      </c>
      <c r="I22" s="110">
        <f t="shared" si="7"/>
        <v>92.14446677835863</v>
      </c>
    </row>
    <row r="23" spans="1:9" ht="12.75">
      <c r="A23" s="108" t="str">
        <f t="shared" si="5"/>
        <v>Toll revenue surplus (for highways only) </v>
      </c>
      <c r="B23" s="108"/>
      <c r="C23" s="110">
        <f t="shared" si="6"/>
        <v>-67.2946351495256</v>
      </c>
      <c r="D23" s="110">
        <f t="shared" si="6"/>
        <v>37.82880502254163</v>
      </c>
      <c r="E23" s="110">
        <f t="shared" si="6"/>
        <v>28.697353030191096</v>
      </c>
      <c r="F23" s="110"/>
      <c r="G23" s="110">
        <f t="shared" si="7"/>
        <v>8.353431441710782</v>
      </c>
      <c r="H23" s="110">
        <f t="shared" si="7"/>
        <v>2.9598165037554907</v>
      </c>
      <c r="I23" s="110">
        <f t="shared" si="7"/>
        <v>154.34071261584484</v>
      </c>
    </row>
    <row r="24" spans="1:9" ht="12.75">
      <c r="A24" s="108"/>
      <c r="B24" s="108"/>
      <c r="C24" s="110"/>
      <c r="D24" s="110"/>
      <c r="E24" s="110"/>
      <c r="F24" s="110"/>
      <c r="G24" s="110"/>
      <c r="H24" s="110"/>
      <c r="I24" s="110"/>
    </row>
    <row r="25" spans="1:9" ht="12.75">
      <c r="A25" s="53" t="str">
        <f>+A93</f>
        <v>Yr 2020 other mode costs(mil.$)</v>
      </c>
      <c r="B25" s="108"/>
      <c r="C25" s="110"/>
      <c r="D25" s="110"/>
      <c r="E25" s="110"/>
      <c r="F25" s="110"/>
      <c r="G25" s="110"/>
      <c r="H25" s="110"/>
      <c r="I25" s="110"/>
    </row>
    <row r="26" spans="1:9" ht="12.75">
      <c r="A26" s="108" t="str">
        <f>+A94</f>
        <v>Annual transit subsidy increase (mil.$)</v>
      </c>
      <c r="B26" s="108"/>
      <c r="C26" s="110">
        <f aca="true" t="shared" si="8" ref="C26:E29">+C94</f>
        <v>0</v>
      </c>
      <c r="D26" s="110">
        <f t="shared" si="8"/>
        <v>2.684854986119094</v>
      </c>
      <c r="E26" s="110">
        <f t="shared" si="8"/>
        <v>19.301002312972532</v>
      </c>
      <c r="F26" s="110"/>
      <c r="G26" s="110">
        <f aca="true" t="shared" si="9" ref="G26:I29">+G94</f>
        <v>1.5741294067034572</v>
      </c>
      <c r="H26" s="110">
        <f t="shared" si="9"/>
        <v>16.897428719156647</v>
      </c>
      <c r="I26" s="110">
        <f t="shared" si="9"/>
        <v>18.050348398254673</v>
      </c>
    </row>
    <row r="27" spans="1:9" ht="12.75">
      <c r="A27" s="108" t="str">
        <f>+A95</f>
        <v>Annual cost for low fare service</v>
      </c>
      <c r="B27" s="108"/>
      <c r="C27" s="110">
        <f t="shared" si="8"/>
        <v>0</v>
      </c>
      <c r="D27" s="110">
        <f t="shared" si="8"/>
        <v>0</v>
      </c>
      <c r="E27" s="110">
        <f t="shared" si="8"/>
        <v>0</v>
      </c>
      <c r="F27" s="110"/>
      <c r="G27" s="110">
        <f t="shared" si="9"/>
        <v>0</v>
      </c>
      <c r="H27" s="110">
        <f t="shared" si="9"/>
        <v>0</v>
      </c>
      <c r="I27" s="110">
        <f t="shared" si="9"/>
        <v>7.220139359301871</v>
      </c>
    </row>
    <row r="28" spans="1:9" ht="12.75">
      <c r="A28" s="108" t="str">
        <f>+A96</f>
        <v>Annual park-and-ride facility costs</v>
      </c>
      <c r="B28" s="108"/>
      <c r="C28" s="110">
        <f t="shared" si="8"/>
        <v>0</v>
      </c>
      <c r="D28" s="110">
        <f t="shared" si="8"/>
        <v>0.37339854284987817</v>
      </c>
      <c r="E28" s="110">
        <f t="shared" si="8"/>
        <v>2.684303687337537</v>
      </c>
      <c r="F28" s="110"/>
      <c r="G28" s="110">
        <f t="shared" si="9"/>
        <v>0.2189234166310912</v>
      </c>
      <c r="H28" s="110">
        <f t="shared" si="9"/>
        <v>2.35002459881939</v>
      </c>
      <c r="I28" s="110">
        <f t="shared" si="9"/>
        <v>2.510367906157724</v>
      </c>
    </row>
    <row r="29" spans="1:9" ht="12.75">
      <c r="A29" s="108" t="str">
        <f>+A97</f>
        <v>Total annual other mode costs (mil $)</v>
      </c>
      <c r="B29" s="108"/>
      <c r="C29" s="110">
        <f t="shared" si="8"/>
        <v>0</v>
      </c>
      <c r="D29" s="110">
        <f t="shared" si="8"/>
        <v>3.0582535289689723</v>
      </c>
      <c r="E29" s="110">
        <f t="shared" si="8"/>
        <v>21.985306000310068</v>
      </c>
      <c r="F29" s="110"/>
      <c r="G29" s="110">
        <f t="shared" si="9"/>
        <v>1.7930528233345484</v>
      </c>
      <c r="H29" s="110">
        <f t="shared" si="9"/>
        <v>19.24745331797604</v>
      </c>
      <c r="I29" s="110">
        <f t="shared" si="9"/>
        <v>27.78085566371427</v>
      </c>
    </row>
    <row r="30" spans="1:9" ht="12.75">
      <c r="A30" s="108"/>
      <c r="B30" s="108"/>
      <c r="C30" s="110"/>
      <c r="D30" s="110"/>
      <c r="E30" s="110"/>
      <c r="F30" s="110"/>
      <c r="G30" s="110"/>
      <c r="H30" s="110"/>
      <c r="I30" s="110"/>
    </row>
    <row r="31" spans="1:9" ht="12.75">
      <c r="A31" s="108" t="str">
        <f>+A99</f>
        <v>Annual costs for all modes</v>
      </c>
      <c r="B31" s="108"/>
      <c r="C31" s="110">
        <f aca="true" t="shared" si="10" ref="C31:E32">+C99</f>
        <v>67.2946351495256</v>
      </c>
      <c r="D31" s="110">
        <f t="shared" si="10"/>
        <v>101.17318878830095</v>
      </c>
      <c r="E31" s="110">
        <f t="shared" si="10"/>
        <v>120.08506776925935</v>
      </c>
      <c r="F31" s="110"/>
      <c r="G31" s="110">
        <f aca="true" t="shared" si="11" ref="G31:I32">+G99</f>
        <v>100.26697748963504</v>
      </c>
      <c r="H31" s="110">
        <f t="shared" si="11"/>
        <v>117.76509091111552</v>
      </c>
      <c r="I31" s="110">
        <f t="shared" si="11"/>
        <v>119.92532244207291</v>
      </c>
    </row>
    <row r="32" spans="1:9" ht="12.75">
      <c r="A32" s="108" t="str">
        <f>+A100</f>
        <v>Annual revenue surplus (for hwy/transit package)</v>
      </c>
      <c r="B32" s="108"/>
      <c r="C32" s="110">
        <f t="shared" si="10"/>
        <v>-67.2946351495256</v>
      </c>
      <c r="D32" s="110">
        <f t="shared" si="10"/>
        <v>34.770551493572654</v>
      </c>
      <c r="E32" s="110">
        <f t="shared" si="10"/>
        <v>6.712047029881035</v>
      </c>
      <c r="F32" s="110"/>
      <c r="G32" s="110">
        <f t="shared" si="11"/>
        <v>6.560378618376234</v>
      </c>
      <c r="H32" s="110">
        <f t="shared" si="11"/>
        <v>-16.287636814220548</v>
      </c>
      <c r="I32" s="110">
        <f t="shared" si="11"/>
        <v>126.55985695213056</v>
      </c>
    </row>
    <row r="33" spans="1:9" ht="12.75">
      <c r="A33" s="108"/>
      <c r="B33" s="108"/>
      <c r="C33" s="110"/>
      <c r="D33" s="110"/>
      <c r="E33" s="110"/>
      <c r="F33" s="110"/>
      <c r="G33" s="110"/>
      <c r="H33" s="110"/>
      <c r="I33" s="110"/>
    </row>
    <row r="34" spans="1:9" ht="12.75">
      <c r="A34" s="111" t="s">
        <v>508</v>
      </c>
      <c r="B34" s="108"/>
      <c r="C34" s="110"/>
      <c r="D34" s="110"/>
      <c r="E34" s="110"/>
      <c r="F34" s="110"/>
      <c r="G34" s="110"/>
      <c r="H34" s="110"/>
      <c r="I34" s="110"/>
    </row>
    <row r="35" spans="1:9" ht="12.75">
      <c r="A35" s="11" t="s">
        <v>431</v>
      </c>
      <c r="B35" s="108"/>
      <c r="C35" s="110">
        <f aca="true" t="shared" si="12" ref="C35:E37">+C104</f>
        <v>4018.3975061309247</v>
      </c>
      <c r="D35" s="110">
        <f t="shared" si="12"/>
        <v>4663.551257595823</v>
      </c>
      <c r="E35" s="110">
        <f t="shared" si="12"/>
        <v>5517.60756977024</v>
      </c>
      <c r="F35" s="110"/>
      <c r="G35" s="110">
        <f aca="true" t="shared" si="13" ref="G35:I37">+G104</f>
        <v>4990.905906275705</v>
      </c>
      <c r="H35" s="110">
        <f t="shared" si="13"/>
        <v>5741.9564951762795</v>
      </c>
      <c r="I35" s="110">
        <f t="shared" si="13"/>
        <v>7679.051908196794</v>
      </c>
    </row>
    <row r="36" spans="1:9" ht="12.75">
      <c r="A36" s="11" t="s">
        <v>456</v>
      </c>
      <c r="B36" s="108"/>
      <c r="C36" s="110">
        <f t="shared" si="12"/>
        <v>835.0591275704633</v>
      </c>
      <c r="D36" s="110">
        <f t="shared" si="12"/>
        <v>1255.4580996740265</v>
      </c>
      <c r="E36" s="110">
        <f t="shared" si="12"/>
        <v>1490.1356059487393</v>
      </c>
      <c r="F36" s="110"/>
      <c r="G36" s="110">
        <f t="shared" si="13"/>
        <v>1244.2129236688813</v>
      </c>
      <c r="H36" s="110">
        <f t="shared" si="13"/>
        <v>1461.3470131160325</v>
      </c>
      <c r="I36" s="110">
        <f t="shared" si="13"/>
        <v>1488.1533261836828</v>
      </c>
    </row>
    <row r="37" spans="1:9" ht="12.75">
      <c r="A37" s="11" t="s">
        <v>455</v>
      </c>
      <c r="B37" s="108"/>
      <c r="C37" s="110">
        <f t="shared" si="12"/>
        <v>3183.3383785604615</v>
      </c>
      <c r="D37" s="110">
        <f t="shared" si="12"/>
        <v>3408.0931579217963</v>
      </c>
      <c r="E37" s="110">
        <f t="shared" si="12"/>
        <v>4027.4719638215006</v>
      </c>
      <c r="F37" s="110"/>
      <c r="G37" s="110">
        <f t="shared" si="13"/>
        <v>3746.6929826068235</v>
      </c>
      <c r="H37" s="110">
        <f t="shared" si="13"/>
        <v>4280.609482060247</v>
      </c>
      <c r="I37" s="110">
        <f t="shared" si="13"/>
        <v>6190.898582013111</v>
      </c>
    </row>
    <row r="38" spans="1:9" ht="12.75">
      <c r="A38" s="11"/>
      <c r="B38" s="108"/>
      <c r="C38" s="110"/>
      <c r="D38" s="110"/>
      <c r="E38" s="110"/>
      <c r="F38" s="110"/>
      <c r="G38" s="110"/>
      <c r="H38" s="110"/>
      <c r="I38" s="110"/>
    </row>
    <row r="39" spans="1:9" ht="12.75">
      <c r="A39" s="11" t="s">
        <v>510</v>
      </c>
      <c r="B39" s="108"/>
      <c r="C39" s="110">
        <f aca="true" t="shared" si="14" ref="C39:E40">+C108</f>
        <v>2.5302063093819602</v>
      </c>
      <c r="D39" s="110">
        <f t="shared" si="14"/>
        <v>3.024803961754604</v>
      </c>
      <c r="E39" s="110">
        <f t="shared" si="14"/>
        <v>2.7701471861114304</v>
      </c>
      <c r="F39" s="110"/>
      <c r="G39" s="110">
        <f aca="true" t="shared" si="15" ref="G39:I40">+G108</f>
        <v>2.885130332607526</v>
      </c>
      <c r="H39" s="110">
        <f t="shared" si="15"/>
        <v>2.693050409942721</v>
      </c>
      <c r="I39" s="110">
        <f t="shared" si="15"/>
        <v>0.9519974737801257</v>
      </c>
    </row>
    <row r="40" spans="1:9" ht="12.75">
      <c r="A40" s="108" t="s">
        <v>511</v>
      </c>
      <c r="B40" s="108"/>
      <c r="C40" s="110">
        <f t="shared" si="14"/>
        <v>2.5829948962106477</v>
      </c>
      <c r="D40" s="110">
        <f t="shared" si="14"/>
        <v>3.3967247235668436</v>
      </c>
      <c r="E40" s="110">
        <f t="shared" si="14"/>
        <v>3.6922366876460924</v>
      </c>
      <c r="F40" s="110"/>
      <c r="G40" s="110">
        <f t="shared" si="15"/>
        <v>3.141128576153847</v>
      </c>
      <c r="H40" s="110">
        <f t="shared" si="15"/>
        <v>3.443684914265314</v>
      </c>
      <c r="I40" s="110">
        <f t="shared" si="15"/>
        <v>1.6047807819400963</v>
      </c>
    </row>
    <row r="41" spans="1:9" ht="12.75">
      <c r="A41" s="11"/>
      <c r="B41" s="108"/>
      <c r="C41" s="110"/>
      <c r="D41" s="110"/>
      <c r="E41" s="110"/>
      <c r="F41" s="110"/>
      <c r="G41" s="110"/>
      <c r="H41" s="110"/>
      <c r="I41" s="110"/>
    </row>
    <row r="42" spans="1:9" ht="12.75">
      <c r="A42" s="11" t="s">
        <v>503</v>
      </c>
      <c r="B42" s="108"/>
      <c r="C42" s="110" t="str">
        <f>+C111</f>
        <v>N.A.</v>
      </c>
      <c r="D42" s="110">
        <f>+D111</f>
        <v>8.190319934372422</v>
      </c>
      <c r="E42" s="110">
        <f>+E111</f>
        <v>8.190319934372438</v>
      </c>
      <c r="F42" s="110"/>
      <c r="G42" s="110">
        <f>+G111</f>
        <v>8.190319934372436</v>
      </c>
      <c r="H42" s="110">
        <f>+H111</f>
        <v>8.190319934372438</v>
      </c>
      <c r="I42" s="110">
        <f>+I111</f>
        <v>11.066447908121411</v>
      </c>
    </row>
    <row r="43" spans="1:9" ht="12.75">
      <c r="A43" s="11" t="s">
        <v>502</v>
      </c>
      <c r="B43" s="108"/>
      <c r="C43" s="110">
        <f>+C113</f>
        <v>5.983681922957779</v>
      </c>
      <c r="D43" s="110">
        <f>+D113</f>
        <v>36.56923968263682</v>
      </c>
      <c r="E43" s="110">
        <f>+E113</f>
        <v>28.913954899155467</v>
      </c>
      <c r="F43" s="110"/>
      <c r="G43" s="110">
        <f>+G113</f>
        <v>27.684112460299378</v>
      </c>
      <c r="H43" s="110">
        <f>+H113</f>
        <v>23.63837407920163</v>
      </c>
      <c r="I43" s="110">
        <f>+I113</f>
        <v>1802.5768392998318</v>
      </c>
    </row>
    <row r="45" spans="1:9" ht="12.75">
      <c r="A45" s="94" t="s">
        <v>586</v>
      </c>
      <c r="B45" s="95"/>
      <c r="C45" s="95"/>
      <c r="D45" s="95"/>
      <c r="E45" s="95"/>
      <c r="F45" s="95"/>
      <c r="G45" s="95"/>
      <c r="H45" s="95"/>
      <c r="I45" s="95"/>
    </row>
    <row r="46" spans="1:9" ht="12.75">
      <c r="A46" s="95"/>
      <c r="B46" s="95"/>
      <c r="C46" s="5" t="str">
        <f>+'Sensitivity Anal'!B15</f>
        <v>No 1</v>
      </c>
      <c r="D46" s="5" t="str">
        <f>+'Sensitivity Anal'!C15</f>
        <v>No 2</v>
      </c>
      <c r="E46" s="5" t="str">
        <f>+'Sensitivity Anal'!D15</f>
        <v>No 3</v>
      </c>
      <c r="F46" s="5"/>
      <c r="G46" s="5" t="str">
        <f>+'Sensitivity Anal'!F15</f>
        <v>No 4</v>
      </c>
      <c r="H46" s="5" t="str">
        <f>+'Sensitivity Anal'!G15</f>
        <v>No 5</v>
      </c>
      <c r="I46" s="5" t="str">
        <f>+'Sensitivity Anal'!H15</f>
        <v>No 6</v>
      </c>
    </row>
    <row r="47" spans="1:9" ht="12.75">
      <c r="A47" s="95"/>
      <c r="B47" s="128" t="s">
        <v>1</v>
      </c>
      <c r="C47" s="122" t="str">
        <f>+'Sensitivity Anal'!B16</f>
        <v>10 GP Ln</v>
      </c>
      <c r="D47" s="122" t="str">
        <f>+'Sensitivity Anal'!C16</f>
        <v>4 ET+EB</v>
      </c>
      <c r="E47" s="122" t="str">
        <f>+'Sensitivity Anal'!D16</f>
        <v>4 ET+BRT</v>
      </c>
      <c r="F47" s="122"/>
      <c r="G47" s="122" t="str">
        <f>+'Sensitivity Anal'!F16</f>
        <v>4 HOT+EB</v>
      </c>
      <c r="H47" s="122" t="str">
        <f>+'Sensitivity Anal'!G16</f>
        <v>4 HOT+BRT</v>
      </c>
      <c r="I47" s="122" t="str">
        <f>+'Sensitivity Anal'!H16</f>
        <v>10 H + BRT</v>
      </c>
    </row>
    <row r="48" spans="1:9" ht="12.75">
      <c r="A48" s="96"/>
      <c r="B48" s="95"/>
      <c r="C48" s="96"/>
      <c r="D48" s="96"/>
      <c r="E48" s="96"/>
      <c r="F48" s="95"/>
      <c r="G48" s="96"/>
      <c r="H48" s="96"/>
      <c r="I48" s="96"/>
    </row>
    <row r="49" spans="1:9" ht="12.75">
      <c r="A49" s="97" t="s">
        <v>484</v>
      </c>
      <c r="B49" s="95"/>
      <c r="C49" s="96"/>
      <c r="D49" s="96"/>
      <c r="E49" s="96"/>
      <c r="F49" s="95"/>
      <c r="G49" s="96"/>
      <c r="H49" s="96"/>
      <c r="I49" s="96"/>
    </row>
    <row r="50" spans="1:9" ht="12.75">
      <c r="A50" s="95" t="s">
        <v>446</v>
      </c>
      <c r="B50" s="98">
        <f aca="true" t="shared" si="16" ref="B50:E52">+B127</f>
        <v>445000</v>
      </c>
      <c r="C50" s="98">
        <f t="shared" si="16"/>
        <v>468169.35957690736</v>
      </c>
      <c r="D50" s="98">
        <f t="shared" si="16"/>
        <v>450236.96351856523</v>
      </c>
      <c r="E50" s="98">
        <f t="shared" si="16"/>
        <v>451687.3837344525</v>
      </c>
      <c r="F50" s="98"/>
      <c r="G50" s="98">
        <f aca="true" t="shared" si="17" ref="G50:I52">+G127</f>
        <v>452023.75729043304</v>
      </c>
      <c r="H50" s="98">
        <f t="shared" si="17"/>
        <v>453277.45208276535</v>
      </c>
      <c r="I50" s="98">
        <f t="shared" si="17"/>
        <v>444886.91672654275</v>
      </c>
    </row>
    <row r="51" spans="1:9" ht="12.75">
      <c r="A51" s="95" t="s">
        <v>447</v>
      </c>
      <c r="B51" s="98">
        <f t="shared" si="16"/>
        <v>460000</v>
      </c>
      <c r="C51" s="98">
        <f t="shared" si="16"/>
        <v>483148.18757122755</v>
      </c>
      <c r="D51" s="98">
        <f t="shared" si="16"/>
        <v>464720.62569376826</v>
      </c>
      <c r="E51" s="98">
        <f t="shared" si="16"/>
        <v>466143.55217982683</v>
      </c>
      <c r="F51" s="98"/>
      <c r="G51" s="98">
        <f t="shared" si="17"/>
        <v>466474.15720771276</v>
      </c>
      <c r="H51" s="98">
        <f t="shared" si="17"/>
        <v>467708.67646682094</v>
      </c>
      <c r="I51" s="98">
        <f t="shared" si="17"/>
        <v>459227.0460140578</v>
      </c>
    </row>
    <row r="52" spans="1:9" ht="12.75">
      <c r="A52" s="95" t="s">
        <v>448</v>
      </c>
      <c r="B52" s="98">
        <f t="shared" si="16"/>
        <v>400000</v>
      </c>
      <c r="C52" s="98">
        <f t="shared" si="16"/>
        <v>420488.1998126412</v>
      </c>
      <c r="D52" s="98">
        <f t="shared" si="16"/>
        <v>406372.641590168</v>
      </c>
      <c r="E52" s="98">
        <f t="shared" si="16"/>
        <v>407732.9837827209</v>
      </c>
      <c r="F52" s="98"/>
      <c r="G52" s="98">
        <f t="shared" si="17"/>
        <v>408044.69227904844</v>
      </c>
      <c r="H52" s="98">
        <f t="shared" si="17"/>
        <v>409191.76973357296</v>
      </c>
      <c r="I52" s="98">
        <f t="shared" si="17"/>
        <v>401540.0402016443</v>
      </c>
    </row>
    <row r="53" spans="1:9" ht="12.75">
      <c r="A53" s="95"/>
      <c r="B53" s="98"/>
      <c r="C53" s="98"/>
      <c r="D53" s="98"/>
      <c r="E53" s="98"/>
      <c r="F53" s="98"/>
      <c r="G53" s="98"/>
      <c r="H53" s="98"/>
      <c r="I53" s="98"/>
    </row>
    <row r="54" spans="1:9" ht="12.75">
      <c r="A54" s="99" t="s">
        <v>485</v>
      </c>
      <c r="B54" s="98"/>
      <c r="C54" s="98"/>
      <c r="D54" s="98"/>
      <c r="E54" s="98"/>
      <c r="F54" s="98"/>
      <c r="G54" s="98"/>
      <c r="H54" s="98"/>
      <c r="I54" s="98"/>
    </row>
    <row r="55" spans="1:9" ht="12.75">
      <c r="A55" s="95" t="s">
        <v>446</v>
      </c>
      <c r="B55" s="98">
        <f aca="true" t="shared" si="18" ref="B55:E56">+B141</f>
        <v>280299.0272727273</v>
      </c>
      <c r="C55" s="98">
        <f t="shared" si="18"/>
        <v>312210.4004655184</v>
      </c>
      <c r="D55" s="98">
        <f t="shared" si="18"/>
        <v>288764.9971273873</v>
      </c>
      <c r="E55" s="98">
        <f t="shared" si="18"/>
        <v>285493.6442643659</v>
      </c>
      <c r="F55" s="98"/>
      <c r="G55" s="98">
        <f aca="true" t="shared" si="19" ref="G55:I56">+G141</f>
        <v>284760.9645484183</v>
      </c>
      <c r="H55" s="98">
        <f t="shared" si="19"/>
        <v>282116.99978665105</v>
      </c>
      <c r="I55" s="98">
        <f t="shared" si="19"/>
        <v>269465.2499091835</v>
      </c>
    </row>
    <row r="56" spans="1:9" ht="12.75">
      <c r="A56" s="95" t="s">
        <v>447</v>
      </c>
      <c r="B56" s="98">
        <f t="shared" si="18"/>
        <v>289747.3090909091</v>
      </c>
      <c r="C56" s="98">
        <f t="shared" si="18"/>
        <v>321928.64593612775</v>
      </c>
      <c r="D56" s="98">
        <f t="shared" si="18"/>
        <v>297460.77636374155</v>
      </c>
      <c r="E56" s="98">
        <f t="shared" si="18"/>
        <v>294001.62853781466</v>
      </c>
      <c r="F56" s="98"/>
      <c r="G56" s="98">
        <f t="shared" si="19"/>
        <v>293226.9193757547</v>
      </c>
      <c r="H56" s="98">
        <f t="shared" si="19"/>
        <v>290431.6790433022</v>
      </c>
      <c r="I56" s="98">
        <f t="shared" si="19"/>
        <v>267546.1010297177</v>
      </c>
    </row>
    <row r="57" spans="1:9" ht="12.75">
      <c r="A57" s="95" t="s">
        <v>448</v>
      </c>
      <c r="B57" s="98">
        <f aca="true" t="shared" si="20" ref="B57:I57">+B143</f>
        <v>251954.1818181818</v>
      </c>
      <c r="C57" s="98">
        <f t="shared" si="20"/>
        <v>280306.30880099075</v>
      </c>
      <c r="D57" s="98">
        <f t="shared" si="20"/>
        <v>262263.37812637497</v>
      </c>
      <c r="E57" s="98">
        <f t="shared" si="20"/>
        <v>259381.57945406914</v>
      </c>
      <c r="F57" s="98"/>
      <c r="G57" s="98">
        <f t="shared" si="20"/>
        <v>258732.75199161528</v>
      </c>
      <c r="H57" s="98">
        <f t="shared" si="20"/>
        <v>256377.57825052668</v>
      </c>
      <c r="I57" s="98">
        <f t="shared" si="20"/>
        <v>275222.69654758065</v>
      </c>
    </row>
    <row r="59" spans="1:9" ht="12.75">
      <c r="A59" s="100" t="s">
        <v>506</v>
      </c>
      <c r="B59" s="95"/>
      <c r="C59" s="98">
        <f>+C138</f>
        <v>0</v>
      </c>
      <c r="D59" s="98">
        <f aca="true" t="shared" si="21" ref="D59:I59">+D138</f>
        <v>-357.9806648158701</v>
      </c>
      <c r="E59" s="98">
        <f t="shared" si="21"/>
        <v>-2573.4669750629982</v>
      </c>
      <c r="F59" s="98"/>
      <c r="G59" s="98">
        <f t="shared" si="21"/>
        <v>26867.50032964941</v>
      </c>
      <c r="H59" s="98">
        <f t="shared" si="21"/>
        <v>22808.178306771108</v>
      </c>
      <c r="I59" s="98">
        <f t="shared" si="21"/>
        <v>6672.044095669698</v>
      </c>
    </row>
    <row r="61" spans="1:9" ht="12.75">
      <c r="A61" s="99" t="s">
        <v>487</v>
      </c>
      <c r="B61" s="95"/>
      <c r="C61" s="95"/>
      <c r="D61" s="95"/>
      <c r="E61" s="95"/>
      <c r="F61" s="95"/>
      <c r="G61" s="95"/>
      <c r="H61" s="95"/>
      <c r="I61" s="95"/>
    </row>
    <row r="62" spans="1:9" ht="12.75">
      <c r="A62" s="95" t="s">
        <v>446</v>
      </c>
      <c r="B62" s="98">
        <f>+'mode ch'!B13</f>
        <v>8900</v>
      </c>
      <c r="C62" s="98">
        <f>+'mode ch'!B91</f>
        <v>8900</v>
      </c>
      <c r="D62" s="98">
        <f>+'mode ch'!C91</f>
        <v>9990.483029159608</v>
      </c>
      <c r="E62" s="98">
        <f>+'mode ch'!D91</f>
        <v>16739.311835046457</v>
      </c>
      <c r="F62" s="95"/>
      <c r="G62" s="98">
        <f>+'mode ch'!E91</f>
        <v>9539.349764730669</v>
      </c>
      <c r="H62" s="98">
        <f>+'mode ch'!F91</f>
        <v>15763.074300079596</v>
      </c>
      <c r="I62" s="98">
        <f>+'mode ch'!G91</f>
        <v>16231.345156621408</v>
      </c>
    </row>
    <row r="63" spans="1:9" ht="12.75">
      <c r="A63" s="95" t="s">
        <v>447</v>
      </c>
      <c r="B63" s="98">
        <f>+'mode ch'!P13</f>
        <v>9200</v>
      </c>
      <c r="C63" s="98">
        <f>+'mode ch'!P91</f>
        <v>9200</v>
      </c>
      <c r="D63" s="98">
        <f>+'mode ch'!Q91</f>
        <v>10327.240884075101</v>
      </c>
      <c r="E63" s="98">
        <f>+'mode ch'!R91</f>
        <v>17303.55830139634</v>
      </c>
      <c r="F63" s="95"/>
      <c r="G63" s="98">
        <f>+'mode ch'!S91</f>
        <v>9860.900880395748</v>
      </c>
      <c r="H63" s="98">
        <f>+'mode ch'!T91</f>
        <v>16294.413883228346</v>
      </c>
      <c r="I63" s="98">
        <f>+'mode ch'!U91</f>
        <v>16778.469150664827</v>
      </c>
    </row>
    <row r="64" spans="1:9" ht="12.75">
      <c r="A64" s="95" t="s">
        <v>448</v>
      </c>
      <c r="B64" s="98">
        <f>+'mode ch'!AD13</f>
        <v>8000</v>
      </c>
      <c r="C64" s="98">
        <f>+'mode ch'!AD91</f>
        <v>8000</v>
      </c>
      <c r="D64" s="98">
        <f>+'mode ch'!AE91</f>
        <v>8980.209464413134</v>
      </c>
      <c r="E64" s="98">
        <f>+'mode ch'!AF91</f>
        <v>15046.572435996819</v>
      </c>
      <c r="F64" s="95"/>
      <c r="G64" s="98">
        <f>+'mode ch'!AG91</f>
        <v>8574.696417735431</v>
      </c>
      <c r="H64" s="98">
        <f>+'mode ch'!AH91</f>
        <v>14169.055550633344</v>
      </c>
      <c r="I64" s="98">
        <f>+'mode ch'!AI91</f>
        <v>14589.973174491153</v>
      </c>
    </row>
    <row r="65" spans="1:9" ht="12.75">
      <c r="A65" s="95" t="s">
        <v>496</v>
      </c>
      <c r="B65" s="98">
        <f>+(B62*3+B63*6+B64*5)/10</f>
        <v>12190</v>
      </c>
      <c r="C65" s="98">
        <f aca="true" t="shared" si="22" ref="C65:I65">+(C62*3+C63*6+C64*5)/10</f>
        <v>12190</v>
      </c>
      <c r="D65" s="98">
        <f t="shared" si="22"/>
        <v>13683.594171399513</v>
      </c>
      <c r="E65" s="98">
        <f t="shared" si="22"/>
        <v>22927.214749350147</v>
      </c>
      <c r="F65" s="98"/>
      <c r="G65" s="98">
        <f t="shared" si="22"/>
        <v>13065.693666524365</v>
      </c>
      <c r="H65" s="98">
        <f t="shared" si="22"/>
        <v>21590.09839527756</v>
      </c>
      <c r="I65" s="98">
        <f t="shared" si="22"/>
        <v>22231.471624630896</v>
      </c>
    </row>
    <row r="66" spans="1:9" ht="12.75">
      <c r="A66" s="95" t="s">
        <v>524</v>
      </c>
      <c r="B66" s="98"/>
      <c r="C66" s="98">
        <f>+C65-B65</f>
        <v>0</v>
      </c>
      <c r="D66" s="98">
        <f>+D65-B65</f>
        <v>1493.5941713995126</v>
      </c>
      <c r="E66" s="98">
        <f>+E65-B65</f>
        <v>10737.214749350147</v>
      </c>
      <c r="F66" s="98"/>
      <c r="G66" s="98">
        <f>+G65-B65</f>
        <v>875.6936665243647</v>
      </c>
      <c r="H66" s="98">
        <f>+H65-B65</f>
        <v>9400.09839527756</v>
      </c>
      <c r="I66" s="98">
        <f>+I65-B65</f>
        <v>10041.471624630896</v>
      </c>
    </row>
    <row r="67" spans="1:9" ht="12.75">
      <c r="A67" s="95"/>
      <c r="B67" s="98"/>
      <c r="C67" s="98"/>
      <c r="D67" s="98"/>
      <c r="E67" s="98"/>
      <c r="F67" s="98"/>
      <c r="G67" s="98"/>
      <c r="H67" s="98"/>
      <c r="I67" s="98"/>
    </row>
    <row r="68" spans="1:9" ht="12.75">
      <c r="A68" s="97" t="s">
        <v>522</v>
      </c>
      <c r="B68" s="98"/>
      <c r="C68" s="98"/>
      <c r="D68" s="98"/>
      <c r="E68" s="98"/>
      <c r="F68" s="98"/>
      <c r="G68" s="98"/>
      <c r="H68" s="98"/>
      <c r="I68" s="98"/>
    </row>
    <row r="69" spans="1:9" ht="12.75">
      <c r="A69" s="95" t="s">
        <v>525</v>
      </c>
      <c r="B69" s="98"/>
      <c r="C69" s="98">
        <f>+Inputs!B26</f>
        <v>-6.9</v>
      </c>
      <c r="D69" s="98">
        <f>+Inputs!C26</f>
        <v>-15</v>
      </c>
      <c r="E69" s="98">
        <f>+Inputs!D26</f>
        <v>-30</v>
      </c>
      <c r="F69" s="98"/>
      <c r="G69" s="98">
        <f>+Inputs!E26</f>
        <v>-15</v>
      </c>
      <c r="H69" s="98">
        <f>+Inputs!F26</f>
        <v>-30</v>
      </c>
      <c r="I69" s="98">
        <f>+Inputs!G26</f>
        <v>-30</v>
      </c>
    </row>
    <row r="70" spans="1:9" ht="12.75">
      <c r="A70" s="95" t="s">
        <v>526</v>
      </c>
      <c r="B70" s="98"/>
      <c r="C70" s="98">
        <f>+Inputs!B31</f>
        <v>0</v>
      </c>
      <c r="D70" s="98">
        <f>+Inputs!C31</f>
        <v>0</v>
      </c>
      <c r="E70" s="98">
        <f>+Inputs!D31</f>
        <v>-5</v>
      </c>
      <c r="F70" s="98"/>
      <c r="G70" s="98">
        <f>+Inputs!E31</f>
        <v>0</v>
      </c>
      <c r="H70" s="98">
        <f>+Inputs!F31</f>
        <v>-5</v>
      </c>
      <c r="I70" s="98">
        <f>+Inputs!G31</f>
        <v>-5</v>
      </c>
    </row>
    <row r="71" spans="1:9" ht="12.75">
      <c r="A71" s="95" t="s">
        <v>527</v>
      </c>
      <c r="B71" s="98"/>
      <c r="C71" s="105">
        <f>+Inputs!B36*2/100</f>
        <v>0</v>
      </c>
      <c r="D71" s="105">
        <f>+Inputs!C36*2/100</f>
        <v>0</v>
      </c>
      <c r="E71" s="105">
        <f>+Inputs!D36*2/100</f>
        <v>0</v>
      </c>
      <c r="F71" s="105"/>
      <c r="G71" s="105">
        <f>+Inputs!E36*2/100</f>
        <v>0</v>
      </c>
      <c r="H71" s="105">
        <f>+Inputs!F36*2/100</f>
        <v>0</v>
      </c>
      <c r="I71" s="105">
        <f>+Inputs!G36*2/100</f>
        <v>-2</v>
      </c>
    </row>
    <row r="72" spans="1:9" ht="12.75">
      <c r="A72" s="95" t="s">
        <v>528</v>
      </c>
      <c r="B72" s="98"/>
      <c r="C72" s="105">
        <f>+C69/60*'Sensitivity Anal'!B5+C70/60*2*'Sensitivity Anal'!B5+C71</f>
        <v>-1.0350000000000001</v>
      </c>
      <c r="D72" s="105">
        <f>+(D69/60*'Sensitivity Anal'!B5)+D70/60*2*'Sensitivity Anal'!B5+D71</f>
        <v>-2.25</v>
      </c>
      <c r="E72" s="105">
        <f>+(E69/60*'Sensitivity Anal'!B5)+E70/60*2*'Sensitivity Anal'!B5+E71</f>
        <v>-6</v>
      </c>
      <c r="F72" s="105"/>
      <c r="G72" s="105">
        <f>+(G69/60*'Sensitivity Anal'!B5)+G70/60*2*'Sensitivity Anal'!B5+G71</f>
        <v>-2.25</v>
      </c>
      <c r="H72" s="105">
        <f>+(H69/60*'Sensitivity Anal'!B5)+H70/60*2*'Sensitivity Anal'!B5+H71</f>
        <v>-6</v>
      </c>
      <c r="I72" s="105">
        <f>+(I69/60*'Sensitivity Anal'!B5)+I70/60*2*'Sensitivity Anal'!B5+I71</f>
        <v>-8</v>
      </c>
    </row>
    <row r="73" spans="1:9" ht="12.75">
      <c r="A73" s="95" t="s">
        <v>529</v>
      </c>
      <c r="B73" s="98"/>
      <c r="C73" s="101">
        <f>-(C65*C72+C66*C72*0.5)</f>
        <v>12616.650000000001</v>
      </c>
      <c r="D73" s="101">
        <f>-(D65*D72+D66*D72*0.5)</f>
        <v>32468.380328473355</v>
      </c>
      <c r="E73" s="101">
        <f>-(E65*E72+E66*E72*0.5)</f>
        <v>169774.9327441513</v>
      </c>
      <c r="F73" s="101"/>
      <c r="G73" s="101">
        <f>-(G65*G72+G66*G72*0.5)</f>
        <v>30382.96612451973</v>
      </c>
      <c r="H73" s="101">
        <f>-(H65*H72+H66*H72*0.5)</f>
        <v>157740.88555749806</v>
      </c>
      <c r="I73" s="101">
        <f>-(I65*I72+I66*I72*0.5)</f>
        <v>218017.65949557076</v>
      </c>
    </row>
    <row r="74" spans="1:9" ht="12.75">
      <c r="A74" s="95" t="s">
        <v>530</v>
      </c>
      <c r="B74" s="98"/>
      <c r="C74" s="105">
        <f>+C73*'Tables 2-7'!D165/1000000</f>
        <v>3.1541625000000004</v>
      </c>
      <c r="D74" s="105">
        <f>+D73*'Tables 2-7'!D165/1000000</f>
        <v>8.11709508211834</v>
      </c>
      <c r="E74" s="105">
        <f>+E73*'Tables 2-7'!D165/1000000</f>
        <v>42.443733186037825</v>
      </c>
      <c r="F74" s="105"/>
      <c r="G74" s="105">
        <f>+G73*'Tables 2-7'!D165/1000000</f>
        <v>7.595741531129933</v>
      </c>
      <c r="H74" s="105">
        <f>+H73*'Tables 2-7'!D165/1000000</f>
        <v>39.43522138937452</v>
      </c>
      <c r="I74" s="105">
        <f>+I73*'Tables 2-7'!D165/1000000</f>
        <v>54.504414873892685</v>
      </c>
    </row>
    <row r="75" spans="1:9" ht="12.75">
      <c r="A75" s="95"/>
      <c r="B75" s="98"/>
      <c r="C75" s="98"/>
      <c r="D75" s="98"/>
      <c r="E75" s="98"/>
      <c r="F75" s="98"/>
      <c r="G75" s="98"/>
      <c r="H75" s="98"/>
      <c r="I75" s="98"/>
    </row>
    <row r="76" spans="1:9" ht="12.75">
      <c r="A76" s="100" t="s">
        <v>486</v>
      </c>
      <c r="B76" s="95"/>
      <c r="C76" s="132">
        <f>+C155</f>
        <v>104211.79731829808</v>
      </c>
      <c r="D76" s="132">
        <f aca="true" t="shared" si="23" ref="D76:I76">+D155</f>
        <v>119142.0524440505</v>
      </c>
      <c r="E76" s="132">
        <f t="shared" si="23"/>
        <v>130094.65852614887</v>
      </c>
      <c r="F76" s="132"/>
      <c r="G76" s="132">
        <f t="shared" si="23"/>
        <v>127682.74212118611</v>
      </c>
      <c r="H76" s="132">
        <f t="shared" si="23"/>
        <v>136789.6237234467</v>
      </c>
      <c r="I76" s="132">
        <f t="shared" si="23"/>
        <v>298920.1361125211</v>
      </c>
    </row>
    <row r="77" ht="12.75">
      <c r="A77" s="94" t="s">
        <v>587</v>
      </c>
    </row>
    <row r="79" spans="2:9" ht="12.75">
      <c r="B79" s="95"/>
      <c r="C79" s="5" t="s">
        <v>21</v>
      </c>
      <c r="D79" s="5" t="s">
        <v>43</v>
      </c>
      <c r="E79" s="5" t="s">
        <v>44</v>
      </c>
      <c r="F79" s="5"/>
      <c r="G79" s="5" t="s">
        <v>46</v>
      </c>
      <c r="H79" s="5" t="s">
        <v>47</v>
      </c>
      <c r="I79" s="5" t="s">
        <v>48</v>
      </c>
    </row>
    <row r="80" spans="2:9" ht="12.75">
      <c r="B80" s="128" t="s">
        <v>1</v>
      </c>
      <c r="C80" s="122" t="s">
        <v>553</v>
      </c>
      <c r="D80" s="122" t="s">
        <v>554</v>
      </c>
      <c r="E80" s="122" t="s">
        <v>558</v>
      </c>
      <c r="F80" s="122"/>
      <c r="G80" s="122" t="s">
        <v>555</v>
      </c>
      <c r="H80" s="122" t="s">
        <v>557</v>
      </c>
      <c r="I80" s="122" t="s">
        <v>556</v>
      </c>
    </row>
    <row r="81" spans="1:9" ht="12.75">
      <c r="A81" s="96"/>
      <c r="B81" s="95"/>
      <c r="C81" s="95"/>
      <c r="D81" s="95"/>
      <c r="E81" s="95"/>
      <c r="F81" s="95"/>
      <c r="G81" s="95"/>
      <c r="H81" s="95"/>
      <c r="I81" s="95"/>
    </row>
    <row r="82" spans="1:9" ht="12.75">
      <c r="A82" s="96"/>
      <c r="B82" s="95"/>
      <c r="C82" s="95"/>
      <c r="D82" s="95"/>
      <c r="E82" s="95"/>
      <c r="F82" s="95"/>
      <c r="G82" s="95"/>
      <c r="H82" s="95"/>
      <c r="I82" s="95"/>
    </row>
    <row r="83" spans="1:9" ht="12.75">
      <c r="A83" s="100" t="s">
        <v>460</v>
      </c>
      <c r="B83" s="101">
        <v>0</v>
      </c>
      <c r="C83" s="102">
        <f>+C162</f>
        <v>0</v>
      </c>
      <c r="D83" s="102">
        <f aca="true" t="shared" si="24" ref="D83:I83">+D162</f>
        <v>135.9437402818736</v>
      </c>
      <c r="E83" s="102">
        <f t="shared" si="24"/>
        <v>126.79711479914039</v>
      </c>
      <c r="F83" s="102"/>
      <c r="G83" s="102">
        <f t="shared" si="24"/>
        <v>106.82735610801127</v>
      </c>
      <c r="H83" s="102">
        <f t="shared" si="24"/>
        <v>101.47745409689497</v>
      </c>
      <c r="I83" s="102">
        <f t="shared" si="24"/>
        <v>273.87242154911496</v>
      </c>
    </row>
    <row r="84" spans="1:9" ht="12.75">
      <c r="A84" s="100" t="s">
        <v>516</v>
      </c>
      <c r="B84" s="101">
        <f>+B83*1</f>
        <v>0</v>
      </c>
      <c r="C84" s="101">
        <f>+C83*1</f>
        <v>0</v>
      </c>
      <c r="D84" s="101">
        <f>+D83*1</f>
        <v>135.9437402818736</v>
      </c>
      <c r="E84" s="101">
        <f>+E83*1</f>
        <v>126.79711479914039</v>
      </c>
      <c r="F84" s="101"/>
      <c r="G84" s="101">
        <f>+G83*1</f>
        <v>106.82735610801127</v>
      </c>
      <c r="H84" s="101">
        <f>+H83*1</f>
        <v>101.47745409689497</v>
      </c>
      <c r="I84" s="101">
        <f>+I83*0.9</f>
        <v>246.48517939420347</v>
      </c>
    </row>
    <row r="85" spans="1:9" ht="12.75">
      <c r="A85" s="100"/>
      <c r="B85" s="101"/>
      <c r="C85" s="101"/>
      <c r="D85" s="101"/>
      <c r="E85" s="101"/>
      <c r="F85" s="101"/>
      <c r="G85" s="101"/>
      <c r="H85" s="101"/>
      <c r="I85" s="101"/>
    </row>
    <row r="86" spans="1:9" ht="12.75">
      <c r="A86" s="97" t="s">
        <v>634</v>
      </c>
      <c r="B86" s="95"/>
      <c r="C86" s="95"/>
      <c r="D86" s="95"/>
      <c r="E86" s="95"/>
      <c r="F86" s="95"/>
      <c r="G86" s="95"/>
      <c r="H86" s="95"/>
      <c r="I86" s="95"/>
    </row>
    <row r="87" spans="1:9" ht="12.75">
      <c r="A87" s="180" t="s">
        <v>622</v>
      </c>
      <c r="B87" s="103"/>
      <c r="C87" s="181">
        <f>+Inputs!B63+Inputs!P63+Inputs!AD63</f>
        <v>817.9930499999999</v>
      </c>
      <c r="D87" s="181">
        <f>+Inputs!C63+Inputs!Q63+Inputs!AE63</f>
        <v>1117.9930499999998</v>
      </c>
      <c r="E87" s="181">
        <f>+Inputs!D63+Inputs!R63+Inputs!AF63</f>
        <v>1117.9930499999998</v>
      </c>
      <c r="F87" s="182"/>
      <c r="G87" s="181">
        <f>+Inputs!E63+Inputs!S63+Inputs!AG63</f>
        <v>1142.8110499999998</v>
      </c>
      <c r="H87" s="181">
        <f>+Inputs!F63+Inputs!T63+Inputs!AH63</f>
        <v>1142.8110499999998</v>
      </c>
      <c r="I87" s="181">
        <f>+Inputs!G63+Inputs!U63+Inputs!AI63</f>
        <v>882.81105</v>
      </c>
    </row>
    <row r="88" spans="1:9" ht="12.75">
      <c r="A88" s="100" t="s">
        <v>635</v>
      </c>
      <c r="B88" s="95"/>
      <c r="C88" s="105">
        <f>+C169</f>
        <v>1.3752983778276475</v>
      </c>
      <c r="D88" s="105">
        <f aca="true" t="shared" si="25" ref="D88:I88">+D169</f>
        <v>8.0195971982473</v>
      </c>
      <c r="E88" s="105">
        <f t="shared" si="25"/>
        <v>8.004423707864625</v>
      </c>
      <c r="F88" s="105"/>
      <c r="G88" s="105">
        <f t="shared" si="25"/>
        <v>6.3785866052158084</v>
      </c>
      <c r="H88" s="105">
        <f t="shared" si="25"/>
        <v>6.422299532054803</v>
      </c>
      <c r="I88" s="105">
        <f t="shared" si="25"/>
        <v>21.001663168075776</v>
      </c>
    </row>
    <row r="89" spans="1:9" ht="12.75">
      <c r="A89" s="100" t="s">
        <v>636</v>
      </c>
      <c r="B89" s="95"/>
      <c r="C89" s="138">
        <f>+C87/Inputs!B61</f>
        <v>65.91933677169796</v>
      </c>
      <c r="D89" s="138">
        <f>+D87/Inputs!C61</f>
        <v>90.09533806108468</v>
      </c>
      <c r="E89" s="138">
        <f>+E87/Inputs!D61</f>
        <v>90.09533806108468</v>
      </c>
      <c r="F89" s="138"/>
      <c r="G89" s="138">
        <f>+G87/Inputs!E61</f>
        <v>92.09533806108468</v>
      </c>
      <c r="H89" s="138">
        <f>+H87/Inputs!F61</f>
        <v>92.09533806108468</v>
      </c>
      <c r="I89" s="138">
        <f>+I87/Inputs!G61</f>
        <v>71.14280361028285</v>
      </c>
    </row>
    <row r="90" spans="1:9" ht="12.75">
      <c r="A90" s="100" t="s">
        <v>624</v>
      </c>
      <c r="B90" s="95"/>
      <c r="C90" s="105">
        <f>+C88+C89</f>
        <v>67.2946351495256</v>
      </c>
      <c r="D90" s="105">
        <f>+D88+D89</f>
        <v>98.11493525933197</v>
      </c>
      <c r="E90" s="105">
        <f>+E88+E89</f>
        <v>98.09976176894929</v>
      </c>
      <c r="F90" s="105"/>
      <c r="G90" s="105">
        <f>+G88+G89</f>
        <v>98.47392466630049</v>
      </c>
      <c r="H90" s="105">
        <f>+H88+H89</f>
        <v>98.51763759313948</v>
      </c>
      <c r="I90" s="105">
        <f>+I88+I89</f>
        <v>92.14446677835863</v>
      </c>
    </row>
    <row r="91" spans="1:9" ht="12.75">
      <c r="A91" s="100" t="s">
        <v>600</v>
      </c>
      <c r="B91" s="95"/>
      <c r="C91" s="105">
        <f>+C84-C90</f>
        <v>-67.2946351495256</v>
      </c>
      <c r="D91" s="105">
        <f>+D84-D90</f>
        <v>37.82880502254163</v>
      </c>
      <c r="E91" s="105">
        <f>+E84-E90</f>
        <v>28.697353030191096</v>
      </c>
      <c r="F91" s="105"/>
      <c r="G91" s="105">
        <f>+G84-G90</f>
        <v>8.353431441710782</v>
      </c>
      <c r="H91" s="105">
        <f>+H84-H90</f>
        <v>2.9598165037554907</v>
      </c>
      <c r="I91" s="105">
        <f>+I84-I90</f>
        <v>154.34071261584484</v>
      </c>
    </row>
    <row r="92" spans="1:9" ht="12.75">
      <c r="A92" s="100"/>
      <c r="B92" s="95"/>
      <c r="C92" s="107"/>
      <c r="D92" s="107"/>
      <c r="E92" s="107"/>
      <c r="F92" s="107"/>
      <c r="G92" s="107"/>
      <c r="H92" s="107"/>
      <c r="I92" s="107"/>
    </row>
    <row r="93" spans="1:9" ht="12.75">
      <c r="A93" s="99" t="s">
        <v>626</v>
      </c>
      <c r="B93" s="95"/>
      <c r="C93" s="107"/>
      <c r="D93" s="107"/>
      <c r="E93" s="107"/>
      <c r="F93" s="107"/>
      <c r="G93" s="107"/>
      <c r="H93" s="107"/>
      <c r="I93" s="107"/>
    </row>
    <row r="94" spans="1:9" ht="12.75">
      <c r="A94" s="100" t="s">
        <v>459</v>
      </c>
      <c r="B94" s="95"/>
      <c r="C94" s="105">
        <f>+C176</f>
        <v>0</v>
      </c>
      <c r="D94" s="105">
        <f aca="true" t="shared" si="26" ref="D94:I94">+D176</f>
        <v>2.684854986119094</v>
      </c>
      <c r="E94" s="105">
        <f t="shared" si="26"/>
        <v>19.301002312972532</v>
      </c>
      <c r="F94" s="105"/>
      <c r="G94" s="105">
        <f t="shared" si="26"/>
        <v>1.5741294067034572</v>
      </c>
      <c r="H94" s="105">
        <f t="shared" si="26"/>
        <v>16.897428719156647</v>
      </c>
      <c r="I94" s="105">
        <f t="shared" si="26"/>
        <v>18.050348398254673</v>
      </c>
    </row>
    <row r="95" spans="1:9" ht="12.75">
      <c r="A95" s="100" t="s">
        <v>509</v>
      </c>
      <c r="B95" s="95"/>
      <c r="C95" s="105">
        <f>+C183</f>
        <v>0</v>
      </c>
      <c r="D95" s="105">
        <f>+D183</f>
        <v>0</v>
      </c>
      <c r="E95" s="105">
        <f>+E183</f>
        <v>0</v>
      </c>
      <c r="F95" s="105"/>
      <c r="G95" s="105">
        <f>+G183</f>
        <v>0</v>
      </c>
      <c r="H95" s="105">
        <f>+H183</f>
        <v>0</v>
      </c>
      <c r="I95" s="105">
        <f>+I183</f>
        <v>7.220139359301871</v>
      </c>
    </row>
    <row r="96" spans="1:9" ht="12.75">
      <c r="A96" s="100" t="s">
        <v>491</v>
      </c>
      <c r="B96" s="95"/>
      <c r="C96" s="105">
        <f>+C191</f>
        <v>0</v>
      </c>
      <c r="D96" s="105">
        <f aca="true" t="shared" si="27" ref="D96:I96">+D191</f>
        <v>0.37339854284987817</v>
      </c>
      <c r="E96" s="105">
        <f t="shared" si="27"/>
        <v>2.684303687337537</v>
      </c>
      <c r="F96" s="105"/>
      <c r="G96" s="105">
        <f t="shared" si="27"/>
        <v>0.2189234166310912</v>
      </c>
      <c r="H96" s="105">
        <f t="shared" si="27"/>
        <v>2.35002459881939</v>
      </c>
      <c r="I96" s="105">
        <f t="shared" si="27"/>
        <v>2.510367906157724</v>
      </c>
    </row>
    <row r="97" spans="1:9" ht="12.75">
      <c r="A97" s="100" t="s">
        <v>494</v>
      </c>
      <c r="B97" s="95"/>
      <c r="C97" s="105">
        <f>SUM(C94:C96)</f>
        <v>0</v>
      </c>
      <c r="D97" s="105">
        <f aca="true" t="shared" si="28" ref="D97:I97">SUM(D94:D96)</f>
        <v>3.0582535289689723</v>
      </c>
      <c r="E97" s="105">
        <f t="shared" si="28"/>
        <v>21.985306000310068</v>
      </c>
      <c r="F97" s="105"/>
      <c r="G97" s="105">
        <f t="shared" si="28"/>
        <v>1.7930528233345484</v>
      </c>
      <c r="H97" s="105">
        <f t="shared" si="28"/>
        <v>19.24745331797604</v>
      </c>
      <c r="I97" s="105">
        <f t="shared" si="28"/>
        <v>27.78085566371427</v>
      </c>
    </row>
    <row r="98" spans="1:9" ht="12.75">
      <c r="A98" s="100"/>
      <c r="B98" s="95"/>
      <c r="C98" s="107"/>
      <c r="D98" s="107"/>
      <c r="E98" s="107"/>
      <c r="F98" s="107"/>
      <c r="G98" s="107"/>
      <c r="H98" s="107"/>
      <c r="I98" s="107"/>
    </row>
    <row r="99" spans="1:9" ht="12.75">
      <c r="A99" s="100" t="s">
        <v>495</v>
      </c>
      <c r="B99" s="95"/>
      <c r="C99" s="105">
        <f>+C90+C97</f>
        <v>67.2946351495256</v>
      </c>
      <c r="D99" s="105">
        <f aca="true" t="shared" si="29" ref="D99:I99">+D90+D97</f>
        <v>101.17318878830095</v>
      </c>
      <c r="E99" s="105">
        <f t="shared" si="29"/>
        <v>120.08506776925935</v>
      </c>
      <c r="F99" s="105"/>
      <c r="G99" s="105">
        <f t="shared" si="29"/>
        <v>100.26697748963504</v>
      </c>
      <c r="H99" s="105">
        <f t="shared" si="29"/>
        <v>117.76509091111552</v>
      </c>
      <c r="I99" s="105">
        <f t="shared" si="29"/>
        <v>119.92532244207291</v>
      </c>
    </row>
    <row r="100" spans="1:9" ht="12.75">
      <c r="A100" s="100" t="s">
        <v>601</v>
      </c>
      <c r="B100" s="95"/>
      <c r="C100" s="139">
        <f>+C84-C99</f>
        <v>-67.2946351495256</v>
      </c>
      <c r="D100" s="139">
        <f>+D84-D99</f>
        <v>34.770551493572654</v>
      </c>
      <c r="E100" s="139">
        <f>+E84-E99</f>
        <v>6.712047029881035</v>
      </c>
      <c r="F100" s="139"/>
      <c r="G100" s="139">
        <f>+G84-G99</f>
        <v>6.560378618376234</v>
      </c>
      <c r="H100" s="139">
        <f>+H84-H99</f>
        <v>-16.287636814220548</v>
      </c>
      <c r="I100" s="139">
        <f>+I84-I99</f>
        <v>126.55985695213056</v>
      </c>
    </row>
    <row r="101" spans="1:9" ht="12.75">
      <c r="A101" s="100"/>
      <c r="B101" s="95"/>
      <c r="C101" s="102"/>
      <c r="D101" s="102"/>
      <c r="E101" s="102"/>
      <c r="F101" s="102"/>
      <c r="G101" s="102"/>
      <c r="H101" s="102"/>
      <c r="I101" s="102"/>
    </row>
    <row r="102" spans="1:9" ht="12.75">
      <c r="A102" s="104" t="s">
        <v>508</v>
      </c>
      <c r="B102" s="95"/>
      <c r="C102" s="95"/>
      <c r="D102" s="95"/>
      <c r="E102" s="95"/>
      <c r="F102" s="95"/>
      <c r="G102" s="95"/>
      <c r="H102" s="95"/>
      <c r="I102" s="95"/>
    </row>
    <row r="103" spans="1:9" ht="12.75">
      <c r="A103" s="104"/>
      <c r="B103" s="95"/>
      <c r="C103" s="95"/>
      <c r="D103" s="95"/>
      <c r="E103" s="95"/>
      <c r="F103" s="95"/>
      <c r="G103" s="95"/>
      <c r="H103" s="95"/>
      <c r="I103" s="95"/>
    </row>
    <row r="104" spans="1:9" ht="12.75">
      <c r="A104" s="100" t="s">
        <v>431</v>
      </c>
      <c r="B104" s="95"/>
      <c r="C104" s="102">
        <f>+C202</f>
        <v>4018.3975061309247</v>
      </c>
      <c r="D104" s="102">
        <f aca="true" t="shared" si="30" ref="D104:I104">+D202</f>
        <v>4663.551257595823</v>
      </c>
      <c r="E104" s="102">
        <f t="shared" si="30"/>
        <v>5517.60756977024</v>
      </c>
      <c r="F104" s="102"/>
      <c r="G104" s="102">
        <f t="shared" si="30"/>
        <v>4990.905906275705</v>
      </c>
      <c r="H104" s="102">
        <f t="shared" si="30"/>
        <v>5741.9564951762795</v>
      </c>
      <c r="I104" s="102">
        <f t="shared" si="30"/>
        <v>7679.051908196794</v>
      </c>
    </row>
    <row r="105" spans="1:9" ht="12.75">
      <c r="A105" s="100" t="s">
        <v>456</v>
      </c>
      <c r="B105" s="95"/>
      <c r="C105" s="101">
        <f>+C99*Inputs!B61</f>
        <v>835.0591275704633</v>
      </c>
      <c r="D105" s="101">
        <f>+D99*Inputs!C61</f>
        <v>1255.4580996740265</v>
      </c>
      <c r="E105" s="101">
        <f>+E99*Inputs!D61</f>
        <v>1490.1356059487393</v>
      </c>
      <c r="F105" s="101"/>
      <c r="G105" s="101">
        <f>+G99*Inputs!E61</f>
        <v>1244.2129236688813</v>
      </c>
      <c r="H105" s="101">
        <f>+H99*Inputs!F61</f>
        <v>1461.3470131160325</v>
      </c>
      <c r="I105" s="101">
        <f>+I99*Inputs!G61</f>
        <v>1488.1533261836828</v>
      </c>
    </row>
    <row r="106" spans="1:9" ht="12.75">
      <c r="A106" s="100" t="s">
        <v>455</v>
      </c>
      <c r="B106" s="95"/>
      <c r="C106" s="133">
        <f>+C104-C105</f>
        <v>3183.3383785604615</v>
      </c>
      <c r="D106" s="133">
        <f aca="true" t="shared" si="31" ref="D106:I106">+D104-D105</f>
        <v>3408.0931579217963</v>
      </c>
      <c r="E106" s="133">
        <f t="shared" si="31"/>
        <v>4027.4719638215006</v>
      </c>
      <c r="F106" s="133"/>
      <c r="G106" s="133">
        <f t="shared" si="31"/>
        <v>3746.6929826068235</v>
      </c>
      <c r="H106" s="133">
        <f t="shared" si="31"/>
        <v>4280.609482060247</v>
      </c>
      <c r="I106" s="133">
        <f t="shared" si="31"/>
        <v>6190.898582013111</v>
      </c>
    </row>
    <row r="107" spans="1:9" ht="12.75">
      <c r="A107" s="100" t="s">
        <v>486</v>
      </c>
      <c r="B107" s="95"/>
      <c r="C107" s="98">
        <f>+C155</f>
        <v>104211.79731829808</v>
      </c>
      <c r="D107" s="98">
        <f>+D155</f>
        <v>119142.0524440505</v>
      </c>
      <c r="E107" s="98">
        <f>+E155</f>
        <v>130094.65852614887</v>
      </c>
      <c r="F107" s="98"/>
      <c r="G107" s="98">
        <f>+G155</f>
        <v>127682.74212118611</v>
      </c>
      <c r="H107" s="98">
        <f>+H155</f>
        <v>136789.6237234467</v>
      </c>
      <c r="I107" s="98">
        <f>+I155</f>
        <v>298920.1361125211</v>
      </c>
    </row>
    <row r="108" spans="1:9" ht="12.75">
      <c r="A108" s="100" t="s">
        <v>510</v>
      </c>
      <c r="B108" s="95"/>
      <c r="C108" s="106">
        <f>+C89*1000000/(C107*250)</f>
        <v>2.5302063093819602</v>
      </c>
      <c r="D108" s="106">
        <f aca="true" t="shared" si="32" ref="D108:I108">+D89*1000000/(D107*250)</f>
        <v>3.024803961754604</v>
      </c>
      <c r="E108" s="106">
        <f t="shared" si="32"/>
        <v>2.7701471861114304</v>
      </c>
      <c r="F108" s="106"/>
      <c r="G108" s="106">
        <f t="shared" si="32"/>
        <v>2.885130332607526</v>
      </c>
      <c r="H108" s="106">
        <f t="shared" si="32"/>
        <v>2.693050409942721</v>
      </c>
      <c r="I108" s="106">
        <f t="shared" si="32"/>
        <v>0.9519974737801257</v>
      </c>
    </row>
    <row r="109" spans="1:9" ht="12.75">
      <c r="A109" s="95" t="s">
        <v>511</v>
      </c>
      <c r="B109" s="95"/>
      <c r="C109" s="106">
        <f>+C99*1000000/(C107*250)</f>
        <v>2.5829948962106477</v>
      </c>
      <c r="D109" s="106">
        <f>+D99*1000000/(D107*250)</f>
        <v>3.3967247235668436</v>
      </c>
      <c r="E109" s="106">
        <f>+E99*1000000/(E107*250)</f>
        <v>3.6922366876460924</v>
      </c>
      <c r="F109" s="106"/>
      <c r="G109" s="106">
        <f>+G99*1000000/(G107*250)</f>
        <v>3.141128576153847</v>
      </c>
      <c r="H109" s="106">
        <f>+H99*1000000/(H107*250)</f>
        <v>3.443684914265314</v>
      </c>
      <c r="I109" s="106">
        <f>+I99*1000000/(I107*250)</f>
        <v>1.6047807819400963</v>
      </c>
    </row>
    <row r="110" spans="1:9" ht="12.75">
      <c r="A110" s="100" t="s">
        <v>501</v>
      </c>
      <c r="B110" s="95"/>
      <c r="C110" s="98">
        <f>+C65-B65</f>
        <v>0</v>
      </c>
      <c r="D110" s="98">
        <f>+D65-B65</f>
        <v>1493.5941713995126</v>
      </c>
      <c r="E110" s="98">
        <f>+E65-B65</f>
        <v>10737.214749350147</v>
      </c>
      <c r="F110" s="98"/>
      <c r="G110" s="98">
        <f>+G65-B65</f>
        <v>875.6936665243647</v>
      </c>
      <c r="H110" s="98">
        <f>+H65-B65</f>
        <v>9400.09839527756</v>
      </c>
      <c r="I110" s="98">
        <f>+I65-B65</f>
        <v>10041.471624630896</v>
      </c>
    </row>
    <row r="111" spans="1:9" ht="12.75">
      <c r="A111" s="100" t="s">
        <v>503</v>
      </c>
      <c r="B111" s="95"/>
      <c r="C111" s="129" t="s">
        <v>588</v>
      </c>
      <c r="D111" s="106">
        <f>+D97*1000000/(+D110*250)</f>
        <v>8.190319934372422</v>
      </c>
      <c r="E111" s="106">
        <f>+E97*1000000/(+E110*250)</f>
        <v>8.190319934372438</v>
      </c>
      <c r="F111" s="106"/>
      <c r="G111" s="106">
        <f>+G97*1000000/(+G110*250)</f>
        <v>8.190319934372436</v>
      </c>
      <c r="H111" s="106">
        <f>+H97*1000000/(+H110*250)</f>
        <v>8.190319934372438</v>
      </c>
      <c r="I111" s="106">
        <f>+I97*1000000/(+I110*250)</f>
        <v>11.066447908121411</v>
      </c>
    </row>
    <row r="112" spans="1:9" ht="12.75">
      <c r="A112" s="100" t="s">
        <v>507</v>
      </c>
      <c r="B112" s="95"/>
      <c r="C112" s="98">
        <f>+C131</f>
        <v>44985.43606827373</v>
      </c>
      <c r="D112" s="98">
        <f>+D131</f>
        <v>10731.96337805374</v>
      </c>
      <c r="E112" s="98">
        <f>+E131</f>
        <v>13571.26856026391</v>
      </c>
      <c r="F112" s="98"/>
      <c r="G112" s="98">
        <f>+G131</f>
        <v>14228.222025541589</v>
      </c>
      <c r="H112" s="98">
        <f>+H131</f>
        <v>16670.79762136785</v>
      </c>
      <c r="I112" s="98">
        <f>+I131</f>
        <v>204.47276314534247</v>
      </c>
    </row>
    <row r="113" spans="1:9" ht="12.75">
      <c r="A113" s="100" t="s">
        <v>502</v>
      </c>
      <c r="B113" s="95"/>
      <c r="C113" s="106">
        <f>+C90*1000000/(+C112*250)</f>
        <v>5.983681922957779</v>
      </c>
      <c r="D113" s="106">
        <f>+D90*1000000/(+D112*250)</f>
        <v>36.56923968263682</v>
      </c>
      <c r="E113" s="106">
        <f>+E90*1000000/(+E112*250)</f>
        <v>28.913954899155467</v>
      </c>
      <c r="F113" s="106"/>
      <c r="G113" s="106">
        <f>+G90*1000000/(+G112*250)</f>
        <v>27.684112460299378</v>
      </c>
      <c r="H113" s="106">
        <f>+H90*1000000/(+H112*250)</f>
        <v>23.63837407920163</v>
      </c>
      <c r="I113" s="106">
        <f>+I90*1000000/(+I112*250)</f>
        <v>1802.5768392998318</v>
      </c>
    </row>
    <row r="116" ht="12.75">
      <c r="A116" s="1" t="s">
        <v>458</v>
      </c>
    </row>
    <row r="118" spans="3:9" ht="12.75">
      <c r="C118" s="175"/>
      <c r="D118" s="176"/>
      <c r="E118" s="176"/>
      <c r="F118" s="108"/>
      <c r="G118" s="175"/>
      <c r="H118" s="176"/>
      <c r="I118" s="176"/>
    </row>
    <row r="119" spans="3:9" ht="12.75">
      <c r="C119" s="5" t="str">
        <f>+C46</f>
        <v>No 1</v>
      </c>
      <c r="D119" s="5" t="str">
        <f aca="true" t="shared" si="33" ref="D119:I119">+D46</f>
        <v>No 2</v>
      </c>
      <c r="E119" s="5" t="str">
        <f t="shared" si="33"/>
        <v>No 3</v>
      </c>
      <c r="F119" s="5">
        <f t="shared" si="33"/>
        <v>0</v>
      </c>
      <c r="G119" s="5" t="str">
        <f t="shared" si="33"/>
        <v>No 4</v>
      </c>
      <c r="H119" s="5" t="str">
        <f t="shared" si="33"/>
        <v>No 5</v>
      </c>
      <c r="I119" s="5" t="str">
        <f t="shared" si="33"/>
        <v>No 6</v>
      </c>
    </row>
    <row r="120" spans="2:9" ht="12.75">
      <c r="B120" s="39" t="s">
        <v>1</v>
      </c>
      <c r="C120" s="5" t="str">
        <f aca="true" t="shared" si="34" ref="C120:I120">+C47</f>
        <v>10 GP Ln</v>
      </c>
      <c r="D120" s="5" t="str">
        <f t="shared" si="34"/>
        <v>4 ET+EB</v>
      </c>
      <c r="E120" s="5" t="str">
        <f t="shared" si="34"/>
        <v>4 ET+BRT</v>
      </c>
      <c r="F120" s="5">
        <f t="shared" si="34"/>
        <v>0</v>
      </c>
      <c r="G120" s="5" t="str">
        <f t="shared" si="34"/>
        <v>4 HOT+EB</v>
      </c>
      <c r="H120" s="5" t="str">
        <f t="shared" si="34"/>
        <v>4 HOT+BRT</v>
      </c>
      <c r="I120" s="5" t="str">
        <f t="shared" si="34"/>
        <v>10 H + BRT</v>
      </c>
    </row>
    <row r="121" spans="1:9" ht="12.75">
      <c r="A121" s="53" t="s">
        <v>451</v>
      </c>
      <c r="C121" s="5"/>
      <c r="D121" s="5"/>
      <c r="E121" s="5"/>
      <c r="F121" s="5"/>
      <c r="G121" s="5"/>
      <c r="H121" s="5"/>
      <c r="I121" s="5"/>
    </row>
    <row r="122" spans="1:9" ht="12.75">
      <c r="A122" t="s">
        <v>446</v>
      </c>
      <c r="B122" s="5">
        <f>+Inputs!B5</f>
        <v>9</v>
      </c>
      <c r="C122" s="5">
        <f>+B122</f>
        <v>9</v>
      </c>
      <c r="D122" s="5">
        <f>+B122</f>
        <v>9</v>
      </c>
      <c r="E122" s="5">
        <f>+B122</f>
        <v>9</v>
      </c>
      <c r="F122" s="5"/>
      <c r="G122" s="5">
        <f>+B122</f>
        <v>9</v>
      </c>
      <c r="H122" s="5">
        <f>+B122</f>
        <v>9</v>
      </c>
      <c r="I122" s="5">
        <f>+B122</f>
        <v>9</v>
      </c>
    </row>
    <row r="123" spans="1:9" ht="12.75">
      <c r="A123" t="s">
        <v>447</v>
      </c>
      <c r="B123" s="5">
        <f>+Inputs!P5</f>
        <v>6</v>
      </c>
      <c r="C123" s="5">
        <f>+B123</f>
        <v>6</v>
      </c>
      <c r="D123" s="5">
        <f>+B123</f>
        <v>6</v>
      </c>
      <c r="E123" s="5">
        <f>+B123</f>
        <v>6</v>
      </c>
      <c r="F123" s="5"/>
      <c r="G123" s="5">
        <f>+B123</f>
        <v>6</v>
      </c>
      <c r="H123" s="5">
        <f>+B123</f>
        <v>6</v>
      </c>
      <c r="I123" s="5">
        <f>+B123</f>
        <v>6</v>
      </c>
    </row>
    <row r="124" spans="1:9" ht="12.75">
      <c r="A124" t="s">
        <v>448</v>
      </c>
      <c r="B124" s="5">
        <f>+Inputs!AD5</f>
        <v>5</v>
      </c>
      <c r="C124" s="5">
        <f>+B124</f>
        <v>5</v>
      </c>
      <c r="D124" s="5">
        <f>+B124</f>
        <v>5</v>
      </c>
      <c r="E124" s="5">
        <f>+B124</f>
        <v>5</v>
      </c>
      <c r="F124" s="5"/>
      <c r="G124" s="5">
        <f>+B124</f>
        <v>5</v>
      </c>
      <c r="H124" s="5">
        <f>+B124</f>
        <v>5</v>
      </c>
      <c r="I124" s="5">
        <f>+B124</f>
        <v>5</v>
      </c>
    </row>
    <row r="125" spans="1:9" ht="12.75">
      <c r="A125" s="53"/>
      <c r="C125" s="5"/>
      <c r="D125" s="5"/>
      <c r="E125" s="5"/>
      <c r="F125" s="5"/>
      <c r="G125" s="5"/>
      <c r="H125" s="5"/>
      <c r="I125" s="5"/>
    </row>
    <row r="126" ht="12.75">
      <c r="A126" s="53" t="s">
        <v>3</v>
      </c>
    </row>
    <row r="127" spans="1:9" ht="12.75">
      <c r="A127" t="s">
        <v>446</v>
      </c>
      <c r="B127" s="2">
        <f>+'Tables 2-7'!B7</f>
        <v>445000</v>
      </c>
      <c r="C127" s="2">
        <f>+'Tables 2-7'!C7+'Tables 2-7'!C23</f>
        <v>468169.35957690736</v>
      </c>
      <c r="D127" s="2">
        <f>+'Tables 2-7'!D7+'Tables 2-7'!D23</f>
        <v>450236.96351856523</v>
      </c>
      <c r="E127" s="2">
        <f>+'Tables 2-7'!E7+'Tables 2-7'!E23</f>
        <v>451687.3837344525</v>
      </c>
      <c r="F127" s="2"/>
      <c r="G127" s="2">
        <f>+'Tables 2-7'!G7+'Tables 2-7'!G23</f>
        <v>452023.75729043304</v>
      </c>
      <c r="H127" s="2">
        <f>+'Tables 2-7'!H7+'Tables 2-7'!H23</f>
        <v>453277.45208276535</v>
      </c>
      <c r="I127" s="2">
        <f>+'Tables 2-7'!I7+'Tables 2-7'!I23</f>
        <v>444886.91672654275</v>
      </c>
    </row>
    <row r="128" spans="1:9" ht="12.75">
      <c r="A128" t="s">
        <v>447</v>
      </c>
      <c r="B128" s="2">
        <f>+'Tables 2-7'!P7</f>
        <v>460000</v>
      </c>
      <c r="C128" s="2">
        <f>+'Tables 2-7'!Q7+'Tables 2-7'!Q23</f>
        <v>483148.18757122755</v>
      </c>
      <c r="D128" s="2">
        <f>+'Tables 2-7'!R7+'Tables 2-7'!R23</f>
        <v>464720.62569376826</v>
      </c>
      <c r="E128" s="2">
        <f>+'Tables 2-7'!S7+'Tables 2-7'!S23</f>
        <v>466143.55217982683</v>
      </c>
      <c r="F128" s="2"/>
      <c r="G128" s="2">
        <f>+'Tables 2-7'!U7+'Tables 2-7'!U23</f>
        <v>466474.15720771276</v>
      </c>
      <c r="H128" s="2">
        <f>+'Tables 2-7'!V7+'Tables 2-7'!V23</f>
        <v>467708.67646682094</v>
      </c>
      <c r="I128" s="2">
        <f>+'Tables 2-7'!W7+'Tables 2-7'!W23</f>
        <v>459227.0460140578</v>
      </c>
    </row>
    <row r="129" spans="1:9" ht="12.75">
      <c r="A129" t="s">
        <v>448</v>
      </c>
      <c r="B129" s="2">
        <f>+'Tables 2-7'!AD7</f>
        <v>400000</v>
      </c>
      <c r="C129" s="2">
        <f>+'Tables 2-7'!AE7+'Tables 2-7'!AE23</f>
        <v>420488.1998126412</v>
      </c>
      <c r="D129" s="2">
        <f>+'Tables 2-7'!AF7+'Tables 2-7'!AF23</f>
        <v>406372.641590168</v>
      </c>
      <c r="E129" s="2">
        <f>+'Tables 2-7'!AG7+'Tables 2-7'!AG23</f>
        <v>407732.9837827209</v>
      </c>
      <c r="F129" s="2"/>
      <c r="G129" s="2">
        <f>+'Tables 2-7'!AI7+'Tables 2-7'!AI23</f>
        <v>408044.69227904844</v>
      </c>
      <c r="H129" s="2">
        <f>+'Tables 2-7'!AJ7+'Tables 2-7'!AJ23</f>
        <v>409191.76973357296</v>
      </c>
      <c r="I129" s="2">
        <f>+'Tables 2-7'!AK7+'Tables 2-7'!AK23</f>
        <v>401540.0402016443</v>
      </c>
    </row>
    <row r="130" spans="1:9" ht="12.75">
      <c r="A130" t="s">
        <v>497</v>
      </c>
      <c r="B130" s="2">
        <f aca="true" t="shared" si="35" ref="B130:I130">+(B122*B127+B123*B128+B124*B129)/10</f>
        <v>876500</v>
      </c>
      <c r="C130" s="2">
        <f t="shared" si="35"/>
        <v>921485.4360682737</v>
      </c>
      <c r="D130" s="2">
        <f t="shared" si="35"/>
        <v>887231.9633780537</v>
      </c>
      <c r="E130" s="2">
        <f t="shared" si="35"/>
        <v>890071.2685602639</v>
      </c>
      <c r="F130" s="2"/>
      <c r="G130" s="2">
        <f t="shared" si="35"/>
        <v>890728.2220255416</v>
      </c>
      <c r="H130" s="2">
        <f t="shared" si="35"/>
        <v>893170.7976213678</v>
      </c>
      <c r="I130" s="2">
        <f t="shared" si="35"/>
        <v>876704.4727631453</v>
      </c>
    </row>
    <row r="131" spans="1:9" ht="12.75">
      <c r="A131" t="s">
        <v>498</v>
      </c>
      <c r="B131" s="2"/>
      <c r="C131" s="2">
        <f>+C130-B130</f>
        <v>44985.43606827373</v>
      </c>
      <c r="D131" s="2">
        <f>+D130-B130</f>
        <v>10731.96337805374</v>
      </c>
      <c r="E131" s="2">
        <f>+E130-B130</f>
        <v>13571.26856026391</v>
      </c>
      <c r="F131" s="2"/>
      <c r="G131" s="2">
        <f>+G130-B130</f>
        <v>14228.222025541589</v>
      </c>
      <c r="H131" s="2">
        <f>+H130-B130</f>
        <v>16670.79762136785</v>
      </c>
      <c r="I131" s="2">
        <f>+I130-B130</f>
        <v>204.47276314534247</v>
      </c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1:9" ht="12.75">
      <c r="A133" s="53" t="s">
        <v>499</v>
      </c>
      <c r="B133" s="2"/>
      <c r="C133" s="2"/>
      <c r="D133" s="2"/>
      <c r="E133" s="2"/>
      <c r="F133" s="2"/>
      <c r="G133" s="2"/>
      <c r="H133" s="2"/>
      <c r="I133" s="2"/>
    </row>
    <row r="134" spans="1:9" ht="12.75">
      <c r="A134" t="s">
        <v>446</v>
      </c>
      <c r="B134" s="2">
        <f>+'Tables 2-7'!B19</f>
        <v>35600.00000000001</v>
      </c>
      <c r="C134" s="2">
        <f>+'Tables 2-7'!C19</f>
        <v>35600.00000000001</v>
      </c>
      <c r="D134" s="2">
        <f>+'Tables 2-7'!D19</f>
        <v>35418.25282847341</v>
      </c>
      <c r="E134" s="2">
        <f>+'Tables 2-7'!E19</f>
        <v>34293.44802749225</v>
      </c>
      <c r="F134" s="2"/>
      <c r="G134" s="2">
        <f>+'Tables 2-7'!G19</f>
        <v>49240.65903787105</v>
      </c>
      <c r="H134" s="2">
        <f>+'Tables 2-7'!H19</f>
        <v>47179.73684713422</v>
      </c>
      <c r="I134" s="2">
        <f>+'Tables 2-7'!I19</f>
        <v>38987.40401890817</v>
      </c>
    </row>
    <row r="135" spans="1:9" ht="12.75">
      <c r="A135" t="s">
        <v>447</v>
      </c>
      <c r="B135" s="2">
        <f>+'Tables 2-7'!P19</f>
        <v>36800.00000000004</v>
      </c>
      <c r="C135" s="2">
        <f>+'Tables 2-7'!Q19</f>
        <v>36800.00000000004</v>
      </c>
      <c r="D135" s="2">
        <f>+'Tables 2-7'!R19</f>
        <v>36612.12651932085</v>
      </c>
      <c r="E135" s="2">
        <f>+'Tables 2-7'!S19</f>
        <v>35449.40694976731</v>
      </c>
      <c r="F135" s="2"/>
      <c r="G135" s="2">
        <f>+'Tables 2-7'!U19</f>
        <v>50900.45653352967</v>
      </c>
      <c r="H135" s="2">
        <f>+'Tables 2-7'!V19</f>
        <v>48770.06505546463</v>
      </c>
      <c r="I135" s="2">
        <f>+'Tables 2-7'!W19</f>
        <v>40301.58617684894</v>
      </c>
    </row>
    <row r="136" spans="1:9" ht="12.75">
      <c r="A136" t="s">
        <v>448</v>
      </c>
      <c r="B136" s="2">
        <f>+'Tables 2-7'!AD19</f>
        <v>32000.00000000003</v>
      </c>
      <c r="C136" s="2">
        <f>+'Tables 2-7'!AE19</f>
        <v>32000.00000000003</v>
      </c>
      <c r="D136" s="2">
        <f>+'Tables 2-7'!AF19</f>
        <v>31836.631755931176</v>
      </c>
      <c r="E136" s="2">
        <f>+'Tables 2-7'!AG19</f>
        <v>30825.571260667224</v>
      </c>
      <c r="F136" s="2"/>
      <c r="G136" s="2">
        <f>+'Tables 2-7'!AI19</f>
        <v>44261.26655089536</v>
      </c>
      <c r="H136" s="2">
        <f>+'Tables 2-7'!AJ19</f>
        <v>42408.75222214315</v>
      </c>
      <c r="I136" s="2">
        <f>+'Tables 2-7'!AK19</f>
        <v>35044.85754508603</v>
      </c>
    </row>
    <row r="137" spans="1:9" ht="12.75">
      <c r="A137" t="s">
        <v>497</v>
      </c>
      <c r="B137" s="2">
        <f>+(B122*B134+B123*B135+B124*B136)/10</f>
        <v>70120.00000000003</v>
      </c>
      <c r="C137" s="2">
        <f aca="true" t="shared" si="36" ref="C137:I137">+(C122*C134+C123*C135+C124*C136)/10</f>
        <v>70120.00000000003</v>
      </c>
      <c r="D137" s="2">
        <f t="shared" si="36"/>
        <v>69762.01933518416</v>
      </c>
      <c r="E137" s="2">
        <f t="shared" si="36"/>
        <v>67546.53302493703</v>
      </c>
      <c r="F137" s="2"/>
      <c r="G137" s="2">
        <f t="shared" si="36"/>
        <v>96987.50032964944</v>
      </c>
      <c r="H137" s="2">
        <f t="shared" si="36"/>
        <v>92928.17830677114</v>
      </c>
      <c r="I137" s="2">
        <f t="shared" si="36"/>
        <v>76792.04409566973</v>
      </c>
    </row>
    <row r="138" spans="1:9" ht="12.75">
      <c r="A138" t="s">
        <v>500</v>
      </c>
      <c r="C138" s="2">
        <f>+C137-B137</f>
        <v>0</v>
      </c>
      <c r="D138" s="2">
        <f>+D137-B137</f>
        <v>-357.9806648158701</v>
      </c>
      <c r="E138" s="2">
        <f>+E137-B137</f>
        <v>-2573.4669750629982</v>
      </c>
      <c r="F138" s="2"/>
      <c r="G138" s="2">
        <f>+G137-B137</f>
        <v>26867.50032964941</v>
      </c>
      <c r="H138" s="2">
        <f>+H137-B137</f>
        <v>22808.178306771108</v>
      </c>
      <c r="I138" s="2">
        <f>+I137-B137</f>
        <v>6672.044095669698</v>
      </c>
    </row>
    <row r="140" ht="12.75">
      <c r="A140" s="26" t="s">
        <v>416</v>
      </c>
    </row>
    <row r="141" spans="1:9" ht="12.75">
      <c r="A141" t="s">
        <v>446</v>
      </c>
      <c r="B141" s="16">
        <f>+'Tables 2-7'!B26</f>
        <v>280299.0272727273</v>
      </c>
      <c r="C141" s="16">
        <f>+'Tables 2-7'!C26</f>
        <v>312210.4004655184</v>
      </c>
      <c r="D141" s="16">
        <f>+'Tables 2-7'!D26</f>
        <v>288764.9971273873</v>
      </c>
      <c r="E141" s="16">
        <f>+'Tables 2-7'!E26</f>
        <v>285493.6442643659</v>
      </c>
      <c r="F141" s="16"/>
      <c r="G141" s="16">
        <f>+'Tables 2-7'!G26</f>
        <v>284760.9645484183</v>
      </c>
      <c r="H141" s="16">
        <f>+'Tables 2-7'!H26</f>
        <v>282116.99978665105</v>
      </c>
      <c r="I141" s="16">
        <f>+'Tables 2-7'!I26</f>
        <v>269465.2499091835</v>
      </c>
    </row>
    <row r="142" spans="1:9" ht="12.75">
      <c r="A142" t="s">
        <v>447</v>
      </c>
      <c r="B142" s="16">
        <f>+'Tables 2-7'!P26</f>
        <v>289747.3090909091</v>
      </c>
      <c r="C142" s="16">
        <f>+'Tables 2-7'!Q26</f>
        <v>321928.64593612775</v>
      </c>
      <c r="D142" s="16">
        <f>+'Tables 2-7'!R26</f>
        <v>297460.77636374155</v>
      </c>
      <c r="E142" s="16">
        <f>+'Tables 2-7'!S26</f>
        <v>294001.62853781466</v>
      </c>
      <c r="F142" s="16"/>
      <c r="G142" s="16">
        <f>+'Tables 2-7'!U26</f>
        <v>293226.9193757547</v>
      </c>
      <c r="H142" s="16">
        <f>+'Tables 2-7'!V26</f>
        <v>290431.6790433022</v>
      </c>
      <c r="I142" s="16">
        <f>+'Tables 2-7'!W26</f>
        <v>267546.1010297177</v>
      </c>
    </row>
    <row r="143" spans="1:9" ht="12.75">
      <c r="A143" t="s">
        <v>448</v>
      </c>
      <c r="B143" s="16">
        <f>+'Tables 2-7'!AD26</f>
        <v>251954.1818181818</v>
      </c>
      <c r="C143" s="16">
        <f>+'Tables 2-7'!AE26</f>
        <v>280306.30880099075</v>
      </c>
      <c r="D143" s="16">
        <f>+'Tables 2-7'!AF26</f>
        <v>262263.37812637497</v>
      </c>
      <c r="E143" s="16">
        <f>+'Tables 2-7'!AG26</f>
        <v>259381.57945406914</v>
      </c>
      <c r="F143" s="16"/>
      <c r="G143" s="16">
        <f>+'Tables 2-7'!AI26</f>
        <v>258732.75199161528</v>
      </c>
      <c r="H143" s="16">
        <f>+'Tables 2-7'!AJ26</f>
        <v>256377.57825052668</v>
      </c>
      <c r="I143" s="16">
        <f>+'Tables 2-7'!AK26</f>
        <v>275222.69654758065</v>
      </c>
    </row>
    <row r="145" ht="12.75">
      <c r="A145" s="26" t="s">
        <v>450</v>
      </c>
    </row>
    <row r="146" spans="1:9" ht="12.75">
      <c r="A146" t="s">
        <v>446</v>
      </c>
      <c r="B146" s="2"/>
      <c r="C146" s="2">
        <f>+'Tables 2-7'!E96</f>
        <v>5463.450290011496</v>
      </c>
      <c r="D146" s="2">
        <f>+'Tables 2-7'!I96</f>
        <v>6252.110507399833</v>
      </c>
      <c r="E146" s="2">
        <f>+'Tables 2-7'!M96</f>
        <v>6832.416001262624</v>
      </c>
      <c r="G146" s="2">
        <f>+'Tables 2-7'!E145</f>
        <v>6701.432854970729</v>
      </c>
      <c r="H146" s="2">
        <f>+'Tables 2-7'!I145</f>
        <v>7183.611867810718</v>
      </c>
      <c r="I146" s="2">
        <f>+'Tables 2-7'!M145</f>
        <v>9676.168864017634</v>
      </c>
    </row>
    <row r="147" spans="1:9" ht="12.75">
      <c r="A147" t="s">
        <v>447</v>
      </c>
      <c r="C147" s="2">
        <f>+'Tables 2-7'!S96</f>
        <v>5954.399047271395</v>
      </c>
      <c r="D147" s="2">
        <f>+'Tables 2-7'!W96</f>
        <v>6798.9724949919355</v>
      </c>
      <c r="E147" s="2">
        <f>+'Tables 2-7'!AA96</f>
        <v>7453.1371782967</v>
      </c>
      <c r="G147" s="2">
        <f>+'Tables 2-7'!S145</f>
        <v>7287.52544573168</v>
      </c>
      <c r="H147" s="2">
        <f>+'Tables 2-7'!W145</f>
        <v>7835.6986120471065</v>
      </c>
      <c r="I147" s="2">
        <f>+'Tables 2-7'!AA145</f>
        <v>29338.802377153617</v>
      </c>
    </row>
    <row r="148" spans="1:9" ht="12.75">
      <c r="A148" t="s">
        <v>448</v>
      </c>
      <c r="C148" s="2">
        <f>+'Tables 2-7'!AG96</f>
        <v>3862.87008491325</v>
      </c>
      <c r="D148" s="2">
        <f>+'Tables 2-7'!AK96</f>
        <v>4415.844581500076</v>
      </c>
      <c r="E148" s="2">
        <f>+'Tables 2-7'!AO96</f>
        <v>4776.818289001009</v>
      </c>
      <c r="G148" s="2">
        <f>+'Tables 2-7'!AG145</f>
        <v>4728.938750411895</v>
      </c>
      <c r="H148" s="2">
        <f>+'Tables 2-7'!AK145</f>
        <v>5024.585048173524</v>
      </c>
      <c r="I148" s="2">
        <f>+'Tables 2-7'!AO145</f>
        <v>7160.360414688135</v>
      </c>
    </row>
    <row r="149" ht="12.75">
      <c r="A149" s="11" t="s">
        <v>40</v>
      </c>
    </row>
    <row r="150" ht="12.75">
      <c r="A150" s="18"/>
    </row>
    <row r="151" ht="12.75">
      <c r="A151" s="26" t="s">
        <v>452</v>
      </c>
    </row>
    <row r="152" spans="1:9" ht="12.75">
      <c r="A152" t="s">
        <v>446</v>
      </c>
      <c r="C152" s="2">
        <f aca="true" t="shared" si="37" ref="C152:E154">+C146*C122</f>
        <v>49171.05261010346</v>
      </c>
      <c r="D152" s="2">
        <f t="shared" si="37"/>
        <v>56268.9945665985</v>
      </c>
      <c r="E152" s="2">
        <f t="shared" si="37"/>
        <v>61491.74401136362</v>
      </c>
      <c r="G152" s="2">
        <f aca="true" t="shared" si="38" ref="G152:I154">+G146*G122</f>
        <v>60312.89569473656</v>
      </c>
      <c r="H152" s="2">
        <f t="shared" si="38"/>
        <v>64652.50681029646</v>
      </c>
      <c r="I152" s="2">
        <f t="shared" si="38"/>
        <v>87085.5197761587</v>
      </c>
    </row>
    <row r="153" spans="1:9" ht="12.75">
      <c r="A153" t="s">
        <v>447</v>
      </c>
      <c r="C153" s="2">
        <f t="shared" si="37"/>
        <v>35726.39428362837</v>
      </c>
      <c r="D153" s="2">
        <f t="shared" si="37"/>
        <v>40793.83496995161</v>
      </c>
      <c r="E153" s="2">
        <f t="shared" si="37"/>
        <v>44718.8230697802</v>
      </c>
      <c r="G153" s="2">
        <f t="shared" si="38"/>
        <v>43725.152674390076</v>
      </c>
      <c r="H153" s="2">
        <f t="shared" si="38"/>
        <v>47014.19167228264</v>
      </c>
      <c r="I153" s="2">
        <f t="shared" si="38"/>
        <v>176032.8142629217</v>
      </c>
    </row>
    <row r="154" spans="1:9" ht="12.75">
      <c r="A154" t="s">
        <v>448</v>
      </c>
      <c r="C154" s="2">
        <f t="shared" si="37"/>
        <v>19314.35042456625</v>
      </c>
      <c r="D154" s="2">
        <f t="shared" si="37"/>
        <v>22079.222907500378</v>
      </c>
      <c r="E154" s="2">
        <f t="shared" si="37"/>
        <v>23884.091445005048</v>
      </c>
      <c r="G154" s="2">
        <f t="shared" si="38"/>
        <v>23644.693752059473</v>
      </c>
      <c r="H154" s="2">
        <f t="shared" si="38"/>
        <v>25122.925240867622</v>
      </c>
      <c r="I154" s="2">
        <f t="shared" si="38"/>
        <v>35801.802073440675</v>
      </c>
    </row>
    <row r="155" spans="1:9" ht="12.75">
      <c r="A155" s="11" t="s">
        <v>40</v>
      </c>
      <c r="C155" s="2">
        <f>SUM(C152:C154)</f>
        <v>104211.79731829808</v>
      </c>
      <c r="D155" s="2">
        <f aca="true" t="shared" si="39" ref="D155:I155">SUM(D152:D154)</f>
        <v>119142.0524440505</v>
      </c>
      <c r="E155" s="2">
        <f t="shared" si="39"/>
        <v>130094.65852614887</v>
      </c>
      <c r="F155" s="2"/>
      <c r="G155" s="2">
        <f t="shared" si="39"/>
        <v>127682.74212118611</v>
      </c>
      <c r="H155" s="2">
        <f t="shared" si="39"/>
        <v>136789.6237234467</v>
      </c>
      <c r="I155" s="2">
        <f t="shared" si="39"/>
        <v>298920.1361125211</v>
      </c>
    </row>
    <row r="156" ht="12.75">
      <c r="A156" s="11"/>
    </row>
    <row r="157" ht="12.75">
      <c r="A157" s="26" t="s">
        <v>341</v>
      </c>
    </row>
    <row r="158" spans="1:9" ht="12.75">
      <c r="A158" t="s">
        <v>446</v>
      </c>
      <c r="C158" s="75">
        <f>+'Tables 2-7'!D117</f>
        <v>0</v>
      </c>
      <c r="D158" s="75">
        <f>+'Tables 2-7'!H117</f>
        <v>65278625.52387192</v>
      </c>
      <c r="E158" s="75">
        <f>+'Tables 2-7'!L117</f>
        <v>60844289.95946672</v>
      </c>
      <c r="G158" s="75">
        <f>+'Tables 2-7'!D166</f>
        <v>51246758.94056213</v>
      </c>
      <c r="H158" s="75">
        <f>+'Tables 2-7'!H166</f>
        <v>48713981.513657376</v>
      </c>
      <c r="I158" s="75">
        <f>+'Tables 2-7'!L166</f>
        <v>127818440.0494741</v>
      </c>
    </row>
    <row r="159" spans="1:9" ht="12.75">
      <c r="A159" t="s">
        <v>447</v>
      </c>
      <c r="C159" s="75">
        <f>+'Tables 2-7'!R117</f>
        <v>0</v>
      </c>
      <c r="D159" s="75">
        <f>'Tables 2-7'!V117</f>
        <v>50344727.59793365</v>
      </c>
      <c r="E159" s="75">
        <f>'Tables 2-7'!Z117</f>
        <v>47328363.0345704</v>
      </c>
      <c r="G159" s="75">
        <f>'Tables 2-7'!R166</f>
        <v>39711050.74766219</v>
      </c>
      <c r="H159" s="75">
        <f>'Tables 2-7'!V166</f>
        <v>37899142.16573807</v>
      </c>
      <c r="I159" s="75">
        <f>'Tables 2-7'!Z166</f>
        <v>105297517.96434398</v>
      </c>
    </row>
    <row r="160" spans="1:9" ht="12.75">
      <c r="A160" t="s">
        <v>448</v>
      </c>
      <c r="C160" s="75">
        <f>'Tables 2-7'!AF117</f>
        <v>0</v>
      </c>
      <c r="D160" s="75">
        <f>'Tables 2-7'!AJ117</f>
        <v>20320387.16006804</v>
      </c>
      <c r="E160" s="75">
        <f>'Tables 2-7'!AN117</f>
        <v>18624461.80510328</v>
      </c>
      <c r="G160" s="75">
        <f>'Tables 2-7'!AF166</f>
        <v>15869546.419786964</v>
      </c>
      <c r="H160" s="75">
        <f>'Tables 2-7'!AJ166</f>
        <v>14864330.417499535</v>
      </c>
      <c r="I160" s="75">
        <f>'Tables 2-7'!AN166</f>
        <v>40756463.53529687</v>
      </c>
    </row>
    <row r="161" spans="1:9" ht="12.75">
      <c r="A161" s="11" t="s">
        <v>40</v>
      </c>
      <c r="C161" s="75">
        <f>SUM(C158:C160)</f>
        <v>0</v>
      </c>
      <c r="D161" s="75">
        <f aca="true" t="shared" si="40" ref="D161:I161">SUM(D158:D160)</f>
        <v>135943740.2818736</v>
      </c>
      <c r="E161" s="75">
        <f t="shared" si="40"/>
        <v>126797114.7991404</v>
      </c>
      <c r="F161" s="75"/>
      <c r="G161" s="75">
        <f t="shared" si="40"/>
        <v>106827356.10801128</v>
      </c>
      <c r="H161" s="75">
        <f t="shared" si="40"/>
        <v>101477454.09689498</v>
      </c>
      <c r="I161" s="75">
        <f t="shared" si="40"/>
        <v>273872421.54911494</v>
      </c>
    </row>
    <row r="162" spans="1:9" ht="12.75">
      <c r="A162" s="11" t="s">
        <v>454</v>
      </c>
      <c r="C162" s="75">
        <f>+C161/1000000</f>
        <v>0</v>
      </c>
      <c r="D162" s="75">
        <f>+D161/1000000</f>
        <v>135.9437402818736</v>
      </c>
      <c r="E162" s="75">
        <f>+E161/1000000</f>
        <v>126.79711479914039</v>
      </c>
      <c r="G162" s="75">
        <f>+G161/1000000</f>
        <v>106.82735610801127</v>
      </c>
      <c r="H162" s="75">
        <f>+H161/1000000</f>
        <v>101.47745409689497</v>
      </c>
      <c r="I162" s="75">
        <f>+I161/1000000</f>
        <v>273.87242154911496</v>
      </c>
    </row>
    <row r="163" ht="12.75">
      <c r="A163" s="11"/>
    </row>
    <row r="164" ht="12.75">
      <c r="A164" s="26" t="s">
        <v>476</v>
      </c>
    </row>
    <row r="165" spans="1:9" ht="12.75">
      <c r="A165" t="s">
        <v>446</v>
      </c>
      <c r="C165" s="75">
        <f>+'Tables 2-7'!D167</f>
        <v>1375298.3622580976</v>
      </c>
      <c r="D165" s="75">
        <f>+'Tables 2-7'!H118</f>
        <v>1737482.6497807987</v>
      </c>
      <c r="E165" s="75">
        <f>+'Tables 2-7'!L118</f>
        <v>1731408.7038555006</v>
      </c>
      <c r="G165" s="75">
        <f>+'Tables 2-7'!D167</f>
        <v>1375298.3622580976</v>
      </c>
      <c r="H165" s="75">
        <f>+'Tables 2-7'!H167</f>
        <v>1384872.891762619</v>
      </c>
      <c r="I165" s="75">
        <f>+'Tables 2-7'!L167</f>
        <v>4534970.357568689</v>
      </c>
    </row>
    <row r="166" spans="1:9" ht="12.75">
      <c r="A166" t="s">
        <v>447</v>
      </c>
      <c r="C166" s="75">
        <f>+'Tables 2-7'!R118</f>
        <v>0.008717335711197509</v>
      </c>
      <c r="D166" s="75">
        <f>+'Tables 2-7'!V118</f>
        <v>3513139.7922405857</v>
      </c>
      <c r="E166" s="75">
        <f>+'Tables 2-7'!Z118</f>
        <v>3513139.7922405857</v>
      </c>
      <c r="G166" s="75">
        <f>+'Tables 2-7'!R167</f>
        <v>2776911.670286404</v>
      </c>
      <c r="H166" s="75">
        <f>+'Tables 2-7'!V167</f>
        <v>2796706.2031946275</v>
      </c>
      <c r="I166" s="75">
        <f>+'Tables 2-7'!Z167</f>
        <v>9177628.604411671</v>
      </c>
    </row>
    <row r="167" spans="1:9" ht="12.75">
      <c r="A167" t="s">
        <v>448</v>
      </c>
      <c r="C167" s="75">
        <f>+'Tables 2-7'!AF118</f>
        <v>0.006852214283476455</v>
      </c>
      <c r="D167" s="75">
        <f>+'Tables 2-7'!AJ118</f>
        <v>2768974.7562259156</v>
      </c>
      <c r="E167" s="75">
        <f>+'Tables 2-7'!AN118</f>
        <v>2759875.21176854</v>
      </c>
      <c r="G167" s="75">
        <f>+'Tables 2-7'!AF167</f>
        <v>2226376.572671307</v>
      </c>
      <c r="H167" s="75">
        <f>+'Tables 2-7'!AJ167</f>
        <v>2240720.437097556</v>
      </c>
      <c r="I167" s="75">
        <f>+'Tables 2-7'!AN167</f>
        <v>7289064.206095416</v>
      </c>
    </row>
    <row r="168" spans="1:9" ht="12.75">
      <c r="A168" s="11" t="s">
        <v>40</v>
      </c>
      <c r="C168" s="75">
        <f>SUM(C165:C167)</f>
        <v>1375298.3778276476</v>
      </c>
      <c r="D168" s="75">
        <f>SUM(D165:D167)</f>
        <v>8019597.1982473</v>
      </c>
      <c r="E168" s="75">
        <f>SUM(E165:E167)</f>
        <v>8004423.707864625</v>
      </c>
      <c r="G168" s="75">
        <f>SUM(G165:G167)</f>
        <v>6378586.605215808</v>
      </c>
      <c r="H168" s="75">
        <f>SUM(H165:H167)</f>
        <v>6422299.532054802</v>
      </c>
      <c r="I168" s="75">
        <f>SUM(I165:I167)</f>
        <v>21001663.168075778</v>
      </c>
    </row>
    <row r="169" spans="1:9" ht="12.75">
      <c r="A169" s="11" t="s">
        <v>454</v>
      </c>
      <c r="C169" s="75">
        <f>+C168/1000000</f>
        <v>1.3752983778276475</v>
      </c>
      <c r="D169" s="75">
        <f>+D168/1000000</f>
        <v>8.0195971982473</v>
      </c>
      <c r="E169" s="75">
        <f>+E168/1000000</f>
        <v>8.004423707864625</v>
      </c>
      <c r="G169" s="75">
        <f>+G168/1000000</f>
        <v>6.3785866052158084</v>
      </c>
      <c r="H169" s="75">
        <f>+H168/1000000</f>
        <v>6.422299532054803</v>
      </c>
      <c r="I169" s="75">
        <f>+I168/1000000</f>
        <v>21.001663168075776</v>
      </c>
    </row>
    <row r="170" spans="1:9" ht="12.75">
      <c r="A170" s="11"/>
      <c r="C170" s="75"/>
      <c r="D170" s="75"/>
      <c r="E170" s="75"/>
      <c r="G170" s="75"/>
      <c r="H170" s="75"/>
      <c r="I170" s="75"/>
    </row>
    <row r="171" ht="12.75">
      <c r="A171" s="26" t="s">
        <v>449</v>
      </c>
    </row>
    <row r="172" spans="1:9" ht="12.75">
      <c r="A172" t="s">
        <v>446</v>
      </c>
      <c r="C172" s="75">
        <f>'Tables 2-7'!D123</f>
        <v>0</v>
      </c>
      <c r="D172" s="75">
        <f>'Tables 2-7'!H123</f>
        <v>1226793.407804559</v>
      </c>
      <c r="E172" s="75">
        <f>'Tables 2-7'!L123</f>
        <v>8819225.814427264</v>
      </c>
      <c r="G172" s="75">
        <f>'Tables 2-7'!D172</f>
        <v>719268.4853220021</v>
      </c>
      <c r="H172" s="75">
        <f>'Tables 2-7'!H172</f>
        <v>7720958.587589545</v>
      </c>
      <c r="I172" s="75">
        <f>'Tables 2-7'!L172</f>
        <v>8247763.301199084</v>
      </c>
    </row>
    <row r="173" spans="1:9" ht="12.75">
      <c r="A173" t="s">
        <v>447</v>
      </c>
      <c r="C173" s="75">
        <f>'Tables 2-7'!R123</f>
        <v>0</v>
      </c>
      <c r="D173" s="75">
        <f>'Tables 2-7'!V123</f>
        <v>845430.6630563261</v>
      </c>
      <c r="E173" s="75">
        <f>'Tables 2-7'!Z123</f>
        <v>6077668.726047255</v>
      </c>
      <c r="G173" s="75">
        <f>'Tables 2-7'!R172</f>
        <v>495675.6602968108</v>
      </c>
      <c r="H173" s="75">
        <f>'Tables 2-7'!V172</f>
        <v>5320810.412421259</v>
      </c>
      <c r="I173" s="75">
        <f>'Tables 2-7'!Z172</f>
        <v>5683851.86299862</v>
      </c>
    </row>
    <row r="174" spans="1:9" ht="12.75">
      <c r="A174" t="s">
        <v>448</v>
      </c>
      <c r="C174" s="75">
        <f>'Tables 2-7'!AF123</f>
        <v>0</v>
      </c>
      <c r="D174" s="75">
        <f>'Tables 2-7'!AJ123</f>
        <v>612630.9152582088</v>
      </c>
      <c r="E174" s="75">
        <f>'Tables 2-7'!AN123</f>
        <v>4404107.772498012</v>
      </c>
      <c r="G174" s="75">
        <f>'Tables 2-7'!AF172</f>
        <v>359185.2610846445</v>
      </c>
      <c r="H174" s="75">
        <f>'Tables 2-7'!AJ172</f>
        <v>3855659.71914584</v>
      </c>
      <c r="I174" s="75">
        <f>'Tables 2-7'!AN172</f>
        <v>4118733.2340569706</v>
      </c>
    </row>
    <row r="175" spans="1:9" ht="12.75">
      <c r="A175" s="11" t="s">
        <v>40</v>
      </c>
      <c r="C175" s="75">
        <f>SUM(C172:C174)</f>
        <v>0</v>
      </c>
      <c r="D175" s="75">
        <f aca="true" t="shared" si="41" ref="D175:I175">SUM(D172:D174)</f>
        <v>2684854.986119094</v>
      </c>
      <c r="E175" s="75">
        <f t="shared" si="41"/>
        <v>19301002.31297253</v>
      </c>
      <c r="F175" s="75"/>
      <c r="G175" s="75">
        <f t="shared" si="41"/>
        <v>1574129.4067034572</v>
      </c>
      <c r="H175" s="75">
        <f t="shared" si="41"/>
        <v>16897428.719156645</v>
      </c>
      <c r="I175" s="75">
        <f t="shared" si="41"/>
        <v>18050348.398254674</v>
      </c>
    </row>
    <row r="176" spans="1:9" ht="12.75">
      <c r="A176" s="11" t="s">
        <v>454</v>
      </c>
      <c r="C176" s="75">
        <f>+C175/1000000</f>
        <v>0</v>
      </c>
      <c r="D176" s="75">
        <f>+D175/1000000</f>
        <v>2.684854986119094</v>
      </c>
      <c r="E176" s="75">
        <f>+E175/1000000</f>
        <v>19.301002312972532</v>
      </c>
      <c r="G176" s="75">
        <f>+G175/1000000</f>
        <v>1.5741294067034572</v>
      </c>
      <c r="H176" s="75">
        <f>+H175/1000000</f>
        <v>16.897428719156647</v>
      </c>
      <c r="I176" s="75">
        <f>+I175/1000000</f>
        <v>18.050348398254673</v>
      </c>
    </row>
    <row r="177" ht="12.75">
      <c r="A177" s="11"/>
    </row>
    <row r="178" ht="12.75">
      <c r="A178" s="26" t="s">
        <v>490</v>
      </c>
    </row>
    <row r="179" spans="1:9" ht="12.75">
      <c r="A179" t="s">
        <v>446</v>
      </c>
      <c r="C179" s="75">
        <f>+'Tables 2-7'!D125</f>
        <v>0</v>
      </c>
      <c r="D179" s="75">
        <f>+'Tables 2-7'!H125</f>
        <v>0</v>
      </c>
      <c r="E179" s="75">
        <f>+'Tables 2-7'!L125</f>
        <v>0</v>
      </c>
      <c r="G179" s="75">
        <f>+'Tables 2-7'!D174</f>
        <v>0</v>
      </c>
      <c r="H179" s="75">
        <f>+'Tables 2-7'!H174</f>
        <v>0</v>
      </c>
      <c r="I179" s="75">
        <f>+'Tables 2-7'!L174</f>
        <v>3299105.320479634</v>
      </c>
    </row>
    <row r="180" spans="1:9" ht="12.75">
      <c r="A180" t="s">
        <v>447</v>
      </c>
      <c r="C180" s="75">
        <f>+'Tables 2-7'!R125</f>
        <v>0</v>
      </c>
      <c r="D180" s="75">
        <f>+'Tables 2-7'!V125</f>
        <v>0</v>
      </c>
      <c r="E180" s="75">
        <f>+'Tables 2-7'!Z125</f>
        <v>0</v>
      </c>
      <c r="G180" s="75">
        <f>+'Tables 2-7'!R174</f>
        <v>0</v>
      </c>
      <c r="H180" s="75">
        <f>+'Tables 2-7'!V174</f>
        <v>0</v>
      </c>
      <c r="I180" s="75">
        <f>+'Tables 2-7'!Z174</f>
        <v>2273540.7451994484</v>
      </c>
    </row>
    <row r="181" spans="1:9" ht="12.75">
      <c r="A181" t="s">
        <v>448</v>
      </c>
      <c r="C181" s="75">
        <f>+'Tables 2-7'!AF125</f>
        <v>0</v>
      </c>
      <c r="D181" s="75">
        <f>+'Tables 2-7'!AJ125</f>
        <v>0</v>
      </c>
      <c r="E181" s="75">
        <f>+'Tables 2-7'!AN125</f>
        <v>0</v>
      </c>
      <c r="G181" s="75">
        <f>+'Tables 2-7'!AF174</f>
        <v>0</v>
      </c>
      <c r="H181" s="75">
        <f>+'Tables 2-7'!AJ174</f>
        <v>0</v>
      </c>
      <c r="I181" s="75">
        <f>+'Tables 2-7'!AN174</f>
        <v>1647493.2936227883</v>
      </c>
    </row>
    <row r="182" spans="1:9" ht="12.75">
      <c r="A182" s="11" t="s">
        <v>40</v>
      </c>
      <c r="C182" s="75">
        <f>SUM(C179:C181)</f>
        <v>0</v>
      </c>
      <c r="D182" s="75">
        <f>SUM(D179:D181)</f>
        <v>0</v>
      </c>
      <c r="E182" s="75">
        <f>SUM(E179:E181)</f>
        <v>0</v>
      </c>
      <c r="F182" s="75"/>
      <c r="G182" s="75">
        <f>SUM(G179:G181)</f>
        <v>0</v>
      </c>
      <c r="H182" s="75">
        <f>SUM(H179:H181)</f>
        <v>0</v>
      </c>
      <c r="I182" s="75">
        <f>SUM(I179:I181)</f>
        <v>7220139.359301871</v>
      </c>
    </row>
    <row r="183" spans="1:9" ht="12.75">
      <c r="A183" s="11" t="s">
        <v>454</v>
      </c>
      <c r="C183" s="75">
        <f>+C182/1000000</f>
        <v>0</v>
      </c>
      <c r="D183" s="75">
        <f>+D182/1000000</f>
        <v>0</v>
      </c>
      <c r="E183" s="75">
        <f>+E182/1000000</f>
        <v>0</v>
      </c>
      <c r="G183" s="75">
        <f>+G182/1000000</f>
        <v>0</v>
      </c>
      <c r="H183" s="75">
        <f>+H182/1000000</f>
        <v>0</v>
      </c>
      <c r="I183" s="75">
        <f>+I182/1000000</f>
        <v>7.220139359301871</v>
      </c>
    </row>
    <row r="184" ht="12.75">
      <c r="A184" s="11"/>
    </row>
    <row r="185" ht="12.75">
      <c r="A185" s="26" t="s">
        <v>492</v>
      </c>
    </row>
    <row r="186" spans="1:9" ht="12.75">
      <c r="A186" s="11" t="s">
        <v>493</v>
      </c>
      <c r="C186" s="77">
        <v>1</v>
      </c>
      <c r="D186" s="77">
        <v>1</v>
      </c>
      <c r="E186" s="77">
        <v>1</v>
      </c>
      <c r="F186" s="77"/>
      <c r="G186" s="77">
        <v>1</v>
      </c>
      <c r="H186" s="77">
        <v>1</v>
      </c>
      <c r="I186" s="77">
        <v>1</v>
      </c>
    </row>
    <row r="187" spans="1:9" ht="12.75">
      <c r="A187" t="s">
        <v>446</v>
      </c>
      <c r="C187" s="76"/>
      <c r="D187" s="76"/>
      <c r="E187" s="76"/>
      <c r="F187" s="76"/>
      <c r="G187" s="76"/>
      <c r="H187" s="76"/>
      <c r="I187" s="76"/>
    </row>
    <row r="188" spans="1:9" ht="12.75">
      <c r="A188" t="s">
        <v>447</v>
      </c>
      <c r="C188" s="76"/>
      <c r="D188" s="76"/>
      <c r="E188" s="76"/>
      <c r="F188" s="76"/>
      <c r="G188" s="76"/>
      <c r="H188" s="76"/>
      <c r="I188" s="76"/>
    </row>
    <row r="189" ht="12.75">
      <c r="A189" t="s">
        <v>448</v>
      </c>
    </row>
    <row r="190" spans="1:9" ht="12.75">
      <c r="A190" s="11" t="s">
        <v>40</v>
      </c>
      <c r="C190" s="76">
        <f aca="true" t="shared" si="42" ref="C190:I190">+C66*C186*250</f>
        <v>0</v>
      </c>
      <c r="D190" s="76">
        <f t="shared" si="42"/>
        <v>373398.54284987814</v>
      </c>
      <c r="E190" s="76">
        <f t="shared" si="42"/>
        <v>2684303.687337537</v>
      </c>
      <c r="F190" s="76">
        <f t="shared" si="42"/>
        <v>0</v>
      </c>
      <c r="G190" s="76">
        <f t="shared" si="42"/>
        <v>218923.41663109118</v>
      </c>
      <c r="H190" s="76">
        <f t="shared" si="42"/>
        <v>2350024.59881939</v>
      </c>
      <c r="I190" s="76">
        <f t="shared" si="42"/>
        <v>2510367.906157724</v>
      </c>
    </row>
    <row r="191" spans="1:9" ht="12.75">
      <c r="A191" s="11" t="s">
        <v>454</v>
      </c>
      <c r="C191" s="134">
        <f>+C190/1000000</f>
        <v>0</v>
      </c>
      <c r="D191" s="134">
        <f aca="true" t="shared" si="43" ref="D191:I191">+D190/1000000</f>
        <v>0.37339854284987817</v>
      </c>
      <c r="E191" s="134">
        <f t="shared" si="43"/>
        <v>2.684303687337537</v>
      </c>
      <c r="F191" s="134"/>
      <c r="G191" s="134">
        <f t="shared" si="43"/>
        <v>0.2189234166310912</v>
      </c>
      <c r="H191" s="134">
        <f t="shared" si="43"/>
        <v>2.35002459881939</v>
      </c>
      <c r="I191" s="134">
        <f t="shared" si="43"/>
        <v>2.510367906157724</v>
      </c>
    </row>
    <row r="192" ht="12.75">
      <c r="A192" s="11"/>
    </row>
    <row r="193" spans="1:9" ht="12.75">
      <c r="A193" s="11" t="s">
        <v>453</v>
      </c>
      <c r="C193" s="75">
        <f>+C89</f>
        <v>65.91933677169796</v>
      </c>
      <c r="D193" s="75">
        <f aca="true" t="shared" si="44" ref="D193:I193">+D89</f>
        <v>90.09533806108468</v>
      </c>
      <c r="E193" s="75">
        <f t="shared" si="44"/>
        <v>90.09533806108468</v>
      </c>
      <c r="F193" s="75"/>
      <c r="G193" s="75">
        <f t="shared" si="44"/>
        <v>92.09533806108468</v>
      </c>
      <c r="H193" s="75">
        <f t="shared" si="44"/>
        <v>92.09533806108468</v>
      </c>
      <c r="I193" s="75">
        <f t="shared" si="44"/>
        <v>71.14280361028285</v>
      </c>
    </row>
    <row r="194" ht="12.75">
      <c r="A194" s="26"/>
    </row>
    <row r="195" spans="1:9" ht="12.75">
      <c r="A195" s="11" t="s">
        <v>457</v>
      </c>
      <c r="C195" s="75">
        <f>+C169+C176+C193</f>
        <v>67.2946351495256</v>
      </c>
      <c r="D195" s="75">
        <f aca="true" t="shared" si="45" ref="D195:I195">+D169+D176+D193</f>
        <v>100.79979024545106</v>
      </c>
      <c r="E195" s="75">
        <f t="shared" si="45"/>
        <v>117.40076408192184</v>
      </c>
      <c r="F195" s="75"/>
      <c r="G195" s="75">
        <f t="shared" si="45"/>
        <v>100.04805407300394</v>
      </c>
      <c r="H195" s="75">
        <f t="shared" si="45"/>
        <v>115.41506631229612</v>
      </c>
      <c r="I195" s="75">
        <f t="shared" si="45"/>
        <v>110.1948151766133</v>
      </c>
    </row>
    <row r="196" ht="12.75">
      <c r="A196" s="26"/>
    </row>
    <row r="197" ht="12.75">
      <c r="A197" s="26" t="s">
        <v>431</v>
      </c>
    </row>
    <row r="198" spans="1:9" ht="12.75">
      <c r="A198" t="s">
        <v>531</v>
      </c>
      <c r="C198" s="75">
        <f>+'Tables 2-7'!E211</f>
        <v>1876.1752295123472</v>
      </c>
      <c r="D198" s="75">
        <f>'Tables 2-7'!I211</f>
        <v>2153.607656137024</v>
      </c>
      <c r="E198" s="75">
        <f>'Tables 2-7'!M211</f>
        <v>2357.7457092508544</v>
      </c>
      <c r="G198" s="75">
        <f>'Tables 2-7'!E249</f>
        <v>2311.668867384743</v>
      </c>
      <c r="H198" s="75">
        <f>'Tables 2-7'!I249</f>
        <v>2481.288293660203</v>
      </c>
      <c r="I198" s="75">
        <f>'Tables 2-7'!M249</f>
        <v>3358.112204276575</v>
      </c>
    </row>
    <row r="199" spans="1:9" ht="12.75">
      <c r="A199" t="s">
        <v>532</v>
      </c>
      <c r="C199" s="75">
        <f>'Tables 2-7'!S211</f>
        <v>1360.212070147522</v>
      </c>
      <c r="D199" s="75">
        <f>'Tables 2-7'!W211</f>
        <v>1558.2796755182337</v>
      </c>
      <c r="E199" s="75">
        <f>'Tables 2-7'!AA211</f>
        <v>1711.6930141567666</v>
      </c>
      <c r="G199" s="75">
        <f>'Tables 2-7'!S249</f>
        <v>1672.8540956719619</v>
      </c>
      <c r="H199" s="75">
        <f>'Tables 2-7'!W249</f>
        <v>1801.4105245694325</v>
      </c>
      <c r="I199" s="75">
        <f>'Tables 2-7'!AA249</f>
        <v>2257.2904139662637</v>
      </c>
    </row>
    <row r="200" spans="1:9" ht="12.75">
      <c r="A200" t="s">
        <v>533</v>
      </c>
      <c r="C200" s="75">
        <f>'Tables 2-7'!AG211</f>
        <v>742.8702040085554</v>
      </c>
      <c r="D200" s="75">
        <f>'Tables 2-7'!AK211</f>
        <v>850.9388930665581</v>
      </c>
      <c r="E200" s="75">
        <f>'Tables 2-7'!AO211</f>
        <v>921.4845612570754</v>
      </c>
      <c r="G200" s="75">
        <f>'Tables 2-7'!AG249</f>
        <v>912.127386559209</v>
      </c>
      <c r="H200" s="75">
        <f>'Tables 2-7'!AK249</f>
        <v>969.9060147258957</v>
      </c>
      <c r="I200" s="75">
        <f>'Tables 2-7'!AO249</f>
        <v>1387.3040057838207</v>
      </c>
    </row>
    <row r="201" spans="1:9" ht="12.75">
      <c r="A201" t="s">
        <v>19</v>
      </c>
      <c r="C201" s="75">
        <f>+Inputs!B61*'Table 8&amp;9'!C74</f>
        <v>39.14000246250001</v>
      </c>
      <c r="D201" s="75">
        <f>+Inputs!B61*'Table 8&amp;9'!D74</f>
        <v>100.72503287400649</v>
      </c>
      <c r="E201" s="75">
        <f>+Inputs!B61*'Table 8&amp;9'!E74</f>
        <v>526.6842851055434</v>
      </c>
      <c r="G201" s="75">
        <f>+Inputs!B61*'Table 8&amp;9'!G74</f>
        <v>94.25555665979135</v>
      </c>
      <c r="H201" s="75">
        <f>+Inputs!B61*'Table 8&amp;9'!H74</f>
        <v>489.35166222074844</v>
      </c>
      <c r="I201" s="75">
        <f>+Inputs!B61*'Table 8&amp;9'!I74</f>
        <v>676.3452841701344</v>
      </c>
    </row>
    <row r="202" spans="1:9" ht="12.75">
      <c r="A202" s="11" t="s">
        <v>40</v>
      </c>
      <c r="C202" s="75">
        <f>SUM(C198:C201)</f>
        <v>4018.3975061309247</v>
      </c>
      <c r="D202" s="75">
        <f aca="true" t="shared" si="46" ref="D202:I202">SUM(D198:D201)</f>
        <v>4663.551257595823</v>
      </c>
      <c r="E202" s="75">
        <f t="shared" si="46"/>
        <v>5517.60756977024</v>
      </c>
      <c r="F202" s="75"/>
      <c r="G202" s="75">
        <f t="shared" si="46"/>
        <v>4990.905906275705</v>
      </c>
      <c r="H202" s="75">
        <f t="shared" si="46"/>
        <v>5741.9564951762795</v>
      </c>
      <c r="I202" s="75">
        <f t="shared" si="46"/>
        <v>7679.051908196794</v>
      </c>
    </row>
    <row r="204" ht="12.75">
      <c r="A204" s="26" t="s">
        <v>623</v>
      </c>
    </row>
    <row r="205" ht="12.75">
      <c r="A205" t="s">
        <v>531</v>
      </c>
    </row>
    <row r="206" ht="12.75">
      <c r="A206" t="s">
        <v>532</v>
      </c>
    </row>
    <row r="207" ht="12.75">
      <c r="A207" t="s">
        <v>533</v>
      </c>
    </row>
    <row r="208" ht="12.75">
      <c r="A208" s="11" t="s">
        <v>40</v>
      </c>
    </row>
  </sheetData>
  <mergeCells count="4">
    <mergeCell ref="C5:E5"/>
    <mergeCell ref="G5:I5"/>
    <mergeCell ref="C118:E118"/>
    <mergeCell ref="G118:I118"/>
  </mergeCells>
  <printOptions/>
  <pageMargins left="0.75" right="0.75" top="1" bottom="1" header="0.5" footer="0.5"/>
  <pageSetup horizontalDpi="600" verticalDpi="600" orientation="landscape" scale="97" r:id="rId1"/>
  <rowBreaks count="1" manualBreakCount="1">
    <brk id="7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0"/>
  <sheetViews>
    <sheetView view="pageBreakPreview" zoomScale="60" zoomScaleNormal="75" workbookViewId="0" topLeftCell="A1">
      <selection activeCell="A1" sqref="A1:IV250"/>
    </sheetView>
  </sheetViews>
  <sheetFormatPr defaultColWidth="9.140625" defaultRowHeight="12.75"/>
  <cols>
    <col min="1" max="1" width="25.28125" style="0" customWidth="1"/>
    <col min="2" max="2" width="10.7109375" style="0" customWidth="1"/>
    <col min="3" max="3" width="11.8515625" style="0" customWidth="1"/>
    <col min="4" max="4" width="13.57421875" style="0" customWidth="1"/>
    <col min="5" max="5" width="12.57421875" style="0" customWidth="1"/>
    <col min="6" max="6" width="5.28125" style="0" customWidth="1"/>
    <col min="7" max="7" width="12.421875" style="0" customWidth="1"/>
    <col min="8" max="9" width="13.7109375" style="0" customWidth="1"/>
    <col min="10" max="10" width="4.57421875" style="0" customWidth="1"/>
    <col min="11" max="11" width="13.7109375" style="0" customWidth="1"/>
    <col min="12" max="12" width="17.28125" style="0" customWidth="1"/>
    <col min="13" max="13" width="13.28125" style="0" customWidth="1"/>
    <col min="14" max="14" width="4.8515625" style="0" customWidth="1"/>
    <col min="15" max="15" width="37.140625" style="0" customWidth="1"/>
    <col min="16" max="16" width="10.28125" style="0" customWidth="1"/>
    <col min="17" max="17" width="14.57421875" style="0" customWidth="1"/>
    <col min="18" max="18" width="15.28125" style="0" customWidth="1"/>
    <col min="19" max="19" width="13.7109375" style="0" customWidth="1"/>
    <col min="20" max="20" width="4.421875" style="0" customWidth="1"/>
    <col min="21" max="21" width="13.421875" style="0" customWidth="1"/>
    <col min="22" max="22" width="14.28125" style="0" customWidth="1"/>
    <col min="23" max="23" width="14.140625" style="0" customWidth="1"/>
    <col min="24" max="24" width="4.421875" style="0" customWidth="1"/>
    <col min="25" max="25" width="13.140625" style="0" customWidth="1"/>
    <col min="26" max="26" width="14.140625" style="0" customWidth="1"/>
    <col min="27" max="27" width="13.00390625" style="0" customWidth="1"/>
    <col min="28" max="28" width="5.28125" style="0" customWidth="1"/>
    <col min="29" max="29" width="26.00390625" style="0" customWidth="1"/>
    <col min="31" max="31" width="14.140625" style="0" customWidth="1"/>
    <col min="32" max="32" width="12.421875" style="0" customWidth="1"/>
    <col min="33" max="33" width="14.8515625" style="0" customWidth="1"/>
    <col min="34" max="34" width="5.421875" style="0" customWidth="1"/>
    <col min="35" max="35" width="14.421875" style="0" customWidth="1"/>
    <col min="36" max="36" width="17.00390625" style="0" customWidth="1"/>
    <col min="37" max="37" width="13.421875" style="0" customWidth="1"/>
    <col min="38" max="38" width="4.8515625" style="0" customWidth="1"/>
    <col min="39" max="39" width="15.140625" style="0" customWidth="1"/>
    <col min="40" max="40" width="14.8515625" style="0" customWidth="1"/>
    <col min="41" max="41" width="14.5742187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0" ht="12.75">
      <c r="A3" s="1" t="s">
        <v>602</v>
      </c>
      <c r="B3" s="1"/>
      <c r="O3" s="1" t="s">
        <v>473</v>
      </c>
      <c r="P3" s="1"/>
      <c r="AC3" s="1" t="s">
        <v>474</v>
      </c>
      <c r="AD3" s="1"/>
    </row>
    <row r="4" spans="3:37" ht="12.75">
      <c r="C4" s="175"/>
      <c r="D4" s="176"/>
      <c r="E4" s="176"/>
      <c r="F4" s="108"/>
      <c r="G4" s="175"/>
      <c r="H4" s="176"/>
      <c r="I4" s="176"/>
      <c r="Q4" s="175"/>
      <c r="R4" s="176"/>
      <c r="S4" s="176"/>
      <c r="T4" s="108"/>
      <c r="U4" s="175"/>
      <c r="V4" s="176"/>
      <c r="W4" s="176"/>
      <c r="AE4" s="175"/>
      <c r="AF4" s="176"/>
      <c r="AG4" s="176"/>
      <c r="AH4" s="108"/>
      <c r="AI4" s="175"/>
      <c r="AJ4" s="176"/>
      <c r="AK4" s="176"/>
    </row>
    <row r="5" spans="3:38" ht="12.75">
      <c r="C5" s="5" t="str">
        <f>+'Sensitivity Anal'!B15</f>
        <v>No 1</v>
      </c>
      <c r="D5" s="5" t="str">
        <f>+'Sensitivity Anal'!C15</f>
        <v>No 2</v>
      </c>
      <c r="E5" s="5" t="str">
        <f>+'Sensitivity Anal'!D15</f>
        <v>No 3</v>
      </c>
      <c r="F5" s="5"/>
      <c r="G5" s="5" t="str">
        <f>+'Sensitivity Anal'!F15</f>
        <v>No 4</v>
      </c>
      <c r="H5" s="5" t="str">
        <f>+'Sensitivity Anal'!G15</f>
        <v>No 5</v>
      </c>
      <c r="I5" s="5" t="str">
        <f>+'Sensitivity Anal'!H15</f>
        <v>No 6</v>
      </c>
      <c r="J5" s="5"/>
      <c r="Q5" s="5" t="str">
        <f aca="true" t="shared" si="0" ref="Q5:W6">+C5</f>
        <v>No 1</v>
      </c>
      <c r="R5" s="5" t="str">
        <f t="shared" si="0"/>
        <v>No 2</v>
      </c>
      <c r="S5" s="5" t="str">
        <f t="shared" si="0"/>
        <v>No 3</v>
      </c>
      <c r="T5" s="5">
        <f t="shared" si="0"/>
        <v>0</v>
      </c>
      <c r="U5" s="5" t="str">
        <f t="shared" si="0"/>
        <v>No 4</v>
      </c>
      <c r="V5" s="5" t="str">
        <f t="shared" si="0"/>
        <v>No 5</v>
      </c>
      <c r="W5" s="5" t="str">
        <f t="shared" si="0"/>
        <v>No 6</v>
      </c>
      <c r="X5" s="5"/>
      <c r="AE5" s="5" t="str">
        <f aca="true" t="shared" si="1" ref="AE5:AK6">+C5</f>
        <v>No 1</v>
      </c>
      <c r="AF5" s="5" t="str">
        <f t="shared" si="1"/>
        <v>No 2</v>
      </c>
      <c r="AG5" s="5" t="str">
        <f t="shared" si="1"/>
        <v>No 3</v>
      </c>
      <c r="AH5" s="5">
        <f t="shared" si="1"/>
        <v>0</v>
      </c>
      <c r="AI5" s="5" t="str">
        <f t="shared" si="1"/>
        <v>No 4</v>
      </c>
      <c r="AJ5" s="5" t="str">
        <f t="shared" si="1"/>
        <v>No 5</v>
      </c>
      <c r="AK5" s="5" t="str">
        <f t="shared" si="1"/>
        <v>No 6</v>
      </c>
      <c r="AL5" s="5"/>
    </row>
    <row r="6" spans="2:37" ht="12.75">
      <c r="B6" s="121" t="s">
        <v>1</v>
      </c>
      <c r="C6" s="122" t="str">
        <f>+'Sensitivity Anal'!B16</f>
        <v>10 GP Ln</v>
      </c>
      <c r="D6" s="122" t="str">
        <f>+'Sensitivity Anal'!C16</f>
        <v>4 ET+EB</v>
      </c>
      <c r="E6" s="122" t="str">
        <f>+'Sensitivity Anal'!D16</f>
        <v>4 ET+BRT</v>
      </c>
      <c r="F6" s="122"/>
      <c r="G6" s="122" t="str">
        <f>+'Sensitivity Anal'!F16</f>
        <v>4 HOT+EB</v>
      </c>
      <c r="H6" s="122" t="str">
        <f>+'Sensitivity Anal'!G16</f>
        <v>4 HOT+BRT</v>
      </c>
      <c r="I6" s="122" t="str">
        <f>+'Sensitivity Anal'!H16</f>
        <v>10 H + BRT</v>
      </c>
      <c r="P6" s="39" t="s">
        <v>1</v>
      </c>
      <c r="Q6" s="5" t="str">
        <f t="shared" si="0"/>
        <v>10 GP Ln</v>
      </c>
      <c r="R6" s="5" t="str">
        <f t="shared" si="0"/>
        <v>4 ET+EB</v>
      </c>
      <c r="S6" s="5" t="str">
        <f t="shared" si="0"/>
        <v>4 ET+BRT</v>
      </c>
      <c r="T6" s="5">
        <f t="shared" si="0"/>
        <v>0</v>
      </c>
      <c r="U6" s="5" t="str">
        <f t="shared" si="0"/>
        <v>4 HOT+EB</v>
      </c>
      <c r="V6" s="5" t="str">
        <f t="shared" si="0"/>
        <v>4 HOT+BRT</v>
      </c>
      <c r="W6" s="5" t="str">
        <f t="shared" si="0"/>
        <v>10 H + BRT</v>
      </c>
      <c r="AD6" s="39" t="s">
        <v>1</v>
      </c>
      <c r="AE6" s="5" t="str">
        <f t="shared" si="1"/>
        <v>10 GP Ln</v>
      </c>
      <c r="AF6" s="5" t="str">
        <f t="shared" si="1"/>
        <v>4 ET+EB</v>
      </c>
      <c r="AG6" s="5" t="str">
        <f t="shared" si="1"/>
        <v>4 ET+BRT</v>
      </c>
      <c r="AH6" s="5">
        <f t="shared" si="1"/>
        <v>0</v>
      </c>
      <c r="AI6" s="5" t="str">
        <f t="shared" si="1"/>
        <v>4 HOT+EB</v>
      </c>
      <c r="AJ6" s="5" t="str">
        <f t="shared" si="1"/>
        <v>4 HOT+BRT</v>
      </c>
      <c r="AK6" s="5" t="str">
        <f t="shared" si="1"/>
        <v>10 H + BRT</v>
      </c>
    </row>
    <row r="7" spans="1:37" ht="12.75">
      <c r="A7" t="s">
        <v>3</v>
      </c>
      <c r="B7" s="15">
        <f>+'mode ch'!B7</f>
        <v>445000</v>
      </c>
      <c r="C7" s="2">
        <f>+B7</f>
        <v>445000</v>
      </c>
      <c r="D7" s="2">
        <f>+C7</f>
        <v>445000</v>
      </c>
      <c r="E7" s="2">
        <f>+D7</f>
        <v>445000</v>
      </c>
      <c r="G7" s="2">
        <f>+B7</f>
        <v>445000</v>
      </c>
      <c r="H7" s="2">
        <f>+C7</f>
        <v>445000</v>
      </c>
      <c r="I7" s="2">
        <f>+D7</f>
        <v>445000</v>
      </c>
      <c r="O7" t="s">
        <v>3</v>
      </c>
      <c r="P7" s="15">
        <f>+'mode ch'!P7</f>
        <v>460000</v>
      </c>
      <c r="Q7" s="2">
        <f>+P7</f>
        <v>460000</v>
      </c>
      <c r="R7" s="2">
        <f>+Q7</f>
        <v>460000</v>
      </c>
      <c r="S7" s="2">
        <f>+R7</f>
        <v>460000</v>
      </c>
      <c r="U7" s="2">
        <f>+P7</f>
        <v>460000</v>
      </c>
      <c r="V7" s="2">
        <f>+Q7</f>
        <v>460000</v>
      </c>
      <c r="W7" s="2">
        <f>+R7</f>
        <v>460000</v>
      </c>
      <c r="AC7" t="s">
        <v>3</v>
      </c>
      <c r="AD7" s="15">
        <f>+'mode ch'!AD7</f>
        <v>400000</v>
      </c>
      <c r="AE7" s="2">
        <f>+AD7</f>
        <v>400000</v>
      </c>
      <c r="AF7" s="2">
        <f>+AE7</f>
        <v>400000</v>
      </c>
      <c r="AG7" s="2">
        <f>+AF7</f>
        <v>400000</v>
      </c>
      <c r="AI7" s="2">
        <f>+AD7</f>
        <v>400000</v>
      </c>
      <c r="AJ7" s="2">
        <f>+AE7</f>
        <v>400000</v>
      </c>
      <c r="AK7" s="2">
        <f>+AF7</f>
        <v>400000</v>
      </c>
    </row>
    <row r="8" spans="1:38" ht="12.75">
      <c r="A8" t="s">
        <v>413</v>
      </c>
      <c r="B8" s="2">
        <f>+'mode ch'!B31</f>
        <v>333689.3181818182</v>
      </c>
      <c r="C8" s="2">
        <f>+'mode ch'!B127</f>
        <v>333689.3181818182</v>
      </c>
      <c r="D8" s="2">
        <f>+'mode ch'!C127</f>
        <v>332752.4941249492</v>
      </c>
      <c r="E8" s="2">
        <f>+'mode ch'!D127</f>
        <v>326954.63665080094</v>
      </c>
      <c r="F8" s="2"/>
      <c r="G8" s="2">
        <f>+'mode ch'!E127</f>
        <v>325641.57643012167</v>
      </c>
      <c r="H8" s="2">
        <f>+'mode ch'!F127</f>
        <v>320853.17749830574</v>
      </c>
      <c r="I8" s="2">
        <f>+'mode ch'!G127</f>
        <v>324876.86536362336</v>
      </c>
      <c r="J8" s="2"/>
      <c r="O8" t="s">
        <v>413</v>
      </c>
      <c r="P8" s="2">
        <f>+'mode ch'!P31</f>
        <v>344937.2727272727</v>
      </c>
      <c r="Q8" s="2">
        <f>+'mode ch'!P127</f>
        <v>344937.2727272727</v>
      </c>
      <c r="R8" s="2">
        <f>+'mode ch'!Q127</f>
        <v>343968.8703314082</v>
      </c>
      <c r="S8" s="2">
        <f>+'mode ch'!R127</f>
        <v>337975.579459255</v>
      </c>
      <c r="T8" s="2"/>
      <c r="U8" s="2">
        <f>+'mode ch'!S127</f>
        <v>336618.25878169877</v>
      </c>
      <c r="V8" s="2">
        <f>+'mode ch'!T127</f>
        <v>331668.453144316</v>
      </c>
      <c r="W8" s="2">
        <f>+'mode ch'!U127</f>
        <v>335827.77093767805</v>
      </c>
      <c r="X8" s="2"/>
      <c r="AC8" t="s">
        <v>413</v>
      </c>
      <c r="AD8" s="2">
        <f>+'mode ch'!AD31</f>
        <v>299945.45454545453</v>
      </c>
      <c r="AE8" s="2">
        <f>+'mode ch'!AD127</f>
        <v>299945.45454545453</v>
      </c>
      <c r="AF8" s="2">
        <f>+'mode ch'!AE127</f>
        <v>299103.36550557235</v>
      </c>
      <c r="AG8" s="2">
        <f>+'mode ch'!AF127</f>
        <v>293891.80822543905</v>
      </c>
      <c r="AH8" s="2"/>
      <c r="AI8" s="2">
        <f>+'mode ch'!AG127</f>
        <v>292711.52937539027</v>
      </c>
      <c r="AJ8" s="2">
        <f>+'mode ch'!AH127</f>
        <v>288407.3505602748</v>
      </c>
      <c r="AK8" s="2">
        <f>+'mode ch'!AI127</f>
        <v>292024.1486414592</v>
      </c>
      <c r="AL8" s="2"/>
    </row>
    <row r="9" spans="2:38" ht="12.75">
      <c r="B9" s="2"/>
      <c r="C9" s="2"/>
      <c r="D9" s="2"/>
      <c r="F9" s="2"/>
      <c r="G9" s="2"/>
      <c r="H9" s="2"/>
      <c r="I9" s="2"/>
      <c r="J9" s="2"/>
      <c r="P9" s="2"/>
      <c r="Q9" s="2"/>
      <c r="R9" s="2"/>
      <c r="T9" s="2"/>
      <c r="U9" s="2"/>
      <c r="V9" s="2"/>
      <c r="W9" s="2"/>
      <c r="X9" s="2"/>
      <c r="AD9" s="2"/>
      <c r="AE9" s="2"/>
      <c r="AF9" s="2"/>
      <c r="AH9" s="2"/>
      <c r="AI9" s="2"/>
      <c r="AJ9" s="2"/>
      <c r="AK9" s="2"/>
      <c r="AL9" s="2"/>
    </row>
    <row r="10" spans="1:33" ht="12.75">
      <c r="A10" t="s">
        <v>15</v>
      </c>
      <c r="E10" s="2"/>
      <c r="O10" t="s">
        <v>15</v>
      </c>
      <c r="S10" s="2"/>
      <c r="AC10" t="s">
        <v>15</v>
      </c>
      <c r="AG10" s="2"/>
    </row>
    <row r="11" spans="1:33" ht="12.75">
      <c r="A11" t="s">
        <v>415</v>
      </c>
      <c r="E11" s="2"/>
      <c r="O11" t="s">
        <v>415</v>
      </c>
      <c r="S11" s="2"/>
      <c r="AC11" t="s">
        <v>415</v>
      </c>
      <c r="AG11" s="2"/>
    </row>
    <row r="12" spans="1:38" ht="12.75">
      <c r="A12" t="s">
        <v>17</v>
      </c>
      <c r="B12" s="4">
        <f>+'mode ch'!B40</f>
        <v>0.8</v>
      </c>
      <c r="C12" s="4">
        <f>+'mode ch'!B84</f>
        <v>0.8</v>
      </c>
      <c r="D12" s="4">
        <f>+'mode ch'!C84</f>
        <v>0.7959157938982785</v>
      </c>
      <c r="E12" s="4">
        <f>+'mode ch'!D84</f>
        <v>0.7706392815166798</v>
      </c>
      <c r="F12" s="4"/>
      <c r="G12" s="4">
        <f>+'mode ch'!E84</f>
        <v>0.7358201851568462</v>
      </c>
      <c r="H12" s="4">
        <f>+'mode ch'!F84</f>
        <v>0.7171109611361177</v>
      </c>
      <c r="I12" s="4">
        <f>+'mode ch'!G84</f>
        <v>0.7518258464021143</v>
      </c>
      <c r="J12" s="4"/>
      <c r="O12" t="s">
        <v>17</v>
      </c>
      <c r="P12" s="4">
        <f>+'mode ch'!P40</f>
        <v>0.7999999999999998</v>
      </c>
      <c r="Q12" s="4">
        <f>+'mode ch'!P84</f>
        <v>0.7999999999999998</v>
      </c>
      <c r="R12" s="4">
        <f>+'mode ch'!Q84</f>
        <v>0.7959157938982784</v>
      </c>
      <c r="S12" s="4">
        <f>+'mode ch'!R84</f>
        <v>0.7706392815166797</v>
      </c>
      <c r="T12" s="4"/>
      <c r="U12" s="4">
        <f>+'mode ch'!S84</f>
        <v>0.735820185156846</v>
      </c>
      <c r="V12" s="4">
        <f>+'mode ch'!T84</f>
        <v>0.7171109611361174</v>
      </c>
      <c r="W12" s="4">
        <f>+'mode ch'!U84</f>
        <v>0.751825846402114</v>
      </c>
      <c r="X12" s="4"/>
      <c r="AC12" t="s">
        <v>17</v>
      </c>
      <c r="AD12" s="4">
        <f>+'mode ch'!AD40</f>
        <v>0.7999999999999998</v>
      </c>
      <c r="AE12" s="4">
        <f>+'mode ch'!AD84</f>
        <v>0.7999999999999998</v>
      </c>
      <c r="AF12" s="4">
        <f>+'mode ch'!AE84</f>
        <v>0.7959157938982785</v>
      </c>
      <c r="AG12" s="4">
        <f>+'mode ch'!AF84</f>
        <v>0.7706392815166797</v>
      </c>
      <c r="AH12" s="4"/>
      <c r="AI12" s="4">
        <f>+'mode ch'!AG84</f>
        <v>0.735820185156846</v>
      </c>
      <c r="AJ12" s="4">
        <f>+'mode ch'!AH84</f>
        <v>0.7171109611361174</v>
      </c>
      <c r="AK12" s="4">
        <f>+'mode ch'!AI84</f>
        <v>0.751825846402114</v>
      </c>
      <c r="AL12" s="4"/>
    </row>
    <row r="13" spans="1:38" ht="12.75">
      <c r="A13" t="s">
        <v>18</v>
      </c>
      <c r="B13" s="4">
        <f>+'mode ch'!B41</f>
        <v>0.16000000000000003</v>
      </c>
      <c r="C13" s="4">
        <f>+'mode ch'!B85</f>
        <v>0.16000000000000003</v>
      </c>
      <c r="D13" s="4">
        <f>+'mode ch'!C85</f>
        <v>0.15918315877965575</v>
      </c>
      <c r="E13" s="4">
        <f>+'mode ch'!D85</f>
        <v>0.15412785630333597</v>
      </c>
      <c r="F13" s="4"/>
      <c r="G13" s="4">
        <f>+'mode ch'!E85</f>
        <v>0.22130633275447664</v>
      </c>
      <c r="H13" s="4">
        <f>+'mode ch'!F85</f>
        <v>0.2120437611107156</v>
      </c>
      <c r="I13" s="4">
        <f>+'mode ch'!G85</f>
        <v>0.17522428772543</v>
      </c>
      <c r="J13" s="4"/>
      <c r="O13" t="s">
        <v>18</v>
      </c>
      <c r="P13" s="4">
        <f>+'mode ch'!P41</f>
        <v>0.16000000000000017</v>
      </c>
      <c r="Q13" s="4">
        <f>+'mode ch'!P85</f>
        <v>0.16000000000000017</v>
      </c>
      <c r="R13" s="4">
        <f>+'mode ch'!Q85</f>
        <v>0.1591831587796559</v>
      </c>
      <c r="S13" s="4">
        <f>+'mode ch'!R85</f>
        <v>0.15412785630333614</v>
      </c>
      <c r="T13" s="4"/>
      <c r="U13" s="4">
        <f>+'mode ch'!S85</f>
        <v>0.22130633275447684</v>
      </c>
      <c r="V13" s="4">
        <f>+'mode ch'!T85</f>
        <v>0.21204376111071577</v>
      </c>
      <c r="W13" s="4">
        <f>+'mode ch'!U85</f>
        <v>0.1752242877254302</v>
      </c>
      <c r="X13" s="4"/>
      <c r="AC13" t="s">
        <v>18</v>
      </c>
      <c r="AD13" s="4">
        <f>+'mode ch'!AD41</f>
        <v>0.16000000000000014</v>
      </c>
      <c r="AE13" s="4">
        <f>+'mode ch'!AD85</f>
        <v>0.16000000000000014</v>
      </c>
      <c r="AF13" s="4">
        <f>+'mode ch'!AE85</f>
        <v>0.1591831587796559</v>
      </c>
      <c r="AG13" s="4">
        <f>+'mode ch'!AF85</f>
        <v>0.1541278563033361</v>
      </c>
      <c r="AH13" s="4"/>
      <c r="AI13" s="4">
        <f>+'mode ch'!AG85</f>
        <v>0.22130633275447678</v>
      </c>
      <c r="AJ13" s="4">
        <f>+'mode ch'!AH85</f>
        <v>0.21204376111071574</v>
      </c>
      <c r="AK13" s="4">
        <f>+'mode ch'!AI85</f>
        <v>0.17522428772543014</v>
      </c>
      <c r="AL13" s="4"/>
    </row>
    <row r="14" spans="1:38" ht="12.75">
      <c r="A14" t="s">
        <v>19</v>
      </c>
      <c r="B14" s="4">
        <f>+'mode ch'!B42</f>
        <v>0.04</v>
      </c>
      <c r="C14" s="4">
        <f>+'mode ch'!B86</f>
        <v>0.04</v>
      </c>
      <c r="D14" s="4">
        <f>+'mode ch'!C86</f>
        <v>0.04490104732206566</v>
      </c>
      <c r="E14" s="4">
        <f>+'mode ch'!D86</f>
        <v>0.07523286217998408</v>
      </c>
      <c r="F14" s="4"/>
      <c r="G14" s="4">
        <f>+'mode ch'!E86</f>
        <v>0.04287348208867716</v>
      </c>
      <c r="H14" s="4">
        <f>+'mode ch'!F86</f>
        <v>0.07084527775316672</v>
      </c>
      <c r="I14" s="4">
        <f>+'mode ch'!G86</f>
        <v>0.07294986587245576</v>
      </c>
      <c r="J14" s="4"/>
      <c r="O14" t="s">
        <v>19</v>
      </c>
      <c r="P14" s="4">
        <f>+'mode ch'!P42</f>
        <v>0.04</v>
      </c>
      <c r="Q14" s="4">
        <f>+'mode ch'!P86</f>
        <v>0.04</v>
      </c>
      <c r="R14" s="4">
        <f>+'mode ch'!Q86</f>
        <v>0.04490104732206566</v>
      </c>
      <c r="S14" s="4">
        <f>+'mode ch'!R86</f>
        <v>0.0752328621799841</v>
      </c>
      <c r="T14" s="4"/>
      <c r="U14" s="4">
        <f>+'mode ch'!S86</f>
        <v>0.04287348208867716</v>
      </c>
      <c r="V14" s="4">
        <f>+'mode ch'!T86</f>
        <v>0.07084527775316672</v>
      </c>
      <c r="W14" s="4">
        <f>+'mode ch'!U86</f>
        <v>0.07294986587245576</v>
      </c>
      <c r="X14" s="4"/>
      <c r="AC14" t="s">
        <v>19</v>
      </c>
      <c r="AD14" s="4">
        <f>+'mode ch'!AD42</f>
        <v>0.04</v>
      </c>
      <c r="AE14" s="4">
        <f>+'mode ch'!AD86</f>
        <v>0.04</v>
      </c>
      <c r="AF14" s="4">
        <f>+'mode ch'!AE86</f>
        <v>0.04490104732206567</v>
      </c>
      <c r="AG14" s="4">
        <f>+'mode ch'!AF86</f>
        <v>0.0752328621799841</v>
      </c>
      <c r="AH14" s="4"/>
      <c r="AI14" s="4">
        <f>+'mode ch'!AG86</f>
        <v>0.04287348208867716</v>
      </c>
      <c r="AJ14" s="4">
        <f>+'mode ch'!AH86</f>
        <v>0.07084527775316672</v>
      </c>
      <c r="AK14" s="4">
        <f>+'mode ch'!AI86</f>
        <v>0.07294986587245576</v>
      </c>
      <c r="AL14" s="4"/>
    </row>
    <row r="15" spans="2:38" ht="12.75">
      <c r="B15" s="2"/>
      <c r="C15" s="2"/>
      <c r="D15" s="2"/>
      <c r="E15" s="2"/>
      <c r="F15" s="2"/>
      <c r="G15" s="2"/>
      <c r="H15" s="2"/>
      <c r="I15" s="2"/>
      <c r="J15" s="2"/>
      <c r="P15" s="2"/>
      <c r="Q15" s="2"/>
      <c r="R15" s="2"/>
      <c r="S15" s="2"/>
      <c r="T15" s="2"/>
      <c r="U15" s="2"/>
      <c r="V15" s="2"/>
      <c r="W15" s="2"/>
      <c r="X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>
      <c r="A16" t="s">
        <v>439</v>
      </c>
      <c r="B16" s="2"/>
      <c r="C16" s="2"/>
      <c r="D16" s="2"/>
      <c r="E16" s="2"/>
      <c r="F16" s="2"/>
      <c r="G16" s="2"/>
      <c r="H16" s="2"/>
      <c r="I16" s="2"/>
      <c r="J16" s="2"/>
      <c r="O16" t="s">
        <v>439</v>
      </c>
      <c r="P16" s="2"/>
      <c r="Q16" s="2"/>
      <c r="R16" s="2"/>
      <c r="S16" s="2"/>
      <c r="T16" s="2"/>
      <c r="U16" s="2"/>
      <c r="V16" s="2"/>
      <c r="W16" s="2"/>
      <c r="X16" s="2"/>
      <c r="AC16" t="s">
        <v>439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>
      <c r="A17" t="s">
        <v>415</v>
      </c>
      <c r="B17" s="2"/>
      <c r="C17" s="2"/>
      <c r="D17" s="2"/>
      <c r="E17" s="2"/>
      <c r="F17" s="2"/>
      <c r="G17" s="2"/>
      <c r="H17" s="2"/>
      <c r="I17" s="2"/>
      <c r="J17" s="2"/>
      <c r="O17" t="s">
        <v>415</v>
      </c>
      <c r="P17" s="2"/>
      <c r="Q17" s="2"/>
      <c r="R17" s="2"/>
      <c r="S17" s="2"/>
      <c r="T17" s="2"/>
      <c r="U17" s="2"/>
      <c r="V17" s="2"/>
      <c r="W17" s="2"/>
      <c r="X17" s="2"/>
      <c r="AC17" t="s">
        <v>415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>
      <c r="A18" t="s">
        <v>17</v>
      </c>
      <c r="B18" s="2">
        <f>+B12*B21</f>
        <v>178000</v>
      </c>
      <c r="C18" s="2">
        <f>+C12*C21</f>
        <v>178000</v>
      </c>
      <c r="D18" s="2">
        <f>+D12*D21</f>
        <v>177091.26414236697</v>
      </c>
      <c r="E18" s="2">
        <f>+E12*E21</f>
        <v>171467.24013746125</v>
      </c>
      <c r="F18" s="2"/>
      <c r="G18" s="2">
        <f>+G12*G21</f>
        <v>163719.99119739828</v>
      </c>
      <c r="H18" s="2">
        <f>+H12*H21</f>
        <v>159557.1888527862</v>
      </c>
      <c r="I18" s="2">
        <f>+I12*I21</f>
        <v>167281.25082447042</v>
      </c>
      <c r="J18" s="2"/>
      <c r="O18" t="s">
        <v>17</v>
      </c>
      <c r="P18" s="2">
        <f>+P12*P21</f>
        <v>183999.99999999997</v>
      </c>
      <c r="Q18" s="2">
        <f>+Q12*Q21</f>
        <v>183999.99999999997</v>
      </c>
      <c r="R18" s="2">
        <f>+R12*R21</f>
        <v>183060.63259660403</v>
      </c>
      <c r="S18" s="2">
        <f>+S12*S21</f>
        <v>177247.03474883633</v>
      </c>
      <c r="T18" s="2"/>
      <c r="U18" s="2">
        <f>+U12*U21</f>
        <v>169238.64258607457</v>
      </c>
      <c r="V18" s="2">
        <f>+V12*V21</f>
        <v>164935.521061307</v>
      </c>
      <c r="W18" s="2">
        <f>+W12*W21</f>
        <v>172919.94467248622</v>
      </c>
      <c r="X18" s="2"/>
      <c r="AC18" t="s">
        <v>17</v>
      </c>
      <c r="AD18" s="2">
        <f>+AD12*AD21</f>
        <v>159999.99999999997</v>
      </c>
      <c r="AE18" s="2">
        <f>+AE12*AE21</f>
        <v>159999.99999999997</v>
      </c>
      <c r="AF18" s="2">
        <f>+AF12*AF21</f>
        <v>159183.1587796557</v>
      </c>
      <c r="AG18" s="2">
        <f>+AG12*AG21</f>
        <v>154127.85630333595</v>
      </c>
      <c r="AH18" s="2"/>
      <c r="AI18" s="2">
        <f>+AI12*AI21</f>
        <v>147164.0370313692</v>
      </c>
      <c r="AJ18" s="2">
        <f>+AJ12*AJ21</f>
        <v>143422.19222722348</v>
      </c>
      <c r="AK18" s="2">
        <f>+AK12*AK21</f>
        <v>150365.1692804228</v>
      </c>
      <c r="AL18" s="2"/>
    </row>
    <row r="19" spans="1:38" ht="12.75">
      <c r="A19" t="s">
        <v>18</v>
      </c>
      <c r="B19" s="2">
        <f>+B13*B21</f>
        <v>35600.00000000001</v>
      </c>
      <c r="C19" s="2">
        <f>+C13*C21</f>
        <v>35600.00000000001</v>
      </c>
      <c r="D19" s="2">
        <f>+D13*D21</f>
        <v>35418.25282847341</v>
      </c>
      <c r="E19" s="2">
        <f>+E13*E21</f>
        <v>34293.44802749225</v>
      </c>
      <c r="F19" s="2"/>
      <c r="G19" s="2">
        <f>+G13*G21</f>
        <v>49240.65903787105</v>
      </c>
      <c r="H19" s="2">
        <f>+H13*H21</f>
        <v>47179.73684713422</v>
      </c>
      <c r="I19" s="2">
        <f>+I13*I21</f>
        <v>38987.40401890817</v>
      </c>
      <c r="J19" s="2"/>
      <c r="O19" t="s">
        <v>18</v>
      </c>
      <c r="P19" s="2">
        <f>+P13*P21</f>
        <v>36800.00000000004</v>
      </c>
      <c r="Q19" s="2">
        <f>+Q13*Q21</f>
        <v>36800.00000000004</v>
      </c>
      <c r="R19" s="2">
        <f>+R13*R21</f>
        <v>36612.12651932085</v>
      </c>
      <c r="S19" s="2">
        <f>+S13*S21</f>
        <v>35449.40694976731</v>
      </c>
      <c r="T19" s="2"/>
      <c r="U19" s="2">
        <f>+U13*U21</f>
        <v>50900.45653352967</v>
      </c>
      <c r="V19" s="2">
        <f>+V13*V21</f>
        <v>48770.06505546463</v>
      </c>
      <c r="W19" s="2">
        <f>+W13*W21</f>
        <v>40301.58617684894</v>
      </c>
      <c r="X19" s="2"/>
      <c r="AC19" t="s">
        <v>18</v>
      </c>
      <c r="AD19" s="2">
        <f>+AD13*AD21</f>
        <v>32000.00000000003</v>
      </c>
      <c r="AE19" s="2">
        <f>+AE13*AE21</f>
        <v>32000.00000000003</v>
      </c>
      <c r="AF19" s="2">
        <f>+AF13*AF21</f>
        <v>31836.631755931176</v>
      </c>
      <c r="AG19" s="2">
        <f>+AG13*AG21</f>
        <v>30825.571260667224</v>
      </c>
      <c r="AH19" s="2"/>
      <c r="AI19" s="2">
        <f>+AI13*AI21</f>
        <v>44261.26655089536</v>
      </c>
      <c r="AJ19" s="2">
        <f>+AJ13*AJ21</f>
        <v>42408.75222214315</v>
      </c>
      <c r="AK19" s="2">
        <f>+AK13*AK21</f>
        <v>35044.85754508603</v>
      </c>
      <c r="AL19" s="2"/>
    </row>
    <row r="20" spans="1:38" ht="12.75">
      <c r="A20" t="s">
        <v>19</v>
      </c>
      <c r="B20" s="2">
        <f>+B14*B21</f>
        <v>8900</v>
      </c>
      <c r="C20" s="2">
        <f>+C14*C21</f>
        <v>8900</v>
      </c>
      <c r="D20" s="2">
        <f>+D14*D21</f>
        <v>9990.483029159608</v>
      </c>
      <c r="E20" s="2">
        <f>+E14*E21</f>
        <v>16739.311835046457</v>
      </c>
      <c r="F20" s="2"/>
      <c r="G20" s="2">
        <f>+G14*G21</f>
        <v>9539.349764730669</v>
      </c>
      <c r="H20" s="2">
        <f>+H14*H21</f>
        <v>15763.074300079596</v>
      </c>
      <c r="I20" s="2">
        <f>+I14*I21</f>
        <v>16231.345156621408</v>
      </c>
      <c r="J20" s="2"/>
      <c r="O20" t="s">
        <v>19</v>
      </c>
      <c r="P20" s="2">
        <f>+P14*P21</f>
        <v>9200</v>
      </c>
      <c r="Q20" s="2">
        <f>+Q14*Q21</f>
        <v>9200</v>
      </c>
      <c r="R20" s="2">
        <f>+R14*R21</f>
        <v>10327.240884075101</v>
      </c>
      <c r="S20" s="2">
        <f>+S14*S21</f>
        <v>17303.55830139634</v>
      </c>
      <c r="T20" s="2"/>
      <c r="U20" s="2">
        <f>+U14*U21</f>
        <v>9860.900880395748</v>
      </c>
      <c r="V20" s="2">
        <f>+V14*V21</f>
        <v>16294.413883228346</v>
      </c>
      <c r="W20" s="2">
        <f>+W14*W21</f>
        <v>16778.469150664827</v>
      </c>
      <c r="X20" s="2"/>
      <c r="AC20" t="s">
        <v>19</v>
      </c>
      <c r="AD20" s="2">
        <f>+AD14*AD21</f>
        <v>8000</v>
      </c>
      <c r="AE20" s="2">
        <f>+AE14*AE21</f>
        <v>8000</v>
      </c>
      <c r="AF20" s="2">
        <f>+AF14*AF21</f>
        <v>8980.209464413134</v>
      </c>
      <c r="AG20" s="2">
        <f>+AG14*AG21</f>
        <v>15046.572435996819</v>
      </c>
      <c r="AH20" s="2"/>
      <c r="AI20" s="2">
        <f>+AI14*AI21</f>
        <v>8574.696417735431</v>
      </c>
      <c r="AJ20" s="2">
        <f>+AJ14*AJ21</f>
        <v>14169.055550633344</v>
      </c>
      <c r="AK20" s="2">
        <f>+AK14*AK21</f>
        <v>14589.973174491153</v>
      </c>
      <c r="AL20" s="2"/>
    </row>
    <row r="21" spans="1:38" ht="12.75">
      <c r="A21" t="s">
        <v>40</v>
      </c>
      <c r="B21" s="2">
        <f>+B7/2</f>
        <v>222500</v>
      </c>
      <c r="C21" s="2">
        <f>+C7/2</f>
        <v>222500</v>
      </c>
      <c r="D21" s="2">
        <f>+D7/2</f>
        <v>222500</v>
      </c>
      <c r="E21" s="2">
        <f>+E7/2</f>
        <v>222500</v>
      </c>
      <c r="F21" s="2"/>
      <c r="G21" s="2">
        <f>+G7/2</f>
        <v>222500</v>
      </c>
      <c r="H21" s="2">
        <f>+H7/2</f>
        <v>222500</v>
      </c>
      <c r="I21" s="2">
        <f>+I7/2</f>
        <v>222500</v>
      </c>
      <c r="J21" s="2"/>
      <c r="O21" t="s">
        <v>40</v>
      </c>
      <c r="P21" s="2">
        <f>+P7/2</f>
        <v>230000</v>
      </c>
      <c r="Q21" s="2">
        <f>+Q7/2</f>
        <v>230000</v>
      </c>
      <c r="R21" s="2">
        <f>+R7/2</f>
        <v>230000</v>
      </c>
      <c r="S21" s="2">
        <f>+S7/2</f>
        <v>230000</v>
      </c>
      <c r="T21" s="2"/>
      <c r="U21" s="2">
        <f>+U7/2</f>
        <v>230000</v>
      </c>
      <c r="V21" s="2">
        <f>+V7/2</f>
        <v>230000</v>
      </c>
      <c r="W21" s="2">
        <f>+W7/2</f>
        <v>230000</v>
      </c>
      <c r="X21" s="2"/>
      <c r="AC21" t="s">
        <v>40</v>
      </c>
      <c r="AD21" s="2">
        <f>+AD7/2</f>
        <v>200000</v>
      </c>
      <c r="AE21" s="2">
        <f>+AE7/2</f>
        <v>200000</v>
      </c>
      <c r="AF21" s="2">
        <f>+AF7/2</f>
        <v>200000</v>
      </c>
      <c r="AG21" s="2">
        <f>+AG7/2</f>
        <v>200000</v>
      </c>
      <c r="AH21" s="2"/>
      <c r="AI21" s="2">
        <f>+AI7/2</f>
        <v>200000</v>
      </c>
      <c r="AJ21" s="2">
        <f>+AJ7/2</f>
        <v>200000</v>
      </c>
      <c r="AK21" s="2">
        <f>+AK7/2</f>
        <v>200000</v>
      </c>
      <c r="AL21" s="2"/>
    </row>
    <row r="22" spans="2:38" ht="12.75">
      <c r="B22" s="2"/>
      <c r="C22" s="2"/>
      <c r="D22" s="2"/>
      <c r="E22" s="2"/>
      <c r="F22" s="2"/>
      <c r="G22" s="2"/>
      <c r="H22" s="2"/>
      <c r="I22" s="2"/>
      <c r="J22" s="2"/>
      <c r="P22" s="2"/>
      <c r="Q22" s="2"/>
      <c r="R22" s="2"/>
      <c r="S22" s="2"/>
      <c r="T22" s="2"/>
      <c r="U22" s="2"/>
      <c r="V22" s="2"/>
      <c r="W22" s="2"/>
      <c r="X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>
      <c r="A23" t="s">
        <v>414</v>
      </c>
      <c r="B23" s="2">
        <v>0</v>
      </c>
      <c r="C23" s="2">
        <f>+'alt 1'!C247</f>
        <v>23169.35957690734</v>
      </c>
      <c r="D23" s="2">
        <f>+'alt 2'!C247</f>
        <v>5236.963518565231</v>
      </c>
      <c r="E23" s="2">
        <f>+'alt 3'!C247</f>
        <v>6687.383734452483</v>
      </c>
      <c r="F23" s="2"/>
      <c r="G23" s="2">
        <f>+'alt 4'!C247</f>
        <v>7023.757290433023</v>
      </c>
      <c r="H23" s="2">
        <f>+'alt 5'!C247</f>
        <v>8277.452082765334</v>
      </c>
      <c r="I23" s="2">
        <f>+'alt 6'!C247</f>
        <v>-113.08327345724702</v>
      </c>
      <c r="J23" s="2"/>
      <c r="O23" t="s">
        <v>414</v>
      </c>
      <c r="P23" s="2">
        <v>0</v>
      </c>
      <c r="Q23" s="2">
        <f>+'alt 1'!Q247</f>
        <v>23148.18757122758</v>
      </c>
      <c r="R23" s="2">
        <f>+'alt 2'!Q247</f>
        <v>4720.62569376825</v>
      </c>
      <c r="S23" s="2">
        <f>+'alt 3'!Q247</f>
        <v>6143.55217982681</v>
      </c>
      <c r="T23" s="2"/>
      <c r="U23" s="2">
        <f>+'alt 4'!Q247</f>
        <v>6474.1572077127375</v>
      </c>
      <c r="V23" s="2">
        <f>+'alt 5'!Q247</f>
        <v>7708.676466820954</v>
      </c>
      <c r="W23" s="2">
        <f>+'alt 6'!Q247</f>
        <v>-772.9539859421579</v>
      </c>
      <c r="X23" s="2"/>
      <c r="AC23" t="s">
        <v>414</v>
      </c>
      <c r="AD23" s="2">
        <v>0</v>
      </c>
      <c r="AE23" s="2">
        <f>+'alt 1'!AE247</f>
        <v>20488.199812641215</v>
      </c>
      <c r="AF23" s="2">
        <f>+'alt 2'!AE247</f>
        <v>6372.641590168024</v>
      </c>
      <c r="AG23" s="2">
        <f>+'alt 3'!AE247</f>
        <v>7732.9837827209</v>
      </c>
      <c r="AH23" s="2"/>
      <c r="AI23" s="2">
        <f>+'alt 4'!AE247</f>
        <v>8044.692279048428</v>
      </c>
      <c r="AJ23" s="2">
        <f>+'alt 5'!AE247</f>
        <v>9191.769733572964</v>
      </c>
      <c r="AK23" s="2">
        <f>+'alt 6'!AE247</f>
        <v>1540.040201644289</v>
      </c>
      <c r="AL23" s="2"/>
    </row>
    <row r="24" spans="1:38" ht="12.75">
      <c r="A24" t="s">
        <v>30</v>
      </c>
      <c r="B24" s="2">
        <f>+B8</f>
        <v>333689.3181818182</v>
      </c>
      <c r="C24" s="2">
        <f>+C8+C23</f>
        <v>356858.67775872553</v>
      </c>
      <c r="D24" s="2">
        <f aca="true" t="shared" si="2" ref="D24:I24">+D8+D23</f>
        <v>337989.45764351444</v>
      </c>
      <c r="E24" s="2">
        <f t="shared" si="2"/>
        <v>333642.0203852534</v>
      </c>
      <c r="F24" s="2"/>
      <c r="G24" s="2">
        <f t="shared" si="2"/>
        <v>332665.3337205547</v>
      </c>
      <c r="H24" s="2">
        <f t="shared" si="2"/>
        <v>329130.6295810711</v>
      </c>
      <c r="I24" s="2">
        <f t="shared" si="2"/>
        <v>324763.7820901661</v>
      </c>
      <c r="J24" s="2"/>
      <c r="O24" t="s">
        <v>30</v>
      </c>
      <c r="P24" s="2">
        <f>+P8</f>
        <v>344937.2727272727</v>
      </c>
      <c r="Q24" s="2">
        <f>+Q8</f>
        <v>344937.2727272727</v>
      </c>
      <c r="R24" s="2">
        <f>+R8</f>
        <v>343968.8703314082</v>
      </c>
      <c r="S24" s="2">
        <f>+S8</f>
        <v>337975.579459255</v>
      </c>
      <c r="T24" s="2"/>
      <c r="U24" s="2">
        <f>+U8</f>
        <v>336618.25878169877</v>
      </c>
      <c r="V24" s="2">
        <f>+V8</f>
        <v>331668.453144316</v>
      </c>
      <c r="W24" s="2">
        <f>+W8</f>
        <v>335827.77093767805</v>
      </c>
      <c r="X24" s="2"/>
      <c r="AC24" t="s">
        <v>30</v>
      </c>
      <c r="AD24" s="2">
        <f>+AD8</f>
        <v>299945.45454545453</v>
      </c>
      <c r="AE24" s="2">
        <f>+AE8</f>
        <v>299945.45454545453</v>
      </c>
      <c r="AF24" s="2">
        <f>+AF8</f>
        <v>299103.36550557235</v>
      </c>
      <c r="AG24" s="2">
        <f>+AG8</f>
        <v>293891.80822543905</v>
      </c>
      <c r="AH24" s="2"/>
      <c r="AI24" s="2">
        <f>+AI8</f>
        <v>292711.52937539027</v>
      </c>
      <c r="AJ24" s="2">
        <f>+AJ8</f>
        <v>288407.3505602748</v>
      </c>
      <c r="AK24" s="2">
        <f>+AK8</f>
        <v>292024.1486414592</v>
      </c>
      <c r="AL24" s="2"/>
    </row>
    <row r="25" spans="4:34" ht="12.75">
      <c r="D25" s="2"/>
      <c r="F25" s="2"/>
      <c r="R25" s="2"/>
      <c r="T25" s="2"/>
      <c r="AF25" s="2"/>
      <c r="AH25" s="2"/>
    </row>
    <row r="26" spans="1:37" ht="12.75">
      <c r="A26" s="11" t="s">
        <v>416</v>
      </c>
      <c r="B26" s="16">
        <f>+'mode ch'!B36</f>
        <v>280299.0272727273</v>
      </c>
      <c r="C26" s="16">
        <f>+E38</f>
        <v>312210.4004655184</v>
      </c>
      <c r="D26" s="16">
        <f>+I38</f>
        <v>288764.9971273873</v>
      </c>
      <c r="E26" s="16">
        <f>+M38</f>
        <v>285493.6442643659</v>
      </c>
      <c r="G26" s="16">
        <f>+E61</f>
        <v>284760.9645484183</v>
      </c>
      <c r="H26" s="16">
        <f>+I61</f>
        <v>282116.99978665105</v>
      </c>
      <c r="I26" s="16">
        <f>+M61</f>
        <v>269465.2499091835</v>
      </c>
      <c r="O26" s="11" t="s">
        <v>416</v>
      </c>
      <c r="P26" s="16">
        <f>+'mode ch'!P36</f>
        <v>289747.3090909091</v>
      </c>
      <c r="Q26" s="16">
        <f>+S38</f>
        <v>321928.64593612775</v>
      </c>
      <c r="R26" s="16">
        <f>+W38</f>
        <v>297460.77636374155</v>
      </c>
      <c r="S26" s="16">
        <f>+AA38</f>
        <v>294001.62853781466</v>
      </c>
      <c r="U26" s="16">
        <f>+S61</f>
        <v>293226.9193757547</v>
      </c>
      <c r="V26" s="16">
        <f>+W61</f>
        <v>290431.6790433022</v>
      </c>
      <c r="W26" s="16">
        <f>+AA61</f>
        <v>267546.1010297177</v>
      </c>
      <c r="AC26" s="11" t="s">
        <v>416</v>
      </c>
      <c r="AD26" s="16">
        <f>+'mode ch'!AD36</f>
        <v>251954.1818181818</v>
      </c>
      <c r="AE26" s="16">
        <f>+AG38</f>
        <v>280306.30880099075</v>
      </c>
      <c r="AF26" s="16">
        <f>+AK38</f>
        <v>262263.37812637497</v>
      </c>
      <c r="AG26" s="16">
        <f>+AO38</f>
        <v>259381.57945406914</v>
      </c>
      <c r="AI26" s="16">
        <f>+AG61</f>
        <v>258732.75199161528</v>
      </c>
      <c r="AJ26" s="16">
        <f>+AK61</f>
        <v>256377.57825052668</v>
      </c>
      <c r="AK26" s="16">
        <f>+AO61</f>
        <v>275222.69654758065</v>
      </c>
    </row>
    <row r="27" spans="1:37" ht="12.75">
      <c r="A27" s="11" t="s">
        <v>417</v>
      </c>
      <c r="B27" s="16">
        <f>+'mode ch'!B37</f>
        <v>53390.290909090916</v>
      </c>
      <c r="C27" s="16">
        <f>+C45</f>
        <v>44648.277293207095</v>
      </c>
      <c r="D27" s="16">
        <f>+G45</f>
        <v>49224.46051612712</v>
      </c>
      <c r="E27" s="16">
        <f>+K45</f>
        <v>48148.37612088752</v>
      </c>
      <c r="G27" s="16">
        <f>+C68</f>
        <v>47904.36917213637</v>
      </c>
      <c r="H27" s="16">
        <f>+G68</f>
        <v>47013.629794420034</v>
      </c>
      <c r="I27" s="16">
        <f>+K68</f>
        <v>54287.869908308145</v>
      </c>
      <c r="O27" s="11" t="s">
        <v>417</v>
      </c>
      <c r="P27" s="16">
        <f>+'mode ch'!P37</f>
        <v>55189.963636363645</v>
      </c>
      <c r="Q27" s="16">
        <f>+Q45</f>
        <v>46156.81436237258</v>
      </c>
      <c r="R27" s="16">
        <f>+U45</f>
        <v>51228.71966143498</v>
      </c>
      <c r="S27" s="16">
        <f>+Y45</f>
        <v>50117.50310126718</v>
      </c>
      <c r="U27" s="16">
        <f>+Q68</f>
        <v>49865.49661365686</v>
      </c>
      <c r="V27" s="16">
        <f>+U68</f>
        <v>48945.45056783479</v>
      </c>
      <c r="W27" s="16">
        <f>+Y68</f>
        <v>60962.86278621983</v>
      </c>
      <c r="AC27" s="11" t="s">
        <v>417</v>
      </c>
      <c r="AD27" s="16">
        <f>+'mode ch'!AD37</f>
        <v>47991.272727272735</v>
      </c>
      <c r="AE27" s="16">
        <f>+AE45</f>
        <v>40127.34555710498</v>
      </c>
      <c r="AF27" s="16">
        <f>+AI45</f>
        <v>43212.62896936541</v>
      </c>
      <c r="AG27" s="16">
        <f>+AM45</f>
        <v>42243.21255409081</v>
      </c>
      <c r="AI27" s="16">
        <f>+AE68</f>
        <v>42023.46966282341</v>
      </c>
      <c r="AJ27" s="16">
        <f>+AI68</f>
        <v>41221.542043321075</v>
      </c>
      <c r="AK27" s="16">
        <f>+AM68</f>
        <v>33936.40261221991</v>
      </c>
    </row>
    <row r="30" spans="1:30" ht="12.75">
      <c r="A30" s="1" t="s">
        <v>638</v>
      </c>
      <c r="B30" s="1"/>
      <c r="O30" s="1" t="s">
        <v>565</v>
      </c>
      <c r="P30" s="1"/>
      <c r="AC30" s="1" t="s">
        <v>565</v>
      </c>
      <c r="AD30" s="1"/>
    </row>
    <row r="31" spans="7:35" ht="12.75">
      <c r="G31" s="1"/>
      <c r="U31" s="1"/>
      <c r="AI31" s="1"/>
    </row>
    <row r="32" spans="3:41" ht="12.75">
      <c r="C32" s="175" t="s">
        <v>647</v>
      </c>
      <c r="D32" s="179"/>
      <c r="E32" s="179"/>
      <c r="F32" s="141"/>
      <c r="G32" s="175" t="s">
        <v>546</v>
      </c>
      <c r="H32" s="179"/>
      <c r="I32" s="179"/>
      <c r="J32" s="141"/>
      <c r="K32" s="175" t="s">
        <v>547</v>
      </c>
      <c r="L32" s="179"/>
      <c r="M32" s="179"/>
      <c r="Q32" s="175" t="s">
        <v>545</v>
      </c>
      <c r="R32" s="179"/>
      <c r="S32" s="179"/>
      <c r="T32" s="50"/>
      <c r="U32" s="175" t="s">
        <v>546</v>
      </c>
      <c r="V32" s="179"/>
      <c r="W32" s="179"/>
      <c r="X32" s="50"/>
      <c r="Y32" s="175" t="s">
        <v>547</v>
      </c>
      <c r="Z32" s="179"/>
      <c r="AA32" s="179"/>
      <c r="AE32" s="175" t="s">
        <v>545</v>
      </c>
      <c r="AF32" s="179"/>
      <c r="AG32" s="179"/>
      <c r="AH32" s="50"/>
      <c r="AI32" s="175" t="s">
        <v>546</v>
      </c>
      <c r="AJ32" s="179"/>
      <c r="AK32" s="179"/>
      <c r="AL32" s="50"/>
      <c r="AM32" s="175" t="s">
        <v>547</v>
      </c>
      <c r="AN32" s="179"/>
      <c r="AO32" s="179"/>
    </row>
    <row r="33" spans="1:41" ht="12.75">
      <c r="A33" s="11"/>
      <c r="B33" s="11"/>
      <c r="C33" s="24" t="s">
        <v>92</v>
      </c>
      <c r="D33" s="24" t="s">
        <v>551</v>
      </c>
      <c r="E33" s="24" t="s">
        <v>40</v>
      </c>
      <c r="F33" s="168"/>
      <c r="G33" s="24" t="s">
        <v>92</v>
      </c>
      <c r="H33" s="24" t="s">
        <v>551</v>
      </c>
      <c r="I33" s="24" t="s">
        <v>40</v>
      </c>
      <c r="J33" s="142"/>
      <c r="K33" s="24" t="s">
        <v>92</v>
      </c>
      <c r="L33" s="24" t="s">
        <v>551</v>
      </c>
      <c r="M33" s="24" t="s">
        <v>40</v>
      </c>
      <c r="O33" s="11"/>
      <c r="P33" s="11"/>
      <c r="Q33" s="87" t="s">
        <v>92</v>
      </c>
      <c r="R33" s="87" t="s">
        <v>551</v>
      </c>
      <c r="S33" s="87" t="s">
        <v>40</v>
      </c>
      <c r="T33" s="87"/>
      <c r="U33" s="87" t="s">
        <v>92</v>
      </c>
      <c r="V33" s="87" t="s">
        <v>551</v>
      </c>
      <c r="W33" s="87" t="s">
        <v>40</v>
      </c>
      <c r="X33" s="87"/>
      <c r="Y33" s="87" t="s">
        <v>92</v>
      </c>
      <c r="Z33" s="87" t="s">
        <v>551</v>
      </c>
      <c r="AA33" s="87" t="s">
        <v>40</v>
      </c>
      <c r="AC33" s="11"/>
      <c r="AD33" s="11"/>
      <c r="AE33" s="87" t="s">
        <v>92</v>
      </c>
      <c r="AF33" s="87" t="s">
        <v>551</v>
      </c>
      <c r="AG33" s="87" t="s">
        <v>40</v>
      </c>
      <c r="AH33" s="87"/>
      <c r="AI33" s="87" t="s">
        <v>92</v>
      </c>
      <c r="AJ33" s="87" t="s">
        <v>551</v>
      </c>
      <c r="AK33" s="87" t="s">
        <v>40</v>
      </c>
      <c r="AL33" s="87"/>
      <c r="AM33" s="87" t="s">
        <v>92</v>
      </c>
      <c r="AN33" s="87" t="s">
        <v>551</v>
      </c>
      <c r="AO33" s="87" t="s">
        <v>40</v>
      </c>
    </row>
    <row r="34" spans="1:39" ht="12.75">
      <c r="A34" s="26" t="s">
        <v>324</v>
      </c>
      <c r="B34" s="11"/>
      <c r="C34" s="18"/>
      <c r="D34" s="18"/>
      <c r="E34" s="18"/>
      <c r="F34" s="143"/>
      <c r="G34" s="18"/>
      <c r="H34" s="18"/>
      <c r="I34" s="18"/>
      <c r="J34" s="143"/>
      <c r="K34" s="18"/>
      <c r="O34" s="26" t="s">
        <v>324</v>
      </c>
      <c r="P34" s="11"/>
      <c r="Q34" s="18"/>
      <c r="R34" s="18"/>
      <c r="S34" s="18"/>
      <c r="T34" s="18"/>
      <c r="U34" s="18"/>
      <c r="V34" s="18"/>
      <c r="W34" s="18"/>
      <c r="X34" s="18"/>
      <c r="Y34" s="18"/>
      <c r="AC34" s="26" t="s">
        <v>324</v>
      </c>
      <c r="AD34" s="11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41" ht="12.75">
      <c r="A35" s="11" t="s">
        <v>420</v>
      </c>
      <c r="B35" s="11"/>
      <c r="C35" s="49">
        <f>+'alt 1'!C231</f>
        <v>280299.02703401435</v>
      </c>
      <c r="D35" s="49">
        <f>+'alt 1'!D231</f>
        <v>0.0002387129463455852</v>
      </c>
      <c r="E35" s="49">
        <f>+'alt 1'!E231</f>
        <v>280299.0272727273</v>
      </c>
      <c r="F35" s="144"/>
      <c r="G35" s="49">
        <f>+'alt 2'!C231</f>
        <v>182335.8651876893</v>
      </c>
      <c r="H35" s="49">
        <f>+'alt 2'!D231</f>
        <v>97026.338028169</v>
      </c>
      <c r="I35" s="49">
        <f>+'alt 2'!E231</f>
        <v>279362.2032158583</v>
      </c>
      <c r="J35" s="144"/>
      <c r="K35" s="49">
        <f>+'alt 3'!C231</f>
        <v>176538.00771354104</v>
      </c>
      <c r="L35" s="49">
        <f>+'alt 3'!D231</f>
        <v>97026.338028169</v>
      </c>
      <c r="M35" s="49">
        <f>+'alt 3'!E231</f>
        <v>273564.34574171004</v>
      </c>
      <c r="O35" s="11" t="s">
        <v>420</v>
      </c>
      <c r="P35" s="11"/>
      <c r="Q35" s="49">
        <f>+'alt 1'!Q231</f>
        <v>289747.30884876085</v>
      </c>
      <c r="R35" s="49">
        <f>+'alt 1'!R231</f>
        <v>0.00024214821419993077</v>
      </c>
      <c r="S35" s="49">
        <f>+'alt 1'!S231</f>
        <v>289747.3090909091</v>
      </c>
      <c r="T35" s="49"/>
      <c r="U35" s="49">
        <f>+'alt 2'!Q231</f>
        <v>190326.51232884743</v>
      </c>
      <c r="V35" s="49">
        <f>+'alt 2'!R231</f>
        <v>98452.39436619719</v>
      </c>
      <c r="W35" s="49">
        <f>+'alt 2'!S231</f>
        <v>288778.9066950446</v>
      </c>
      <c r="X35" s="49"/>
      <c r="Y35" s="49">
        <f>+'alt 3'!Q231</f>
        <v>184333.22145669418</v>
      </c>
      <c r="Z35" s="49">
        <f>+'alt 3'!R231</f>
        <v>98452.39436619719</v>
      </c>
      <c r="AA35" s="49">
        <f>+'alt 3'!S231</f>
        <v>282785.61582289136</v>
      </c>
      <c r="AC35" s="11" t="s">
        <v>420</v>
      </c>
      <c r="AD35" s="11"/>
      <c r="AE35" s="49">
        <f>+'alt 1'!AE231</f>
        <v>251954.18158977464</v>
      </c>
      <c r="AF35" s="49">
        <f>+'alt 1'!AF231</f>
        <v>0.0002284071427825485</v>
      </c>
      <c r="AG35" s="49">
        <f>+'alt 1'!AG231</f>
        <v>251954.1818181818</v>
      </c>
      <c r="AH35" s="49"/>
      <c r="AI35" s="49">
        <f>+'alt 2'!AE231</f>
        <v>158363.9237642151</v>
      </c>
      <c r="AJ35" s="49">
        <f>+'alt 2'!AF231</f>
        <v>92748.1690140845</v>
      </c>
      <c r="AK35" s="49">
        <f>+'alt 2'!AG231</f>
        <v>251112.09277829962</v>
      </c>
      <c r="AL35" s="49"/>
      <c r="AM35" s="49">
        <f>+'alt 3'!AE231</f>
        <v>153152.3664840818</v>
      </c>
      <c r="AN35" s="49">
        <f>+'alt 3'!AF231</f>
        <v>92748.1690140845</v>
      </c>
      <c r="AO35" s="49">
        <f>+'alt 3'!AG231</f>
        <v>245900.5354981663</v>
      </c>
    </row>
    <row r="36" spans="1:41" ht="12.75">
      <c r="A36" s="11" t="s">
        <v>421</v>
      </c>
      <c r="B36" s="11"/>
      <c r="C36" s="49">
        <f>+'alt 1'!C232</f>
        <v>9745.49601255893</v>
      </c>
      <c r="D36" s="49">
        <f>+'alt 1'!D232</f>
        <v>0</v>
      </c>
      <c r="E36" s="49">
        <f>SUM(C36:D36)</f>
        <v>9745.49601255893</v>
      </c>
      <c r="F36" s="144"/>
      <c r="G36" s="49">
        <f>+'alt 2'!C232</f>
        <v>4664.557253108872</v>
      </c>
      <c r="H36" s="49">
        <f>+'alt 2'!D232</f>
        <v>0</v>
      </c>
      <c r="I36" s="49">
        <f>SUM(G36:H36)</f>
        <v>4664.557253108872</v>
      </c>
      <c r="J36" s="144"/>
      <c r="K36" s="49">
        <f>+'alt 3'!C232</f>
        <v>5863.002363055465</v>
      </c>
      <c r="L36" s="49">
        <f>+'alt 3'!D232</f>
        <v>0</v>
      </c>
      <c r="M36" s="49">
        <f>SUM(K36:L36)</f>
        <v>5863.002363055465</v>
      </c>
      <c r="O36" s="11" t="s">
        <v>421</v>
      </c>
      <c r="P36" s="11"/>
      <c r="Q36" s="49">
        <f>+'alt 1'!Q232</f>
        <v>10073.995877547688</v>
      </c>
      <c r="R36" s="49">
        <f>+'alt 1'!R232</f>
        <v>0</v>
      </c>
      <c r="S36" s="49">
        <f>SUM(Q36:R36)</f>
        <v>10073.995877547688</v>
      </c>
      <c r="T36" s="49"/>
      <c r="U36" s="49">
        <f>+'alt 2'!Q232</f>
        <v>4440.523633088613</v>
      </c>
      <c r="V36" s="49">
        <f>+'alt 2'!R232</f>
        <v>0</v>
      </c>
      <c r="W36" s="49">
        <f>SUM(U36:V36)</f>
        <v>4440.523633088613</v>
      </c>
      <c r="X36" s="49"/>
      <c r="Y36" s="49">
        <f>+'alt 3'!Q232</f>
        <v>5679.365769213177</v>
      </c>
      <c r="Z36" s="49">
        <f>+'alt 3'!R232</f>
        <v>0</v>
      </c>
      <c r="AA36" s="49">
        <f>SUM(Y36:Z36)</f>
        <v>5679.365769213177</v>
      </c>
      <c r="AC36" s="11" t="s">
        <v>421</v>
      </c>
      <c r="AD36" s="11"/>
      <c r="AE36" s="49">
        <f>+'alt 1'!AE232</f>
        <v>8759.99641759269</v>
      </c>
      <c r="AF36" s="49">
        <f>+'alt 1'!AF232</f>
        <v>0</v>
      </c>
      <c r="AG36" s="49">
        <f>SUM(AE36:AF36)</f>
        <v>8759.99641759269</v>
      </c>
      <c r="AH36" s="49"/>
      <c r="AI36" s="49">
        <f>+'alt 2'!AE232</f>
        <v>5336.6581131695975</v>
      </c>
      <c r="AJ36" s="49">
        <f>+'alt 2'!AF232</f>
        <v>0</v>
      </c>
      <c r="AK36" s="49">
        <f>SUM(AI36:AJ36)</f>
        <v>5336.6581131695975</v>
      </c>
      <c r="AL36" s="49"/>
      <c r="AM36" s="49">
        <f>+'alt 3'!AE232</f>
        <v>6413.912144582272</v>
      </c>
      <c r="AN36" s="49">
        <f>+'alt 3'!AF232</f>
        <v>0</v>
      </c>
      <c r="AO36" s="49">
        <f>SUM(AM36:AN36)</f>
        <v>6413.912144582272</v>
      </c>
    </row>
    <row r="37" spans="1:41" ht="12.75">
      <c r="A37" s="11" t="s">
        <v>422</v>
      </c>
      <c r="B37" s="11"/>
      <c r="C37" s="49">
        <f>+'alt 1'!C233</f>
        <v>22165.87718023223</v>
      </c>
      <c r="D37" s="49">
        <f>+'alt 1'!D233</f>
        <v>0</v>
      </c>
      <c r="E37" s="49">
        <f>SUM(C37:D37)</f>
        <v>22165.87718023223</v>
      </c>
      <c r="F37" s="144"/>
      <c r="G37" s="49">
        <f>+'alt 2'!C233</f>
        <v>4738.236658420157</v>
      </c>
      <c r="H37" s="49">
        <f>+'alt 2'!D233</f>
        <v>0</v>
      </c>
      <c r="I37" s="49">
        <f>SUM(G37:H37)</f>
        <v>4738.236658420157</v>
      </c>
      <c r="J37" s="144"/>
      <c r="K37" s="49">
        <f>+'alt 3'!C233</f>
        <v>6066.296159600416</v>
      </c>
      <c r="L37" s="49">
        <f>+'alt 3'!D233</f>
        <v>0</v>
      </c>
      <c r="M37" s="49">
        <f>SUM(K37:L37)</f>
        <v>6066.296159600416</v>
      </c>
      <c r="O37" s="11" t="s">
        <v>422</v>
      </c>
      <c r="P37" s="11"/>
      <c r="Q37" s="49">
        <f>+'alt 1'!Q233</f>
        <v>22107.340967670953</v>
      </c>
      <c r="R37" s="49">
        <f>+'alt 1'!R233</f>
        <v>0</v>
      </c>
      <c r="S37" s="49">
        <f>SUM(Q37:R37)</f>
        <v>22107.340967670953</v>
      </c>
      <c r="T37" s="49"/>
      <c r="U37" s="49">
        <f>+'alt 2'!Q233</f>
        <v>4241.346035608303</v>
      </c>
      <c r="V37" s="49">
        <f>+'alt 2'!R233</f>
        <v>0</v>
      </c>
      <c r="W37" s="49">
        <f>SUM(U37:V37)</f>
        <v>4241.346035608303</v>
      </c>
      <c r="X37" s="49"/>
      <c r="Y37" s="49">
        <f>+'alt 3'!Q233</f>
        <v>5536.646945710097</v>
      </c>
      <c r="Z37" s="49">
        <f>+'alt 3'!R233</f>
        <v>0</v>
      </c>
      <c r="AA37" s="49">
        <f>SUM(Y37:Z37)</f>
        <v>5536.646945710097</v>
      </c>
      <c r="AC37" s="11" t="s">
        <v>422</v>
      </c>
      <c r="AD37" s="11"/>
      <c r="AE37" s="49">
        <f>+'alt 1'!AE233</f>
        <v>19592.130565216285</v>
      </c>
      <c r="AF37" s="49">
        <f>+'alt 1'!AF233</f>
        <v>0</v>
      </c>
      <c r="AG37" s="49">
        <f>SUM(AE37:AF37)</f>
        <v>19592.130565216285</v>
      </c>
      <c r="AH37" s="49"/>
      <c r="AI37" s="49">
        <f>+'alt 2'!AE233</f>
        <v>5814.627234905747</v>
      </c>
      <c r="AJ37" s="49">
        <f>+'alt 2'!AF233</f>
        <v>0</v>
      </c>
      <c r="AK37" s="49">
        <f>SUM(AI37:AJ37)</f>
        <v>5814.627234905747</v>
      </c>
      <c r="AL37" s="49"/>
      <c r="AM37" s="49">
        <f>+'alt 3'!AE233</f>
        <v>7067.13181132055</v>
      </c>
      <c r="AN37" s="49">
        <f>+'alt 3'!AF233</f>
        <v>0</v>
      </c>
      <c r="AO37" s="49">
        <f>SUM(AM37:AN37)</f>
        <v>7067.13181132055</v>
      </c>
    </row>
    <row r="38" spans="1:41" ht="12.75">
      <c r="A38" s="11" t="s">
        <v>423</v>
      </c>
      <c r="B38" s="11"/>
      <c r="C38" s="49">
        <f>+'alt 1'!C234</f>
        <v>312210.4002268055</v>
      </c>
      <c r="D38" s="49">
        <f>+'alt 1'!D234</f>
        <v>0.0002387129463455852</v>
      </c>
      <c r="E38" s="49">
        <f>+'alt 1'!E234</f>
        <v>312210.4004655184</v>
      </c>
      <c r="F38" s="144"/>
      <c r="G38" s="49">
        <f>+'alt 2'!C234</f>
        <v>191738.65909921835</v>
      </c>
      <c r="H38" s="49">
        <f>+'alt 2'!D234</f>
        <v>97026.338028169</v>
      </c>
      <c r="I38" s="49">
        <f>+'alt 2'!E234</f>
        <v>288764.9971273873</v>
      </c>
      <c r="J38" s="144"/>
      <c r="K38" s="49">
        <f>+'alt 3'!C234</f>
        <v>188467.30623619692</v>
      </c>
      <c r="L38" s="49">
        <f>+'alt 3'!D234</f>
        <v>97026.338028169</v>
      </c>
      <c r="M38" s="49">
        <f>+'alt 3'!E234</f>
        <v>285493.6442643659</v>
      </c>
      <c r="O38" s="11" t="s">
        <v>423</v>
      </c>
      <c r="P38" s="11"/>
      <c r="Q38" s="49">
        <f>+'alt 1'!Q234</f>
        <v>321928.6456939795</v>
      </c>
      <c r="R38" s="49">
        <f>+'alt 1'!R234</f>
        <v>0.00024214821419993077</v>
      </c>
      <c r="S38" s="49">
        <f>+'alt 1'!S234</f>
        <v>321928.64593612775</v>
      </c>
      <c r="T38" s="49"/>
      <c r="U38" s="49">
        <f>+'alt 2'!Q234</f>
        <v>199008.38199754435</v>
      </c>
      <c r="V38" s="49">
        <f>+'alt 2'!R234</f>
        <v>98452.39436619719</v>
      </c>
      <c r="W38" s="49">
        <f>+'alt 2'!S234</f>
        <v>297460.77636374155</v>
      </c>
      <c r="X38" s="49"/>
      <c r="Y38" s="49">
        <f>+'alt 3'!Q234</f>
        <v>195549.23417161746</v>
      </c>
      <c r="Z38" s="49">
        <f>+'alt 3'!R234</f>
        <v>98452.39436619719</v>
      </c>
      <c r="AA38" s="49">
        <f>+'alt 3'!S234</f>
        <v>294001.62853781466</v>
      </c>
      <c r="AC38" s="11" t="s">
        <v>423</v>
      </c>
      <c r="AD38" s="11"/>
      <c r="AE38" s="49">
        <f>+'alt 1'!AE234</f>
        <v>280306.3085725836</v>
      </c>
      <c r="AF38" s="49">
        <f>+'alt 1'!AF234</f>
        <v>0.0002284071427825485</v>
      </c>
      <c r="AG38" s="49">
        <f>+'alt 1'!AG234</f>
        <v>280306.30880099075</v>
      </c>
      <c r="AH38" s="49"/>
      <c r="AI38" s="49">
        <f>+'alt 2'!AE234</f>
        <v>169515.20911229047</v>
      </c>
      <c r="AJ38" s="49">
        <f>+'alt 2'!AF234</f>
        <v>92748.1690140845</v>
      </c>
      <c r="AK38" s="49">
        <f>+'alt 2'!AG234</f>
        <v>262263.37812637497</v>
      </c>
      <c r="AL38" s="49"/>
      <c r="AM38" s="49">
        <f>+'alt 3'!AE234</f>
        <v>166633.41043998464</v>
      </c>
      <c r="AN38" s="49">
        <f>+'alt 3'!AF234</f>
        <v>92748.1690140845</v>
      </c>
      <c r="AO38" s="49">
        <f>+'alt 3'!AG234</f>
        <v>259381.57945406914</v>
      </c>
    </row>
    <row r="39" spans="1:41" ht="12.75">
      <c r="A39" s="11" t="s">
        <v>424</v>
      </c>
      <c r="B39" s="11"/>
      <c r="C39" s="51">
        <f>+'alt 1'!C235</f>
        <v>0.11384760600299436</v>
      </c>
      <c r="D39" s="51">
        <f>+'alt 1'!D235</f>
        <v>0</v>
      </c>
      <c r="E39" s="51">
        <f>+'alt 1'!E235</f>
        <v>0.11384760590603756</v>
      </c>
      <c r="F39" s="145"/>
      <c r="G39" s="51">
        <f>+'alt 2'!C235</f>
        <v>0.051568537554858844</v>
      </c>
      <c r="H39" s="51">
        <f>+'alt 2'!D235</f>
        <v>0</v>
      </c>
      <c r="I39" s="51">
        <f>+'alt 2'!E235</f>
        <v>0.033658074726249314</v>
      </c>
      <c r="J39" s="145"/>
      <c r="K39" s="51">
        <f>+'alt 3'!C235</f>
        <v>0.06757354224826717</v>
      </c>
      <c r="L39" s="51">
        <f>+'alt 3'!D235</f>
        <v>0</v>
      </c>
      <c r="M39" s="51">
        <f>+'alt 3'!E235</f>
        <v>0.04360691993802102</v>
      </c>
      <c r="O39" s="11" t="s">
        <v>424</v>
      </c>
      <c r="P39" s="11"/>
      <c r="Q39" s="51">
        <f>+'alt 1'!Q235</f>
        <v>0.1110669050666363</v>
      </c>
      <c r="R39" s="51">
        <f>+'alt 1'!R235</f>
        <v>0</v>
      </c>
      <c r="S39" s="51">
        <f>+'alt 1'!S235</f>
        <v>0.11106690497381523</v>
      </c>
      <c r="T39" s="51"/>
      <c r="U39" s="51">
        <f>+'alt 2'!Q235</f>
        <v>0.0456156610157198</v>
      </c>
      <c r="V39" s="51">
        <f>+'alt 2'!R235</f>
        <v>0</v>
      </c>
      <c r="W39" s="51">
        <f>+'alt 2'!S235</f>
        <v>0.030064071396548188</v>
      </c>
      <c r="X39" s="51"/>
      <c r="Y39" s="51">
        <f>+'alt 3'!Q235</f>
        <v>0.06084639885468651</v>
      </c>
      <c r="Z39" s="51">
        <f>+'alt 3'!R235</f>
        <v>0</v>
      </c>
      <c r="AA39" s="51">
        <f>+'alt 3'!S235</f>
        <v>0.03966259981889563</v>
      </c>
      <c r="AC39" s="11" t="s">
        <v>424</v>
      </c>
      <c r="AD39" s="11"/>
      <c r="AE39" s="51">
        <f>+'alt 1'!AE235</f>
        <v>0.1125289003100221</v>
      </c>
      <c r="AF39" s="51">
        <f>+'alt 1'!AF235</f>
        <v>0</v>
      </c>
      <c r="AG39" s="51">
        <f>+'alt 1'!AG235</f>
        <v>0.11252890020800989</v>
      </c>
      <c r="AH39" s="51"/>
      <c r="AI39" s="51">
        <f>+'alt 2'!AE235</f>
        <v>0.07041556614041895</v>
      </c>
      <c r="AJ39" s="51">
        <f>+'alt 2'!AF235</f>
        <v>0</v>
      </c>
      <c r="AK39" s="51">
        <f>+'alt 2'!AG235</f>
        <v>0.044407599907665685</v>
      </c>
      <c r="AL39" s="51"/>
      <c r="AM39" s="51">
        <f>+'alt 3'!AE235</f>
        <v>0.0880237391389183</v>
      </c>
      <c r="AN39" s="51">
        <f>+'alt 3'!AF235</f>
        <v>0</v>
      </c>
      <c r="AO39" s="51">
        <f>+'alt 3'!AG235</f>
        <v>0.05482315818707666</v>
      </c>
    </row>
    <row r="40" spans="1:41" ht="12.75">
      <c r="A40" s="11"/>
      <c r="B40" s="11"/>
      <c r="C40" s="49"/>
      <c r="D40" s="49"/>
      <c r="E40" s="49"/>
      <c r="F40" s="144"/>
      <c r="G40" s="49"/>
      <c r="H40" s="49"/>
      <c r="I40" s="49"/>
      <c r="J40" s="144"/>
      <c r="K40" s="49"/>
      <c r="L40" s="49"/>
      <c r="M40" s="49"/>
      <c r="O40" s="11"/>
      <c r="P40" s="11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C40" s="11"/>
      <c r="AD40" s="11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</row>
    <row r="41" spans="1:41" ht="12.75">
      <c r="A41" s="26" t="s">
        <v>329</v>
      </c>
      <c r="B41" s="11"/>
      <c r="C41" s="49"/>
      <c r="D41" s="49"/>
      <c r="E41" s="49"/>
      <c r="F41" s="144"/>
      <c r="G41" s="49"/>
      <c r="H41" s="49"/>
      <c r="I41" s="49"/>
      <c r="J41" s="144"/>
      <c r="K41" s="49"/>
      <c r="L41" s="49"/>
      <c r="M41" s="49"/>
      <c r="O41" s="26" t="s">
        <v>329</v>
      </c>
      <c r="P41" s="11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C41" s="26" t="s">
        <v>329</v>
      </c>
      <c r="AD41" s="11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</row>
    <row r="42" spans="1:41" ht="12.75">
      <c r="A42" s="11" t="s">
        <v>420</v>
      </c>
      <c r="B42" s="11"/>
      <c r="C42" s="49">
        <f>+'alt 1'!C238</f>
        <v>53390.290909090916</v>
      </c>
      <c r="D42" s="49"/>
      <c r="E42" s="49"/>
      <c r="F42" s="144"/>
      <c r="G42" s="49">
        <f>+'alt 2'!C238</f>
        <v>53390.290909090916</v>
      </c>
      <c r="H42" s="49"/>
      <c r="I42" s="49"/>
      <c r="J42" s="144"/>
      <c r="K42" s="49">
        <f>+'alt 3'!C238</f>
        <v>53390.290909090916</v>
      </c>
      <c r="L42" s="49"/>
      <c r="M42" s="49"/>
      <c r="O42" s="11" t="s">
        <v>420</v>
      </c>
      <c r="P42" s="11"/>
      <c r="Q42" s="49">
        <f>+'alt 1'!Q238</f>
        <v>55189.963636363645</v>
      </c>
      <c r="R42" s="49"/>
      <c r="S42" s="49"/>
      <c r="T42" s="49"/>
      <c r="U42" s="49">
        <f>+'alt 2'!Q238</f>
        <v>55189.963636363645</v>
      </c>
      <c r="V42" s="49"/>
      <c r="W42" s="49"/>
      <c r="X42" s="49"/>
      <c r="Y42" s="49">
        <f>+'alt 3'!Q238</f>
        <v>55189.963636363645</v>
      </c>
      <c r="Z42" s="49"/>
      <c r="AA42" s="49"/>
      <c r="AC42" s="11" t="s">
        <v>420</v>
      </c>
      <c r="AD42" s="11"/>
      <c r="AE42" s="49">
        <f>+'alt 1'!AE238</f>
        <v>47991.272727272735</v>
      </c>
      <c r="AF42" s="49"/>
      <c r="AG42" s="49"/>
      <c r="AH42" s="49"/>
      <c r="AI42" s="49">
        <f>+'alt 2'!AE238</f>
        <v>47991.272727272735</v>
      </c>
      <c r="AJ42" s="49"/>
      <c r="AK42" s="49"/>
      <c r="AL42" s="49"/>
      <c r="AM42" s="49">
        <f>+'alt 3'!AE238</f>
        <v>47991.272727272735</v>
      </c>
      <c r="AN42" s="49"/>
      <c r="AO42" s="49"/>
    </row>
    <row r="43" spans="1:41" ht="12.75">
      <c r="A43" s="11" t="s">
        <v>421</v>
      </c>
      <c r="B43" s="11"/>
      <c r="C43" s="49">
        <f>+'alt 1'!C239</f>
        <v>-9745.49601255893</v>
      </c>
      <c r="D43" s="49"/>
      <c r="E43" s="49"/>
      <c r="F43" s="144"/>
      <c r="G43" s="49">
        <f>+'alt 2'!C239</f>
        <v>-4664.557253108872</v>
      </c>
      <c r="H43" s="49"/>
      <c r="I43" s="49"/>
      <c r="J43" s="144"/>
      <c r="K43" s="49">
        <f>+'alt 3'!C239</f>
        <v>-5863.002363055465</v>
      </c>
      <c r="L43" s="49"/>
      <c r="M43" s="49"/>
      <c r="O43" s="11" t="s">
        <v>421</v>
      </c>
      <c r="P43" s="11"/>
      <c r="Q43" s="49">
        <f>+'alt 1'!Q239</f>
        <v>-10073.995877547688</v>
      </c>
      <c r="R43" s="49"/>
      <c r="S43" s="49"/>
      <c r="T43" s="49"/>
      <c r="U43" s="49">
        <f>+'alt 2'!Q239</f>
        <v>-4440.523633088613</v>
      </c>
      <c r="V43" s="49"/>
      <c r="W43" s="49"/>
      <c r="X43" s="49"/>
      <c r="Y43" s="49">
        <f>+'alt 3'!Q239</f>
        <v>-5679.365769213177</v>
      </c>
      <c r="Z43" s="49"/>
      <c r="AA43" s="49"/>
      <c r="AC43" s="11" t="s">
        <v>421</v>
      </c>
      <c r="AD43" s="11"/>
      <c r="AE43" s="49">
        <f>+'alt 1'!AE239</f>
        <v>-8759.99641759269</v>
      </c>
      <c r="AF43" s="49"/>
      <c r="AG43" s="49"/>
      <c r="AH43" s="49"/>
      <c r="AI43" s="49">
        <f>+'alt 2'!AE239</f>
        <v>-5336.6581131695975</v>
      </c>
      <c r="AJ43" s="49"/>
      <c r="AK43" s="49"/>
      <c r="AL43" s="49"/>
      <c r="AM43" s="49">
        <f>+'alt 3'!AE239</f>
        <v>-6413.912144582272</v>
      </c>
      <c r="AN43" s="49"/>
      <c r="AO43" s="49"/>
    </row>
    <row r="44" spans="1:41" ht="12.75">
      <c r="A44" s="11" t="s">
        <v>422</v>
      </c>
      <c r="B44" s="11"/>
      <c r="C44" s="49">
        <f>+'alt 1'!C240</f>
        <v>1003.4823966751084</v>
      </c>
      <c r="D44" s="49"/>
      <c r="E44" s="49"/>
      <c r="F44" s="144"/>
      <c r="G44" s="49">
        <f>+'alt 2'!C240</f>
        <v>498.72686014507383</v>
      </c>
      <c r="H44" s="49"/>
      <c r="I44" s="49"/>
      <c r="J44" s="144"/>
      <c r="K44" s="49">
        <f>+'alt 3'!C240</f>
        <v>621.0875748520668</v>
      </c>
      <c r="L44" s="49"/>
      <c r="M44" s="49"/>
      <c r="O44" s="11" t="s">
        <v>422</v>
      </c>
      <c r="P44" s="11"/>
      <c r="Q44" s="49">
        <f>+'alt 1'!Q240</f>
        <v>1040.8466035566266</v>
      </c>
      <c r="R44" s="49"/>
      <c r="S44" s="49"/>
      <c r="T44" s="49"/>
      <c r="U44" s="49">
        <f>+'alt 2'!Q240</f>
        <v>479.2796581599469</v>
      </c>
      <c r="V44" s="49"/>
      <c r="W44" s="49"/>
      <c r="X44" s="49"/>
      <c r="Y44" s="49">
        <f>+'alt 3'!Q240</f>
        <v>606.9052341167136</v>
      </c>
      <c r="Z44" s="49"/>
      <c r="AA44" s="49"/>
      <c r="AC44" s="11" t="s">
        <v>422</v>
      </c>
      <c r="AD44" s="11"/>
      <c r="AE44" s="49">
        <f>+'alt 1'!AE240</f>
        <v>896.069247424929</v>
      </c>
      <c r="AF44" s="49"/>
      <c r="AG44" s="49"/>
      <c r="AH44" s="49"/>
      <c r="AI44" s="49">
        <f>+'alt 2'!AE240</f>
        <v>558.0143552622766</v>
      </c>
      <c r="AJ44" s="49"/>
      <c r="AK44" s="49"/>
      <c r="AL44" s="49"/>
      <c r="AM44" s="49">
        <f>+'alt 3'!AE240</f>
        <v>665.8519714003505</v>
      </c>
      <c r="AN44" s="49"/>
      <c r="AO44" s="49"/>
    </row>
    <row r="45" spans="1:41" ht="12.75">
      <c r="A45" s="11" t="s">
        <v>423</v>
      </c>
      <c r="B45" s="11"/>
      <c r="C45" s="49">
        <f>+'alt 1'!C241</f>
        <v>44648.277293207095</v>
      </c>
      <c r="D45" s="49"/>
      <c r="E45" s="49"/>
      <c r="F45" s="144"/>
      <c r="G45" s="49">
        <f>+'alt 2'!C241</f>
        <v>49224.46051612712</v>
      </c>
      <c r="H45" s="49"/>
      <c r="I45" s="49"/>
      <c r="J45" s="144"/>
      <c r="K45" s="49">
        <f>+'alt 3'!C241</f>
        <v>48148.37612088752</v>
      </c>
      <c r="L45" s="49"/>
      <c r="M45" s="49"/>
      <c r="O45" s="11" t="s">
        <v>423</v>
      </c>
      <c r="P45" s="11"/>
      <c r="Q45" s="49">
        <f>+'alt 1'!Q241</f>
        <v>46156.81436237258</v>
      </c>
      <c r="R45" s="49"/>
      <c r="S45" s="49"/>
      <c r="T45" s="49"/>
      <c r="U45" s="49">
        <f>+'alt 2'!Q241</f>
        <v>51228.71966143498</v>
      </c>
      <c r="V45" s="49"/>
      <c r="W45" s="49"/>
      <c r="X45" s="49"/>
      <c r="Y45" s="49">
        <f>+'alt 3'!Q241</f>
        <v>50117.50310126718</v>
      </c>
      <c r="Z45" s="49"/>
      <c r="AA45" s="49"/>
      <c r="AC45" s="11" t="s">
        <v>423</v>
      </c>
      <c r="AD45" s="11"/>
      <c r="AE45" s="49">
        <f>+'alt 1'!AE241</f>
        <v>40127.34555710498</v>
      </c>
      <c r="AF45" s="49"/>
      <c r="AG45" s="49"/>
      <c r="AH45" s="49"/>
      <c r="AI45" s="49">
        <f>+'alt 2'!AE241</f>
        <v>43212.62896936541</v>
      </c>
      <c r="AJ45" s="49"/>
      <c r="AK45" s="49"/>
      <c r="AL45" s="49"/>
      <c r="AM45" s="49">
        <f>+'alt 3'!AE241</f>
        <v>42243.21255409081</v>
      </c>
      <c r="AN45" s="49"/>
      <c r="AO45" s="49"/>
    </row>
    <row r="46" spans="1:41" ht="12.75">
      <c r="A46" s="11" t="s">
        <v>424</v>
      </c>
      <c r="B46" s="11"/>
      <c r="C46" s="51">
        <f>+'alt 1'!C242</f>
        <v>-0.16373789067321404</v>
      </c>
      <c r="D46" s="51"/>
      <c r="E46" s="51"/>
      <c r="F46" s="145"/>
      <c r="G46" s="51">
        <f>+'alt 2'!C242</f>
        <v>-0.07802599165561899</v>
      </c>
      <c r="H46" s="51"/>
      <c r="I46" s="51"/>
      <c r="J46" s="144"/>
      <c r="K46" s="51">
        <f>+'alt 3'!C242</f>
        <v>-0.09818104938084984</v>
      </c>
      <c r="L46" s="51"/>
      <c r="M46" s="51"/>
      <c r="O46" s="11" t="s">
        <v>424</v>
      </c>
      <c r="P46" s="11"/>
      <c r="Q46" s="51">
        <f>+'alt 1'!Q242</f>
        <v>-0.16367376745360443</v>
      </c>
      <c r="R46" s="51"/>
      <c r="S46" s="51"/>
      <c r="T46" s="51"/>
      <c r="U46" s="51">
        <f>+'alt 2'!Q242</f>
        <v>-0.07177471616086867</v>
      </c>
      <c r="V46" s="51"/>
      <c r="W46" s="51"/>
      <c r="X46" s="49"/>
      <c r="Y46" s="51">
        <f>+'alt 3'!Q242</f>
        <v>-0.09190911174571445</v>
      </c>
      <c r="Z46" s="51"/>
      <c r="AA46" s="51"/>
      <c r="AC46" s="11" t="s">
        <v>424</v>
      </c>
      <c r="AD46" s="11"/>
      <c r="AE46" s="51">
        <f>+'alt 1'!AE242</f>
        <v>-0.1638616090649916</v>
      </c>
      <c r="AF46" s="51"/>
      <c r="AG46" s="51"/>
      <c r="AH46" s="51"/>
      <c r="AI46" s="51">
        <f>+'alt 2'!AE242</f>
        <v>-0.09957318250473678</v>
      </c>
      <c r="AJ46" s="51"/>
      <c r="AK46" s="51"/>
      <c r="AL46" s="49"/>
      <c r="AM46" s="51">
        <f>+'alt 3'!AE242</f>
        <v>-0.11977303052259725</v>
      </c>
      <c r="AN46" s="51"/>
      <c r="AO46" s="51"/>
    </row>
    <row r="47" spans="1:41" ht="12.75">
      <c r="A47" s="11"/>
      <c r="B47" s="11"/>
      <c r="C47" s="49"/>
      <c r="D47" s="49"/>
      <c r="E47" s="49"/>
      <c r="F47" s="144"/>
      <c r="G47" s="49"/>
      <c r="H47" s="49"/>
      <c r="I47" s="49"/>
      <c r="J47" s="144"/>
      <c r="K47" s="49"/>
      <c r="L47" s="49"/>
      <c r="M47" s="49"/>
      <c r="O47" s="11"/>
      <c r="P47" s="11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C47" s="11"/>
      <c r="AD47" s="11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</row>
    <row r="48" spans="1:41" ht="12.75">
      <c r="A48" s="26" t="s">
        <v>330</v>
      </c>
      <c r="B48" s="11"/>
      <c r="C48" s="49"/>
      <c r="D48" s="49"/>
      <c r="E48" s="49"/>
      <c r="F48" s="144"/>
      <c r="G48" s="49"/>
      <c r="H48" s="49"/>
      <c r="I48" s="49"/>
      <c r="J48" s="144"/>
      <c r="K48" s="49"/>
      <c r="L48" s="49"/>
      <c r="M48" s="49"/>
      <c r="O48" s="26" t="s">
        <v>330</v>
      </c>
      <c r="P48" s="11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C48" s="26" t="s">
        <v>330</v>
      </c>
      <c r="AD48" s="11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</row>
    <row r="49" spans="1:41" ht="12.75">
      <c r="A49" s="11" t="s">
        <v>420</v>
      </c>
      <c r="B49" s="11"/>
      <c r="C49" s="49">
        <f>+'alt 1'!C245</f>
        <v>333689.31794310524</v>
      </c>
      <c r="D49" s="49">
        <f>+'alt 1'!D245</f>
        <v>0.0030417032331572095</v>
      </c>
      <c r="E49" s="49">
        <f>+'alt 1'!E245</f>
        <v>333689.3209848085</v>
      </c>
      <c r="F49" s="144"/>
      <c r="G49" s="49">
        <f>+'alt 2'!C245</f>
        <v>235726.15609678024</v>
      </c>
      <c r="H49" s="49">
        <f>+'alt 2'!D245</f>
        <v>97026.3408311593</v>
      </c>
      <c r="I49" s="49">
        <f>+'alt 2'!E245</f>
        <v>332752.49692793953</v>
      </c>
      <c r="J49" s="144"/>
      <c r="K49" s="49">
        <f>+'alt 3'!C245</f>
        <v>229928.29862263196</v>
      </c>
      <c r="L49" s="49">
        <f>+'alt 3'!D245</f>
        <v>97026.3408311593</v>
      </c>
      <c r="M49" s="49">
        <f>+'alt 3'!E245</f>
        <v>326954.63945379126</v>
      </c>
      <c r="O49" s="11" t="s">
        <v>420</v>
      </c>
      <c r="P49" s="11"/>
      <c r="Q49" s="49">
        <f>+'alt 1'!Q245</f>
        <v>344937.2724851245</v>
      </c>
      <c r="R49" s="49">
        <f>+'alt 1'!R245</f>
        <v>0.0031396213196681266</v>
      </c>
      <c r="S49" s="49">
        <f>+'alt 1'!S245</f>
        <v>344937.2756247458</v>
      </c>
      <c r="T49" s="49"/>
      <c r="U49" s="49">
        <f>+'alt 2'!Q245</f>
        <v>245516.47596521108</v>
      </c>
      <c r="V49" s="49">
        <f>+'alt 2'!R245</f>
        <v>98452.3972636703</v>
      </c>
      <c r="W49" s="49">
        <f>+'alt 2'!S245</f>
        <v>343968.8732288814</v>
      </c>
      <c r="X49" s="49"/>
      <c r="Y49" s="49">
        <f>+'alt 3'!Q245</f>
        <v>239523.18509305784</v>
      </c>
      <c r="Z49" s="49">
        <f>+'alt 3'!R245</f>
        <v>98452.3972636703</v>
      </c>
      <c r="AA49" s="49">
        <f>+'alt 3'!S245</f>
        <v>337975.58235672815</v>
      </c>
      <c r="AC49" s="11" t="s">
        <v>420</v>
      </c>
      <c r="AD49" s="11"/>
      <c r="AE49" s="49">
        <f>+'alt 1'!AE245</f>
        <v>299945.4543170474</v>
      </c>
      <c r="AF49" s="49">
        <f>+'alt 1'!AF245</f>
        <v>0.002747948973624457</v>
      </c>
      <c r="AG49" s="49">
        <f>+'alt 1'!AG245</f>
        <v>299945.45706499636</v>
      </c>
      <c r="AH49" s="49"/>
      <c r="AI49" s="49">
        <f>+'alt 2'!AE245</f>
        <v>206355.19649148785</v>
      </c>
      <c r="AJ49" s="49">
        <f>+'alt 2'!AF245</f>
        <v>92748.17153362633</v>
      </c>
      <c r="AK49" s="49">
        <f>+'alt 2'!AG245</f>
        <v>299103.3680251142</v>
      </c>
      <c r="AL49" s="49"/>
      <c r="AM49" s="49">
        <f>+'alt 3'!AE245</f>
        <v>201143.63921135454</v>
      </c>
      <c r="AN49" s="49">
        <f>+'alt 3'!AF245</f>
        <v>92748.17153362633</v>
      </c>
      <c r="AO49" s="49">
        <f>+'alt 3'!AG245</f>
        <v>293891.8107449809</v>
      </c>
    </row>
    <row r="50" spans="1:41" ht="12.75">
      <c r="A50" s="11" t="s">
        <v>421</v>
      </c>
      <c r="B50" s="11"/>
      <c r="C50" s="49">
        <f>+'alt 1'!C246</f>
        <v>0</v>
      </c>
      <c r="D50" s="49">
        <f>+'alt 1'!D246</f>
        <v>0</v>
      </c>
      <c r="E50" s="49">
        <f>SUM(C50:D50)</f>
        <v>0</v>
      </c>
      <c r="F50" s="144"/>
      <c r="G50" s="49">
        <f>+'alt 2'!C246</f>
        <v>0</v>
      </c>
      <c r="H50" s="49">
        <f>+'alt 2'!D246</f>
        <v>0</v>
      </c>
      <c r="I50" s="49">
        <f>SUM(G50:H50)</f>
        <v>0</v>
      </c>
      <c r="J50" s="144"/>
      <c r="K50" s="49">
        <f>+'alt 3'!C246</f>
        <v>0</v>
      </c>
      <c r="L50" s="49">
        <f>+'alt 3'!D246</f>
        <v>0</v>
      </c>
      <c r="M50" s="49">
        <f>SUM(K50:L50)</f>
        <v>0</v>
      </c>
      <c r="O50" s="11" t="s">
        <v>421</v>
      </c>
      <c r="P50" s="11"/>
      <c r="Q50" s="49">
        <f>+'alt 1'!Q246</f>
        <v>0</v>
      </c>
      <c r="R50" s="49">
        <f>+'alt 1'!R246</f>
        <v>0</v>
      </c>
      <c r="S50" s="49">
        <f>SUM(Q50:R50)</f>
        <v>0</v>
      </c>
      <c r="T50" s="49"/>
      <c r="U50" s="49">
        <f>+'alt 2'!Q246</f>
        <v>0</v>
      </c>
      <c r="V50" s="49">
        <f>+'alt 2'!R246</f>
        <v>0</v>
      </c>
      <c r="W50" s="49">
        <f>SUM(U50:V50)</f>
        <v>0</v>
      </c>
      <c r="X50" s="49"/>
      <c r="Y50" s="49">
        <f>+'alt 3'!Q246</f>
        <v>0</v>
      </c>
      <c r="Z50" s="49">
        <f>+'alt 3'!R246</f>
        <v>0</v>
      </c>
      <c r="AA50" s="49">
        <f>SUM(Y50:Z50)</f>
        <v>0</v>
      </c>
      <c r="AC50" s="11" t="s">
        <v>421</v>
      </c>
      <c r="AD50" s="11"/>
      <c r="AE50" s="49">
        <f>+'alt 1'!AE246</f>
        <v>0</v>
      </c>
      <c r="AF50" s="49">
        <f>+'alt 1'!AF246</f>
        <v>0</v>
      </c>
      <c r="AG50" s="49">
        <f>SUM(AE50:AF50)</f>
        <v>0</v>
      </c>
      <c r="AH50" s="49"/>
      <c r="AI50" s="49">
        <f>+'alt 2'!AE246</f>
        <v>0</v>
      </c>
      <c r="AJ50" s="49">
        <f>+'alt 2'!AF246</f>
        <v>0</v>
      </c>
      <c r="AK50" s="49">
        <f>SUM(AI50:AJ50)</f>
        <v>0</v>
      </c>
      <c r="AL50" s="49"/>
      <c r="AM50" s="49">
        <f>+'alt 3'!AE246</f>
        <v>0</v>
      </c>
      <c r="AN50" s="49">
        <f>+'alt 3'!AF246</f>
        <v>0</v>
      </c>
      <c r="AO50" s="49">
        <f>SUM(AM50:AN50)</f>
        <v>0</v>
      </c>
    </row>
    <row r="51" spans="1:41" ht="12.75">
      <c r="A51" s="11" t="s">
        <v>422</v>
      </c>
      <c r="B51" s="11"/>
      <c r="C51" s="49">
        <f>+'alt 1'!C247</f>
        <v>23169.35957690734</v>
      </c>
      <c r="D51" s="49">
        <f>+'alt 1'!D247</f>
        <v>0</v>
      </c>
      <c r="E51" s="49">
        <f>SUM(C51:D51)</f>
        <v>23169.35957690734</v>
      </c>
      <c r="F51" s="144"/>
      <c r="G51" s="49">
        <f>+'alt 2'!C247</f>
        <v>5236.963518565231</v>
      </c>
      <c r="H51" s="49">
        <f>+'alt 2'!D247</f>
        <v>0</v>
      </c>
      <c r="I51" s="49">
        <f>SUM(G51:H51)</f>
        <v>5236.963518565231</v>
      </c>
      <c r="J51" s="144"/>
      <c r="K51" s="49">
        <f>+'alt 3'!C247</f>
        <v>6687.383734452483</v>
      </c>
      <c r="L51" s="49">
        <f>+'alt 3'!D247</f>
        <v>0</v>
      </c>
      <c r="M51" s="49">
        <f>SUM(K51:L51)</f>
        <v>6687.383734452483</v>
      </c>
      <c r="O51" s="11" t="s">
        <v>422</v>
      </c>
      <c r="P51" s="11"/>
      <c r="Q51" s="49">
        <f>+'alt 1'!Q247</f>
        <v>23148.18757122758</v>
      </c>
      <c r="R51" s="49">
        <f>+'alt 1'!R247</f>
        <v>0</v>
      </c>
      <c r="S51" s="49">
        <f>SUM(Q51:R51)</f>
        <v>23148.18757122758</v>
      </c>
      <c r="T51" s="49"/>
      <c r="U51" s="49">
        <f>+'alt 2'!Q247</f>
        <v>4720.62569376825</v>
      </c>
      <c r="V51" s="49">
        <f>+'alt 2'!R247</f>
        <v>0</v>
      </c>
      <c r="W51" s="49">
        <f>SUM(U51:V51)</f>
        <v>4720.62569376825</v>
      </c>
      <c r="X51" s="49"/>
      <c r="Y51" s="49">
        <f>+'alt 3'!Q247</f>
        <v>6143.55217982681</v>
      </c>
      <c r="Z51" s="49">
        <f>+'alt 3'!R247</f>
        <v>0</v>
      </c>
      <c r="AA51" s="49">
        <f>SUM(Y51:Z51)</f>
        <v>6143.55217982681</v>
      </c>
      <c r="AC51" s="11" t="s">
        <v>422</v>
      </c>
      <c r="AD51" s="11"/>
      <c r="AE51" s="49">
        <f>+'alt 1'!AE247</f>
        <v>20488.199812641215</v>
      </c>
      <c r="AF51" s="49">
        <f>+'alt 1'!AF247</f>
        <v>0</v>
      </c>
      <c r="AG51" s="49">
        <f>SUM(AE51:AF51)</f>
        <v>20488.199812641215</v>
      </c>
      <c r="AH51" s="49"/>
      <c r="AI51" s="49">
        <f>+'alt 2'!AE247</f>
        <v>6372.641590168024</v>
      </c>
      <c r="AJ51" s="49">
        <f>+'alt 2'!AF247</f>
        <v>0</v>
      </c>
      <c r="AK51" s="49">
        <f>SUM(AI51:AJ51)</f>
        <v>6372.641590168024</v>
      </c>
      <c r="AL51" s="49"/>
      <c r="AM51" s="49">
        <f>+'alt 3'!AE247</f>
        <v>7732.9837827209</v>
      </c>
      <c r="AN51" s="49">
        <f>+'alt 3'!AF247</f>
        <v>0</v>
      </c>
      <c r="AO51" s="49">
        <f>SUM(AM51:AN51)</f>
        <v>7732.9837827209</v>
      </c>
    </row>
    <row r="52" spans="1:41" ht="12.75">
      <c r="A52" s="11" t="s">
        <v>423</v>
      </c>
      <c r="B52" s="11"/>
      <c r="C52" s="49">
        <f>+'alt 1'!C248</f>
        <v>356858.6775200126</v>
      </c>
      <c r="D52" s="49">
        <f>+'alt 1'!D248</f>
        <v>0.0030417032331572095</v>
      </c>
      <c r="E52" s="49">
        <f>+'alt 1'!E248</f>
        <v>356858.68056171585</v>
      </c>
      <c r="F52" s="144"/>
      <c r="G52" s="49">
        <f>+'alt 2'!C248</f>
        <v>240963.11961534547</v>
      </c>
      <c r="H52" s="49">
        <f>+'alt 2'!D248</f>
        <v>97026.3408311593</v>
      </c>
      <c r="I52" s="49">
        <f>+'alt 2'!E248</f>
        <v>337989.46044650476</v>
      </c>
      <c r="J52" s="144"/>
      <c r="K52" s="49">
        <f>+'alt 3'!C248</f>
        <v>236615.68235708444</v>
      </c>
      <c r="L52" s="49">
        <f>+'alt 3'!D248</f>
        <v>97026.3408311593</v>
      </c>
      <c r="M52" s="49">
        <f>+'alt 3'!E248</f>
        <v>333642.02318824374</v>
      </c>
      <c r="O52" s="11" t="s">
        <v>423</v>
      </c>
      <c r="P52" s="11"/>
      <c r="Q52" s="49">
        <f>+'alt 1'!Q248</f>
        <v>368085.4600563521</v>
      </c>
      <c r="R52" s="49">
        <f>+'alt 1'!R248</f>
        <v>0.0031396213196681266</v>
      </c>
      <c r="S52" s="49">
        <f>+'alt 1'!S248</f>
        <v>368085.4631959734</v>
      </c>
      <c r="T52" s="49"/>
      <c r="U52" s="49">
        <f>+'alt 2'!Q248</f>
        <v>250237.10165897934</v>
      </c>
      <c r="V52" s="49">
        <f>+'alt 2'!R248</f>
        <v>98452.3972636703</v>
      </c>
      <c r="W52" s="49">
        <f>+'alt 2'!S248</f>
        <v>348689.49892264965</v>
      </c>
      <c r="X52" s="49"/>
      <c r="Y52" s="49">
        <f>+'alt 3'!Q248</f>
        <v>245666.73727288464</v>
      </c>
      <c r="Z52" s="49">
        <f>+'alt 3'!R248</f>
        <v>98452.3972636703</v>
      </c>
      <c r="AA52" s="49">
        <f>+'alt 3'!S248</f>
        <v>344119.1345365549</v>
      </c>
      <c r="AC52" s="11" t="s">
        <v>423</v>
      </c>
      <c r="AD52" s="11"/>
      <c r="AE52" s="49">
        <f>+'alt 1'!AE248</f>
        <v>320433.65412968857</v>
      </c>
      <c r="AF52" s="49">
        <f>+'alt 1'!AF248</f>
        <v>0.002747948973624457</v>
      </c>
      <c r="AG52" s="49">
        <f>+'alt 1'!AG248</f>
        <v>320433.65687763755</v>
      </c>
      <c r="AH52" s="49"/>
      <c r="AI52" s="49">
        <f>+'alt 2'!AE248</f>
        <v>212727.83808165588</v>
      </c>
      <c r="AJ52" s="49">
        <f>+'alt 2'!AF248</f>
        <v>92748.17153362633</v>
      </c>
      <c r="AK52" s="49">
        <f>+'alt 2'!AG248</f>
        <v>305476.0096152822</v>
      </c>
      <c r="AL52" s="49"/>
      <c r="AM52" s="49">
        <f>+'alt 3'!AE248</f>
        <v>208876.62299407544</v>
      </c>
      <c r="AN52" s="49">
        <f>+'alt 3'!AF248</f>
        <v>92748.17153362633</v>
      </c>
      <c r="AO52" s="49">
        <f>+'alt 3'!AG248</f>
        <v>301624.7945277018</v>
      </c>
    </row>
    <row r="53" spans="1:41" ht="12.75">
      <c r="A53" s="11" t="s">
        <v>424</v>
      </c>
      <c r="B53" s="11"/>
      <c r="C53" s="51">
        <f>+'alt 1'!C249</f>
        <v>0.06943392650302874</v>
      </c>
      <c r="D53" s="51">
        <f>+'alt 1'!D249</f>
        <v>0</v>
      </c>
      <c r="E53" s="51">
        <f>+'alt 1'!E249</f>
        <v>0.06943392587011248</v>
      </c>
      <c r="F53" s="145"/>
      <c r="G53" s="51">
        <f>+'alt 2'!C249</f>
        <v>0.022216302192681284</v>
      </c>
      <c r="H53" s="51">
        <f>+'alt 2'!D249</f>
        <v>0</v>
      </c>
      <c r="I53" s="51">
        <f>+'alt 2'!E249</f>
        <v>0.01573831471413223</v>
      </c>
      <c r="J53" s="144"/>
      <c r="K53" s="51">
        <f>+'alt 3'!C249</f>
        <v>0.029084648451333503</v>
      </c>
      <c r="L53" s="51">
        <f>+'alt 3'!D249</f>
        <v>0</v>
      </c>
      <c r="M53" s="51">
        <f>+'alt 3'!E249</f>
        <v>0.020453552045092215</v>
      </c>
      <c r="O53" s="11" t="s">
        <v>424</v>
      </c>
      <c r="P53" s="11"/>
      <c r="Q53" s="51">
        <f>+'alt 1'!Q249</f>
        <v>0.06710839743253864</v>
      </c>
      <c r="R53" s="51">
        <f>+'alt 1'!R249</f>
        <v>0</v>
      </c>
      <c r="S53" s="51">
        <f>+'alt 1'!S249</f>
        <v>0.06710839682171757</v>
      </c>
      <c r="T53" s="51"/>
      <c r="U53" s="51">
        <f>+'alt 2'!Q249</f>
        <v>0.019227327515230222</v>
      </c>
      <c r="V53" s="51">
        <f>+'alt 2'!R249</f>
        <v>0</v>
      </c>
      <c r="W53" s="51">
        <f>+'alt 2'!S249</f>
        <v>0.013723990922362027</v>
      </c>
      <c r="X53" s="49"/>
      <c r="Y53" s="51">
        <f>+'alt 3'!Q249</f>
        <v>0.025649091871586264</v>
      </c>
      <c r="Z53" s="51">
        <f>+'alt 3'!R249</f>
        <v>0</v>
      </c>
      <c r="AA53" s="51">
        <f>+'alt 3'!S249</f>
        <v>0.01817750305210613</v>
      </c>
      <c r="AC53" s="11" t="s">
        <v>424</v>
      </c>
      <c r="AD53" s="11"/>
      <c r="AE53" s="51">
        <f>+'alt 1'!AE249</f>
        <v>0.06830641877634465</v>
      </c>
      <c r="AF53" s="51">
        <f>+'alt 1'!AF249</f>
        <v>0</v>
      </c>
      <c r="AG53" s="51">
        <f>+'alt 1'!AG249</f>
        <v>0.0683064181505557</v>
      </c>
      <c r="AH53" s="51"/>
      <c r="AI53" s="51">
        <f>+'alt 2'!AE249</f>
        <v>0.030881905076865373</v>
      </c>
      <c r="AJ53" s="51">
        <f>+'alt 2'!AF249</f>
        <v>0</v>
      </c>
      <c r="AK53" s="51">
        <f>+'alt 2'!AG249</f>
        <v>0.021305816889473885</v>
      </c>
      <c r="AL53" s="49"/>
      <c r="AM53" s="51">
        <f>+'alt 3'!AE249</f>
        <v>0.0384450823950508</v>
      </c>
      <c r="AN53" s="51">
        <f>+'alt 3'!AF249</f>
        <v>0</v>
      </c>
      <c r="AO53" s="51">
        <f>+'alt 3'!AG249</f>
        <v>0.026312348626246953</v>
      </c>
    </row>
    <row r="54" spans="1:41" ht="12.75">
      <c r="A54" s="148"/>
      <c r="B54" s="148"/>
      <c r="C54" s="149"/>
      <c r="D54" s="149"/>
      <c r="E54" s="149"/>
      <c r="F54" s="150"/>
      <c r="G54" s="149"/>
      <c r="H54" s="149"/>
      <c r="I54" s="149"/>
      <c r="J54" s="150"/>
      <c r="K54" s="149"/>
      <c r="L54" s="149"/>
      <c r="M54" s="149"/>
      <c r="O54" s="17"/>
      <c r="P54" s="17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C54" s="17"/>
      <c r="AD54" s="17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</row>
    <row r="55" spans="4:41" ht="12.75">
      <c r="D55" s="39" t="s">
        <v>548</v>
      </c>
      <c r="E55" s="39"/>
      <c r="F55" s="146"/>
      <c r="G55" s="88"/>
      <c r="H55" s="39" t="s">
        <v>549</v>
      </c>
      <c r="I55" s="78"/>
      <c r="J55" s="146"/>
      <c r="K55" s="88"/>
      <c r="L55" s="39" t="s">
        <v>550</v>
      </c>
      <c r="M55" s="78"/>
      <c r="R55" s="39" t="s">
        <v>548</v>
      </c>
      <c r="S55" s="39"/>
      <c r="T55" s="88"/>
      <c r="U55" s="88"/>
      <c r="V55" s="39" t="s">
        <v>549</v>
      </c>
      <c r="W55" s="78"/>
      <c r="X55" s="88"/>
      <c r="Y55" s="88"/>
      <c r="Z55" s="39" t="s">
        <v>550</v>
      </c>
      <c r="AA55" s="78"/>
      <c r="AF55" s="39" t="s">
        <v>548</v>
      </c>
      <c r="AG55" s="39"/>
      <c r="AH55" s="88"/>
      <c r="AI55" s="88"/>
      <c r="AJ55" s="39" t="s">
        <v>549</v>
      </c>
      <c r="AK55" s="78"/>
      <c r="AL55" s="88"/>
      <c r="AM55" s="88"/>
      <c r="AN55" s="39" t="s">
        <v>550</v>
      </c>
      <c r="AO55" s="78"/>
    </row>
    <row r="56" spans="1:41" ht="12.75">
      <c r="A56" s="11"/>
      <c r="B56" s="11"/>
      <c r="C56" s="87" t="s">
        <v>92</v>
      </c>
      <c r="D56" s="87" t="s">
        <v>551</v>
      </c>
      <c r="E56" s="87" t="s">
        <v>40</v>
      </c>
      <c r="F56" s="142"/>
      <c r="G56" s="87" t="s">
        <v>92</v>
      </c>
      <c r="H56" s="87" t="s">
        <v>551</v>
      </c>
      <c r="I56" s="87" t="s">
        <v>40</v>
      </c>
      <c r="J56" s="142"/>
      <c r="K56" s="87" t="s">
        <v>92</v>
      </c>
      <c r="L56" s="87" t="s">
        <v>551</v>
      </c>
      <c r="M56" s="87" t="s">
        <v>40</v>
      </c>
      <c r="O56" s="11"/>
      <c r="P56" s="11"/>
      <c r="Q56" s="87" t="s">
        <v>92</v>
      </c>
      <c r="R56" s="87" t="s">
        <v>551</v>
      </c>
      <c r="S56" s="87" t="s">
        <v>40</v>
      </c>
      <c r="T56" s="87"/>
      <c r="U56" s="87" t="s">
        <v>92</v>
      </c>
      <c r="V56" s="87" t="s">
        <v>551</v>
      </c>
      <c r="W56" s="87" t="s">
        <v>40</v>
      </c>
      <c r="X56" s="87"/>
      <c r="Y56" s="87" t="s">
        <v>92</v>
      </c>
      <c r="Z56" s="87" t="s">
        <v>551</v>
      </c>
      <c r="AA56" s="87" t="s">
        <v>40</v>
      </c>
      <c r="AC56" s="11"/>
      <c r="AD56" s="11"/>
      <c r="AE56" s="87" t="s">
        <v>92</v>
      </c>
      <c r="AF56" s="87" t="s">
        <v>551</v>
      </c>
      <c r="AG56" s="87" t="s">
        <v>40</v>
      </c>
      <c r="AH56" s="87"/>
      <c r="AI56" s="87" t="s">
        <v>92</v>
      </c>
      <c r="AJ56" s="87" t="s">
        <v>551</v>
      </c>
      <c r="AK56" s="87" t="s">
        <v>40</v>
      </c>
      <c r="AL56" s="87"/>
      <c r="AM56" s="87" t="s">
        <v>92</v>
      </c>
      <c r="AN56" s="87" t="s">
        <v>551</v>
      </c>
      <c r="AO56" s="87" t="s">
        <v>40</v>
      </c>
    </row>
    <row r="57" spans="1:30" ht="12.75">
      <c r="A57" s="26" t="s">
        <v>324</v>
      </c>
      <c r="B57" s="11"/>
      <c r="F57" s="147"/>
      <c r="J57" s="147"/>
      <c r="O57" s="26" t="s">
        <v>324</v>
      </c>
      <c r="P57" s="11"/>
      <c r="AC57" s="26" t="s">
        <v>324</v>
      </c>
      <c r="AD57" s="11"/>
    </row>
    <row r="58" spans="1:41" ht="12.75">
      <c r="A58" s="11" t="s">
        <v>420</v>
      </c>
      <c r="B58" s="11"/>
      <c r="C58" s="49">
        <f>+'alt 4'!C231</f>
        <v>175224.94749286177</v>
      </c>
      <c r="D58" s="49">
        <f>+'alt 4'!D231</f>
        <v>97026.338028169</v>
      </c>
      <c r="E58" s="49">
        <f>+'alt 4'!E231</f>
        <v>272251.2855210308</v>
      </c>
      <c r="F58" s="147"/>
      <c r="G58" s="49">
        <f>+'alt 5'!C231</f>
        <v>170436.54856104584</v>
      </c>
      <c r="H58" s="49">
        <f>+'alt 5'!D231</f>
        <v>97026.338028169</v>
      </c>
      <c r="I58" s="49">
        <f>+'alt 5'!E231</f>
        <v>267462.88658921485</v>
      </c>
      <c r="J58" s="147"/>
      <c r="K58" s="49">
        <f>+'alt 6'!C231</f>
        <v>0</v>
      </c>
      <c r="L58" s="49">
        <f>+'alt 6'!D231</f>
        <v>270475.912181858</v>
      </c>
      <c r="M58" s="49">
        <f>+'alt 6'!E231</f>
        <v>270475.912181858</v>
      </c>
      <c r="O58" s="11" t="s">
        <v>420</v>
      </c>
      <c r="P58" s="11"/>
      <c r="Q58" s="49">
        <f>+'alt 4'!Q231</f>
        <v>182975.90077913797</v>
      </c>
      <c r="R58" s="49">
        <f>+'alt 4'!R231</f>
        <v>98452.39436619719</v>
      </c>
      <c r="S58" s="49">
        <f>+'alt 4'!S231</f>
        <v>281428.29514533514</v>
      </c>
      <c r="U58" s="49">
        <f>+'alt 5'!Q231</f>
        <v>178026.09514175518</v>
      </c>
      <c r="V58" s="49">
        <f>+'alt 5'!R231</f>
        <v>98452.39436619719</v>
      </c>
      <c r="W58" s="49">
        <f>+'alt 5'!S231</f>
        <v>276478.48950795236</v>
      </c>
      <c r="Y58" s="49">
        <f>+'alt 6'!Q231</f>
        <v>0</v>
      </c>
      <c r="Z58" s="49">
        <f>+'alt 6'!R231</f>
        <v>274091.9541655161</v>
      </c>
      <c r="AA58" s="49">
        <f>+'alt 6'!S231</f>
        <v>274091.9541655161</v>
      </c>
      <c r="AC58" s="11" t="s">
        <v>420</v>
      </c>
      <c r="AD58" s="11"/>
      <c r="AE58" s="49">
        <f>+'alt 4'!AE231</f>
        <v>151972.08763403303</v>
      </c>
      <c r="AF58" s="49">
        <f>+'alt 4'!AF231</f>
        <v>92748.1690140845</v>
      </c>
      <c r="AG58" s="49">
        <f>+'alt 4'!AG231</f>
        <v>244720.25664811753</v>
      </c>
      <c r="AI58" s="49">
        <f>+'alt 5'!AE231</f>
        <v>147667.90881891755</v>
      </c>
      <c r="AJ58" s="49">
        <f>+'alt 5'!AF231</f>
        <v>92748.1690140845</v>
      </c>
      <c r="AK58" s="49">
        <f>+'alt 5'!AG231</f>
        <v>240416.07783300205</v>
      </c>
      <c r="AM58" s="49">
        <f>+'alt 6'!AE231</f>
        <v>0</v>
      </c>
      <c r="AN58" s="49">
        <f>+'alt 6'!AF231</f>
        <v>259627.78623088356</v>
      </c>
      <c r="AO58" s="49">
        <f>+'alt 6'!AG231</f>
        <v>259627.78623088356</v>
      </c>
    </row>
    <row r="59" spans="1:41" ht="12.75">
      <c r="A59" s="11" t="s">
        <v>421</v>
      </c>
      <c r="B59" s="11"/>
      <c r="C59" s="49">
        <f>+'alt 4'!C232</f>
        <v>6134.418245138633</v>
      </c>
      <c r="D59" s="49">
        <f>+'alt 4'!D232</f>
        <v>0</v>
      </c>
      <c r="E59" s="49">
        <f>SUM(C59:D59)</f>
        <v>6134.418245138633</v>
      </c>
      <c r="F59" s="147"/>
      <c r="G59" s="49">
        <f>+'alt 5'!C232</f>
        <v>7124.203404552423</v>
      </c>
      <c r="H59" s="49">
        <f>+'alt 5'!D232</f>
        <v>0</v>
      </c>
      <c r="I59" s="49">
        <f>SUM(G59:H59)</f>
        <v>7124.203404552423</v>
      </c>
      <c r="J59" s="147"/>
      <c r="K59" s="49">
        <f>+'alt 6'!C232</f>
        <v>0</v>
      </c>
      <c r="L59" s="49">
        <f>+'alt 6'!D232</f>
        <v>-1010.6622726744754</v>
      </c>
      <c r="M59" s="49">
        <f>SUM(K59:L59)</f>
        <v>-1010.6622726744754</v>
      </c>
      <c r="O59" s="11" t="s">
        <v>421</v>
      </c>
      <c r="P59" s="11"/>
      <c r="Q59" s="49">
        <f>+'alt 4'!Q232</f>
        <v>5959.930501254234</v>
      </c>
      <c r="R59" s="49">
        <f>+'alt 4'!R232</f>
        <v>0</v>
      </c>
      <c r="S59" s="49">
        <f>SUM(Q59:R59)</f>
        <v>5959.930501254234</v>
      </c>
      <c r="U59" s="49">
        <f>+'alt 5'!Q232</f>
        <v>6983.07920536737</v>
      </c>
      <c r="V59" s="49">
        <f>+'alt 5'!R232</f>
        <v>0</v>
      </c>
      <c r="W59" s="49">
        <f>SUM(U59:V59)</f>
        <v>6983.07920536737</v>
      </c>
      <c r="Y59" s="49">
        <f>+'alt 6'!Q232</f>
        <v>0</v>
      </c>
      <c r="Z59" s="49">
        <f>+'alt 6'!R232</f>
        <v>-6545.8531357983375</v>
      </c>
      <c r="AA59" s="49">
        <f>SUM(Y59:Z59)</f>
        <v>-6545.8531357983375</v>
      </c>
      <c r="AC59" s="11" t="s">
        <v>421</v>
      </c>
      <c r="AD59" s="11"/>
      <c r="AE59" s="49">
        <f>+'alt 4'!AE232</f>
        <v>6657.881476791864</v>
      </c>
      <c r="AF59" s="49">
        <f>+'alt 4'!AF232</f>
        <v>0</v>
      </c>
      <c r="AG59" s="49">
        <f>SUM(AE59:AF59)</f>
        <v>6657.881476791864</v>
      </c>
      <c r="AI59" s="49">
        <f>+'alt 5'!AE232</f>
        <v>7547.57600210764</v>
      </c>
      <c r="AJ59" s="49">
        <f>+'alt 5'!AF232</f>
        <v>0</v>
      </c>
      <c r="AK59" s="49">
        <f>SUM(AI59:AJ59)</f>
        <v>7547.57600210764</v>
      </c>
      <c r="AM59" s="49">
        <f>+'alt 6'!AE232</f>
        <v>0</v>
      </c>
      <c r="AN59" s="49">
        <f>+'alt 6'!AF232</f>
        <v>15594.910316697118</v>
      </c>
      <c r="AO59" s="49">
        <f>SUM(AM59:AN59)</f>
        <v>15594.910316697118</v>
      </c>
    </row>
    <row r="60" spans="1:41" ht="12.75">
      <c r="A60" s="11" t="s">
        <v>422</v>
      </c>
      <c r="B60" s="11"/>
      <c r="C60" s="49">
        <f>+'alt 4'!C233</f>
        <v>6375.260782248932</v>
      </c>
      <c r="D60" s="49">
        <f>+'alt 4'!D233</f>
        <v>0</v>
      </c>
      <c r="E60" s="49">
        <f>SUM(C60:D60)</f>
        <v>6375.260782248932</v>
      </c>
      <c r="F60" s="147"/>
      <c r="G60" s="49">
        <f>+'alt 5'!C233</f>
        <v>7529.909792883788</v>
      </c>
      <c r="H60" s="49">
        <f>+'alt 5'!D233</f>
        <v>0</v>
      </c>
      <c r="I60" s="49">
        <f>SUM(G60:H60)</f>
        <v>7529.909792883788</v>
      </c>
      <c r="J60" s="147"/>
      <c r="K60" s="49">
        <f>+'alt 6'!C233</f>
        <v>0</v>
      </c>
      <c r="L60" s="49">
        <f>+'alt 6'!D233</f>
        <v>0</v>
      </c>
      <c r="M60" s="49">
        <f>SUM(K60:L60)</f>
        <v>0</v>
      </c>
      <c r="O60" s="11" t="s">
        <v>422</v>
      </c>
      <c r="P60" s="11"/>
      <c r="Q60" s="49">
        <f>+'alt 4'!Q233</f>
        <v>5838.693729165288</v>
      </c>
      <c r="R60" s="49">
        <f>+'alt 4'!R233</f>
        <v>0</v>
      </c>
      <c r="S60" s="49">
        <f>SUM(Q60:R60)</f>
        <v>5838.693729165288</v>
      </c>
      <c r="U60" s="49">
        <f>+'alt 5'!Q233</f>
        <v>6970.110329982434</v>
      </c>
      <c r="V60" s="49">
        <f>+'alt 5'!R233</f>
        <v>0</v>
      </c>
      <c r="W60" s="49">
        <f>SUM(U60:V60)</f>
        <v>6970.110329982434</v>
      </c>
      <c r="Y60" s="49">
        <f>+'alt 6'!Q233</f>
        <v>0</v>
      </c>
      <c r="Z60" s="49">
        <f>+'alt 6'!R233</f>
        <v>0</v>
      </c>
      <c r="AA60" s="49">
        <f>SUM(Y60:Z60)</f>
        <v>0</v>
      </c>
      <c r="AC60" s="11" t="s">
        <v>422</v>
      </c>
      <c r="AD60" s="11"/>
      <c r="AE60" s="49">
        <f>+'alt 4'!AE233</f>
        <v>7354.613866705886</v>
      </c>
      <c r="AF60" s="49">
        <f>+'alt 4'!AF233</f>
        <v>0</v>
      </c>
      <c r="AG60" s="49">
        <f>SUM(AE60:AF60)</f>
        <v>7354.613866705886</v>
      </c>
      <c r="AI60" s="49">
        <f>+'alt 5'!AE233</f>
        <v>8413.924415416983</v>
      </c>
      <c r="AJ60" s="49">
        <f>+'alt 5'!AF233</f>
        <v>0</v>
      </c>
      <c r="AK60" s="49">
        <f>SUM(AI60:AJ60)</f>
        <v>8413.924415416983</v>
      </c>
      <c r="AM60" s="49">
        <f>+'alt 6'!AE233</f>
        <v>0</v>
      </c>
      <c r="AN60" s="49">
        <f>+'alt 6'!AF233</f>
        <v>0</v>
      </c>
      <c r="AO60" s="49">
        <f>SUM(AM60:AN60)</f>
        <v>0</v>
      </c>
    </row>
    <row r="61" spans="1:41" ht="12.75">
      <c r="A61" s="11" t="s">
        <v>423</v>
      </c>
      <c r="B61" s="11"/>
      <c r="C61" s="49">
        <f>+'alt 4'!C234</f>
        <v>187734.62652024932</v>
      </c>
      <c r="D61" s="49">
        <f>+'alt 4'!D234</f>
        <v>97026.338028169</v>
      </c>
      <c r="E61" s="49">
        <f>+'alt 4'!E234</f>
        <v>284760.9645484183</v>
      </c>
      <c r="F61" s="147"/>
      <c r="G61" s="49">
        <f>+'alt 5'!C234</f>
        <v>185090.66175848205</v>
      </c>
      <c r="H61" s="49">
        <f>+'alt 5'!D234</f>
        <v>97026.338028169</v>
      </c>
      <c r="I61" s="49">
        <f>+'alt 5'!E234</f>
        <v>282116.99978665105</v>
      </c>
      <c r="J61" s="147"/>
      <c r="K61" s="49">
        <f>+'alt 6'!C234</f>
        <v>0</v>
      </c>
      <c r="L61" s="49">
        <f>+'alt 6'!D234</f>
        <v>269465.2499091835</v>
      </c>
      <c r="M61" s="49">
        <f>+'alt 6'!E234</f>
        <v>269465.2499091835</v>
      </c>
      <c r="O61" s="11" t="s">
        <v>423</v>
      </c>
      <c r="P61" s="11"/>
      <c r="Q61" s="49">
        <f>+'alt 4'!Q234</f>
        <v>194774.52500955752</v>
      </c>
      <c r="R61" s="49">
        <f>+'alt 4'!R234</f>
        <v>98452.39436619719</v>
      </c>
      <c r="S61" s="49">
        <f>+'alt 4'!S234</f>
        <v>293226.9193757547</v>
      </c>
      <c r="U61" s="49">
        <f>+'alt 5'!Q234</f>
        <v>191979.284677105</v>
      </c>
      <c r="V61" s="49">
        <f>+'alt 5'!R234</f>
        <v>98452.39436619719</v>
      </c>
      <c r="W61" s="49">
        <f>+'alt 5'!S234</f>
        <v>290431.6790433022</v>
      </c>
      <c r="Y61" s="49">
        <f>+'alt 6'!Q234</f>
        <v>0</v>
      </c>
      <c r="Z61" s="49">
        <f>+'alt 6'!R234</f>
        <v>267546.1010297177</v>
      </c>
      <c r="AA61" s="49">
        <f>+'alt 6'!S234</f>
        <v>267546.1010297177</v>
      </c>
      <c r="AC61" s="11" t="s">
        <v>423</v>
      </c>
      <c r="AD61" s="11"/>
      <c r="AE61" s="49">
        <f>+'alt 4'!AE234</f>
        <v>165984.58297753078</v>
      </c>
      <c r="AF61" s="49">
        <f>+'alt 4'!AF234</f>
        <v>92748.1690140845</v>
      </c>
      <c r="AG61" s="49">
        <f>+'alt 4'!AG234</f>
        <v>258732.75199161528</v>
      </c>
      <c r="AI61" s="49">
        <f>+'alt 5'!AE234</f>
        <v>163629.40923644218</v>
      </c>
      <c r="AJ61" s="49">
        <f>+'alt 5'!AF234</f>
        <v>92748.1690140845</v>
      </c>
      <c r="AK61" s="49">
        <f>+'alt 5'!AG234</f>
        <v>256377.57825052668</v>
      </c>
      <c r="AM61" s="49">
        <f>+'alt 6'!AE234</f>
        <v>0</v>
      </c>
      <c r="AN61" s="49">
        <f>+'alt 6'!AF234</f>
        <v>275222.69654758065</v>
      </c>
      <c r="AO61" s="49">
        <f>+'alt 6'!AG234</f>
        <v>275222.69654758065</v>
      </c>
    </row>
    <row r="62" spans="1:41" ht="12.75">
      <c r="A62" s="11" t="s">
        <v>424</v>
      </c>
      <c r="B62" s="11"/>
      <c r="C62" s="51">
        <f>+'alt 4'!C235</f>
        <v>0.0713921117191213</v>
      </c>
      <c r="D62" s="51">
        <f>+'alt 4'!D235</f>
        <v>0</v>
      </c>
      <c r="E62" s="51">
        <f>+'alt 4'!E235</f>
        <v>0.045949017296453426</v>
      </c>
      <c r="F62" s="147"/>
      <c r="G62" s="51">
        <f>+'alt 5'!C235</f>
        <v>0.085979875332828</v>
      </c>
      <c r="H62" s="51">
        <f>+'alt 5'!D235</f>
        <v>0</v>
      </c>
      <c r="I62" s="51">
        <f>+'alt 5'!E235</f>
        <v>0.05478933314565939</v>
      </c>
      <c r="J62" s="147"/>
      <c r="K62" s="51">
        <f>+'alt 6'!C235</f>
        <v>0</v>
      </c>
      <c r="L62" s="51">
        <f>+'alt 6'!D235</f>
        <v>-0.00373660731753061</v>
      </c>
      <c r="M62" s="51">
        <f>+'alt 6'!E235</f>
        <v>-0.00373660731753061</v>
      </c>
      <c r="O62" s="11" t="s">
        <v>424</v>
      </c>
      <c r="P62" s="11"/>
      <c r="Q62" s="51">
        <f>+'alt 4'!Q235</f>
        <v>0.06448184804763518</v>
      </c>
      <c r="R62" s="51">
        <f>+'alt 4'!R235</f>
        <v>0</v>
      </c>
      <c r="S62" s="51">
        <f>+'alt 4'!S235</f>
        <v>0.041924086646392585</v>
      </c>
      <c r="U62" s="51">
        <f>+'alt 5'!Q235</f>
        <v>0.07837721500457241</v>
      </c>
      <c r="V62" s="51">
        <f>+'alt 5'!R235</f>
        <v>0</v>
      </c>
      <c r="W62" s="51">
        <f>+'alt 5'!S235</f>
        <v>0.050467541110276876</v>
      </c>
      <c r="Y62" s="51">
        <f>+'alt 6'!Q235</f>
        <v>0</v>
      </c>
      <c r="Z62" s="51">
        <f>+'alt 6'!R235</f>
        <v>-0.023881960182769578</v>
      </c>
      <c r="AA62" s="51">
        <f>+'alt 6'!S235</f>
        <v>-0.023881960182769578</v>
      </c>
      <c r="AC62" s="11" t="s">
        <v>424</v>
      </c>
      <c r="AD62" s="11"/>
      <c r="AE62" s="51">
        <f>+'alt 4'!AE235</f>
        <v>0.09220440122689844</v>
      </c>
      <c r="AF62" s="51">
        <f>+'alt 4'!AF235</f>
        <v>0</v>
      </c>
      <c r="AG62" s="51">
        <f>+'alt 4'!AG235</f>
        <v>0.057259237692146886</v>
      </c>
      <c r="AI62" s="51">
        <f>+'alt 5'!AE235</f>
        <v>0.10809051570641474</v>
      </c>
      <c r="AJ62" s="51">
        <f>+'alt 5'!AF235</f>
        <v>0</v>
      </c>
      <c r="AK62" s="51">
        <f>+'alt 5'!AG235</f>
        <v>0.06639115221159134</v>
      </c>
      <c r="AM62" s="51">
        <f>+'alt 6'!AE235</f>
        <v>0</v>
      </c>
      <c r="AN62" s="51">
        <f>+'alt 6'!AF235</f>
        <v>0.06006641485911197</v>
      </c>
      <c r="AO62" s="51">
        <f>+'alt 6'!AG235</f>
        <v>0.06006641485911197</v>
      </c>
    </row>
    <row r="63" spans="1:41" ht="12.75">
      <c r="A63" s="11"/>
      <c r="B63" s="11"/>
      <c r="C63" s="49"/>
      <c r="D63" s="49"/>
      <c r="E63" s="49"/>
      <c r="F63" s="147"/>
      <c r="G63" s="49"/>
      <c r="H63" s="49"/>
      <c r="I63" s="49"/>
      <c r="J63" s="147"/>
      <c r="K63" s="49"/>
      <c r="L63" s="49"/>
      <c r="M63" s="49"/>
      <c r="O63" s="11"/>
      <c r="P63" s="11"/>
      <c r="Q63" s="49"/>
      <c r="R63" s="49"/>
      <c r="S63" s="49"/>
      <c r="U63" s="49"/>
      <c r="V63" s="49"/>
      <c r="W63" s="49"/>
      <c r="Y63" s="49"/>
      <c r="Z63" s="49"/>
      <c r="AA63" s="49"/>
      <c r="AC63" s="11"/>
      <c r="AD63" s="11"/>
      <c r="AE63" s="49"/>
      <c r="AF63" s="49"/>
      <c r="AG63" s="49"/>
      <c r="AI63" s="49"/>
      <c r="AJ63" s="49"/>
      <c r="AK63" s="49"/>
      <c r="AM63" s="49"/>
      <c r="AN63" s="49"/>
      <c r="AO63" s="49"/>
    </row>
    <row r="64" spans="1:41" ht="12.75">
      <c r="A64" s="26" t="s">
        <v>329</v>
      </c>
      <c r="B64" s="11"/>
      <c r="C64" s="49"/>
      <c r="D64" s="49"/>
      <c r="E64" s="49"/>
      <c r="F64" s="147"/>
      <c r="G64" s="49"/>
      <c r="H64" s="49"/>
      <c r="I64" s="49"/>
      <c r="J64" s="147"/>
      <c r="K64" s="49"/>
      <c r="L64" s="49"/>
      <c r="M64" s="49"/>
      <c r="O64" s="26" t="s">
        <v>329</v>
      </c>
      <c r="P64" s="11"/>
      <c r="Q64" s="49"/>
      <c r="R64" s="49"/>
      <c r="S64" s="49"/>
      <c r="U64" s="49"/>
      <c r="V64" s="49"/>
      <c r="W64" s="49"/>
      <c r="Y64" s="49"/>
      <c r="Z64" s="49"/>
      <c r="AA64" s="49"/>
      <c r="AC64" s="26" t="s">
        <v>329</v>
      </c>
      <c r="AD64" s="11"/>
      <c r="AE64" s="49"/>
      <c r="AF64" s="49"/>
      <c r="AG64" s="49"/>
      <c r="AI64" s="49"/>
      <c r="AJ64" s="49"/>
      <c r="AK64" s="49"/>
      <c r="AM64" s="49"/>
      <c r="AN64" s="49"/>
      <c r="AO64" s="49"/>
    </row>
    <row r="65" spans="1:41" ht="12.75">
      <c r="A65" s="11" t="s">
        <v>420</v>
      </c>
      <c r="B65" s="11"/>
      <c r="C65" s="49">
        <f>+'alt 4'!C238</f>
        <v>53390.290909090916</v>
      </c>
      <c r="D65" s="49"/>
      <c r="E65" s="49"/>
      <c r="F65" s="147"/>
      <c r="G65" s="49">
        <f>+'alt 5'!C238</f>
        <v>53390.290909090916</v>
      </c>
      <c r="H65" s="49"/>
      <c r="I65" s="49"/>
      <c r="J65" s="147"/>
      <c r="K65" s="49">
        <f>+'alt 6'!C238</f>
        <v>53390.290909090916</v>
      </c>
      <c r="L65" s="49"/>
      <c r="M65" s="49"/>
      <c r="O65" s="11" t="s">
        <v>420</v>
      </c>
      <c r="P65" s="11"/>
      <c r="Q65" s="49">
        <f>+'alt 4'!Q238</f>
        <v>55189.963636363645</v>
      </c>
      <c r="R65" s="49"/>
      <c r="S65" s="49"/>
      <c r="U65" s="49">
        <f>+'alt 5'!Q238</f>
        <v>55189.963636363645</v>
      </c>
      <c r="V65" s="49"/>
      <c r="W65" s="49"/>
      <c r="Y65" s="49">
        <f>+'alt 6'!Q238</f>
        <v>55189.963636363645</v>
      </c>
      <c r="Z65" s="49"/>
      <c r="AA65" s="49"/>
      <c r="AC65" s="11" t="s">
        <v>420</v>
      </c>
      <c r="AD65" s="11"/>
      <c r="AE65" s="49">
        <f>+'alt 4'!AE238</f>
        <v>47991.272727272735</v>
      </c>
      <c r="AF65" s="49"/>
      <c r="AG65" s="49"/>
      <c r="AI65" s="49">
        <f>+'alt 5'!AE238</f>
        <v>47991.272727272735</v>
      </c>
      <c r="AJ65" s="49"/>
      <c r="AK65" s="49"/>
      <c r="AM65" s="49">
        <f>+'alt 6'!AE238</f>
        <v>47991.272727272735</v>
      </c>
      <c r="AN65" s="49"/>
      <c r="AO65" s="49"/>
    </row>
    <row r="66" spans="1:41" ht="12.75">
      <c r="A66" s="11" t="s">
        <v>421</v>
      </c>
      <c r="B66" s="11"/>
      <c r="C66" s="49">
        <f>+'alt 4'!C239</f>
        <v>-6134.418245138633</v>
      </c>
      <c r="D66" s="49"/>
      <c r="E66" s="49"/>
      <c r="F66" s="147"/>
      <c r="G66" s="49">
        <f>+'alt 5'!C239</f>
        <v>-7124.203404552423</v>
      </c>
      <c r="H66" s="49"/>
      <c r="I66" s="49"/>
      <c r="J66" s="147"/>
      <c r="K66" s="49">
        <f>+'alt 6'!C239</f>
        <v>1010.6622726744754</v>
      </c>
      <c r="L66" s="49"/>
      <c r="M66" s="49"/>
      <c r="O66" s="11" t="s">
        <v>421</v>
      </c>
      <c r="P66" s="11"/>
      <c r="Q66" s="49">
        <f>+'alt 4'!Q239</f>
        <v>-5959.930501254234</v>
      </c>
      <c r="R66" s="49"/>
      <c r="S66" s="49"/>
      <c r="U66" s="49">
        <f>+'alt 5'!Q239</f>
        <v>-6983.07920536737</v>
      </c>
      <c r="V66" s="49"/>
      <c r="W66" s="49"/>
      <c r="Y66" s="49">
        <f>+'alt 6'!Q239</f>
        <v>6545.8531357983375</v>
      </c>
      <c r="Z66" s="49"/>
      <c r="AA66" s="49"/>
      <c r="AC66" s="11" t="s">
        <v>421</v>
      </c>
      <c r="AD66" s="11"/>
      <c r="AE66" s="49">
        <f>+'alt 4'!AE239</f>
        <v>-6657.881476791864</v>
      </c>
      <c r="AF66" s="49"/>
      <c r="AG66" s="49"/>
      <c r="AI66" s="49">
        <f>+'alt 5'!AE239</f>
        <v>-7547.57600210764</v>
      </c>
      <c r="AJ66" s="49"/>
      <c r="AK66" s="49"/>
      <c r="AM66" s="49">
        <f>+'alt 6'!AE239</f>
        <v>-15594.910316697118</v>
      </c>
      <c r="AN66" s="49"/>
      <c r="AO66" s="49"/>
    </row>
    <row r="67" spans="1:41" ht="12.75">
      <c r="A67" s="11" t="s">
        <v>422</v>
      </c>
      <c r="B67" s="11"/>
      <c r="C67" s="49">
        <f>+'alt 4'!C240</f>
        <v>648.4965081840907</v>
      </c>
      <c r="D67" s="49"/>
      <c r="E67" s="49"/>
      <c r="F67" s="147"/>
      <c r="G67" s="49">
        <f>+'alt 5'!C240</f>
        <v>747.5422898815465</v>
      </c>
      <c r="H67" s="49"/>
      <c r="I67" s="49"/>
      <c r="J67" s="147"/>
      <c r="K67" s="49">
        <f>+'alt 6'!C240</f>
        <v>-113.08327345724702</v>
      </c>
      <c r="L67" s="49"/>
      <c r="M67" s="49"/>
      <c r="O67" s="11" t="s">
        <v>422</v>
      </c>
      <c r="P67" s="11"/>
      <c r="Q67" s="49">
        <f>+'alt 4'!Q240</f>
        <v>635.4634785474498</v>
      </c>
      <c r="R67" s="49"/>
      <c r="S67" s="49"/>
      <c r="U67" s="49">
        <f>+'alt 5'!Q240</f>
        <v>738.5661368385204</v>
      </c>
      <c r="V67" s="49"/>
      <c r="W67" s="49"/>
      <c r="Y67" s="49">
        <f>+'alt 6'!Q240</f>
        <v>-772.9539859421579</v>
      </c>
      <c r="Z67" s="49"/>
      <c r="AA67" s="49"/>
      <c r="AC67" s="11" t="s">
        <v>422</v>
      </c>
      <c r="AD67" s="11"/>
      <c r="AE67" s="49">
        <f>+'alt 4'!AE240</f>
        <v>690.078412342542</v>
      </c>
      <c r="AF67" s="49"/>
      <c r="AG67" s="49"/>
      <c r="AI67" s="49">
        <f>+'alt 5'!AE240</f>
        <v>777.8453181559812</v>
      </c>
      <c r="AJ67" s="49"/>
      <c r="AK67" s="49"/>
      <c r="AM67" s="49">
        <f>+'alt 6'!AE240</f>
        <v>1540.040201644289</v>
      </c>
      <c r="AN67" s="49"/>
      <c r="AO67" s="49"/>
    </row>
    <row r="68" spans="1:41" ht="12.75">
      <c r="A68" s="11" t="s">
        <v>423</v>
      </c>
      <c r="B68" s="11"/>
      <c r="C68" s="49">
        <f>+'alt 4'!C241</f>
        <v>47904.36917213637</v>
      </c>
      <c r="D68" s="49"/>
      <c r="E68" s="49"/>
      <c r="F68" s="147"/>
      <c r="G68" s="49">
        <f>+'alt 5'!C241</f>
        <v>47013.629794420034</v>
      </c>
      <c r="H68" s="49"/>
      <c r="I68" s="49"/>
      <c r="J68" s="147"/>
      <c r="K68" s="49">
        <f>+'alt 6'!C241</f>
        <v>54287.869908308145</v>
      </c>
      <c r="L68" s="49"/>
      <c r="M68" s="49"/>
      <c r="O68" s="11" t="s">
        <v>423</v>
      </c>
      <c r="P68" s="11"/>
      <c r="Q68" s="49">
        <f>+'alt 4'!Q241</f>
        <v>49865.49661365686</v>
      </c>
      <c r="R68" s="49"/>
      <c r="S68" s="49"/>
      <c r="U68" s="49">
        <f>+'alt 5'!Q241</f>
        <v>48945.45056783479</v>
      </c>
      <c r="V68" s="49"/>
      <c r="W68" s="49"/>
      <c r="Y68" s="49">
        <f>+'alt 6'!Q241</f>
        <v>60962.86278621983</v>
      </c>
      <c r="Z68" s="49"/>
      <c r="AA68" s="49"/>
      <c r="AC68" s="11" t="s">
        <v>423</v>
      </c>
      <c r="AD68" s="11"/>
      <c r="AE68" s="49">
        <f>+'alt 4'!AE241</f>
        <v>42023.46966282341</v>
      </c>
      <c r="AF68" s="49"/>
      <c r="AG68" s="49"/>
      <c r="AI68" s="49">
        <f>+'alt 5'!AE241</f>
        <v>41221.542043321075</v>
      </c>
      <c r="AJ68" s="49"/>
      <c r="AK68" s="49"/>
      <c r="AM68" s="49">
        <f>+'alt 6'!AE241</f>
        <v>33936.40261221991</v>
      </c>
      <c r="AN68" s="49"/>
      <c r="AO68" s="49"/>
    </row>
    <row r="69" spans="1:41" ht="12.75">
      <c r="A69" s="11" t="s">
        <v>424</v>
      </c>
      <c r="B69" s="11"/>
      <c r="C69" s="51">
        <f>+'alt 4'!C242</f>
        <v>-0.10275129885123815</v>
      </c>
      <c r="D69" s="51"/>
      <c r="E69" s="51"/>
      <c r="F69" s="147"/>
      <c r="G69" s="51">
        <f>+'alt 5'!C242</f>
        <v>-0.11943484491456685</v>
      </c>
      <c r="H69" s="51"/>
      <c r="I69" s="51"/>
      <c r="J69" s="147"/>
      <c r="K69" s="51">
        <f>+'alt 6'!C242</f>
        <v>0.016811652154987512</v>
      </c>
      <c r="L69" s="51"/>
      <c r="M69" s="51"/>
      <c r="O69" s="11" t="s">
        <v>424</v>
      </c>
      <c r="P69" s="11"/>
      <c r="Q69" s="51">
        <f>+'alt 4'!Q242</f>
        <v>-0.0964752768780335</v>
      </c>
      <c r="R69" s="51"/>
      <c r="S69" s="51"/>
      <c r="U69" s="51">
        <f>+'alt 5'!Q242</f>
        <v>-0.1131458087139318</v>
      </c>
      <c r="V69" s="51"/>
      <c r="W69" s="51"/>
      <c r="Y69" s="51">
        <f>+'alt 6'!Q242</f>
        <v>0.10460052461517703</v>
      </c>
      <c r="Z69" s="51"/>
      <c r="AA69" s="51"/>
      <c r="AC69" s="11" t="s">
        <v>424</v>
      </c>
      <c r="AD69" s="11"/>
      <c r="AE69" s="51">
        <f>+'alt 4'!AE242</f>
        <v>-0.12435183993480364</v>
      </c>
      <c r="AF69" s="51"/>
      <c r="AG69" s="51"/>
      <c r="AI69" s="51">
        <f>+'alt 5'!AE242</f>
        <v>-0.14106170349811378</v>
      </c>
      <c r="AJ69" s="51"/>
      <c r="AK69" s="51"/>
      <c r="AM69" s="51">
        <f>+'alt 6'!AE242</f>
        <v>-0.2928630418893986</v>
      </c>
      <c r="AN69" s="51"/>
      <c r="AO69" s="51"/>
    </row>
    <row r="70" spans="1:41" ht="12.75">
      <c r="A70" s="11"/>
      <c r="B70" s="11"/>
      <c r="C70" s="49"/>
      <c r="D70" s="49"/>
      <c r="E70" s="49"/>
      <c r="F70" s="147"/>
      <c r="G70" s="49"/>
      <c r="H70" s="49"/>
      <c r="I70" s="49"/>
      <c r="J70" s="147"/>
      <c r="K70" s="49"/>
      <c r="L70" s="49"/>
      <c r="M70" s="49"/>
      <c r="O70" s="11"/>
      <c r="P70" s="11"/>
      <c r="Q70" s="49"/>
      <c r="R70" s="49"/>
      <c r="S70" s="49"/>
      <c r="U70" s="49"/>
      <c r="V70" s="49"/>
      <c r="W70" s="49"/>
      <c r="Y70" s="49"/>
      <c r="Z70" s="49"/>
      <c r="AA70" s="49"/>
      <c r="AC70" s="11"/>
      <c r="AD70" s="11"/>
      <c r="AE70" s="49"/>
      <c r="AF70" s="49"/>
      <c r="AG70" s="49"/>
      <c r="AI70" s="49"/>
      <c r="AJ70" s="49"/>
      <c r="AK70" s="49"/>
      <c r="AM70" s="49"/>
      <c r="AN70" s="49"/>
      <c r="AO70" s="49"/>
    </row>
    <row r="71" spans="1:41" ht="12.75">
      <c r="A71" s="26" t="s">
        <v>330</v>
      </c>
      <c r="B71" s="11"/>
      <c r="C71" s="49"/>
      <c r="D71" s="49"/>
      <c r="E71" s="49"/>
      <c r="F71" s="147"/>
      <c r="G71" s="49"/>
      <c r="H71" s="49"/>
      <c r="I71" s="49"/>
      <c r="J71" s="147"/>
      <c r="K71" s="49"/>
      <c r="L71" s="49"/>
      <c r="M71" s="49"/>
      <c r="O71" s="26" t="s">
        <v>330</v>
      </c>
      <c r="P71" s="11"/>
      <c r="Q71" s="49"/>
      <c r="R71" s="49"/>
      <c r="S71" s="49"/>
      <c r="U71" s="49"/>
      <c r="V71" s="49"/>
      <c r="W71" s="49"/>
      <c r="Y71" s="49"/>
      <c r="Z71" s="49"/>
      <c r="AA71" s="49"/>
      <c r="AC71" s="26" t="s">
        <v>330</v>
      </c>
      <c r="AD71" s="11"/>
      <c r="AE71" s="49"/>
      <c r="AF71" s="49"/>
      <c r="AG71" s="49"/>
      <c r="AI71" s="49"/>
      <c r="AJ71" s="49"/>
      <c r="AK71" s="49"/>
      <c r="AM71" s="49"/>
      <c r="AN71" s="49"/>
      <c r="AO71" s="49"/>
    </row>
    <row r="72" spans="1:41" ht="12.75">
      <c r="A72" s="11" t="s">
        <v>420</v>
      </c>
      <c r="B72" s="11"/>
      <c r="C72" s="49">
        <f>+'alt 4'!C245</f>
        <v>228615.2384019527</v>
      </c>
      <c r="D72" s="49">
        <f>+'alt 4'!D245</f>
        <v>97026.3408311593</v>
      </c>
      <c r="E72" s="49">
        <f>+'alt 4'!E245</f>
        <v>325641.579233112</v>
      </c>
      <c r="F72" s="147"/>
      <c r="G72" s="49">
        <f>+'alt 5'!C245</f>
        <v>223826.83947013677</v>
      </c>
      <c r="H72" s="49">
        <f>+'alt 5'!D245</f>
        <v>97026.3408311593</v>
      </c>
      <c r="I72" s="49">
        <f>+'alt 5'!E245</f>
        <v>320853.18030129606</v>
      </c>
      <c r="J72" s="147"/>
      <c r="K72" s="49">
        <f>+'alt 6'!C245</f>
        <v>53390.290909090916</v>
      </c>
      <c r="L72" s="49">
        <f>+'alt 6'!D245</f>
        <v>270475.91498484823</v>
      </c>
      <c r="M72" s="49">
        <f>+'alt 6'!E245</f>
        <v>323866.2058939391</v>
      </c>
      <c r="O72" s="11" t="s">
        <v>420</v>
      </c>
      <c r="P72" s="11"/>
      <c r="Q72" s="49">
        <f>+'alt 4'!Q245</f>
        <v>238165.86441550162</v>
      </c>
      <c r="R72" s="49">
        <f>+'alt 4'!R245</f>
        <v>98452.3972636703</v>
      </c>
      <c r="S72" s="49">
        <f>+'alt 4'!S245</f>
        <v>336618.26167917193</v>
      </c>
      <c r="U72" s="49">
        <f>+'alt 5'!Q245</f>
        <v>233216.05877811884</v>
      </c>
      <c r="V72" s="49">
        <f>+'alt 5'!R245</f>
        <v>98452.3972636703</v>
      </c>
      <c r="W72" s="49">
        <f>+'alt 5'!S245</f>
        <v>331668.45604178915</v>
      </c>
      <c r="Y72" s="49">
        <f>+'alt 6'!Q245</f>
        <v>55189.963636363645</v>
      </c>
      <c r="Z72" s="49">
        <f>+'alt 6'!R245</f>
        <v>274091.9570629892</v>
      </c>
      <c r="AA72" s="49">
        <f>+'alt 6'!S245</f>
        <v>329281.9206993528</v>
      </c>
      <c r="AC72" s="11" t="s">
        <v>420</v>
      </c>
      <c r="AD72" s="11"/>
      <c r="AE72" s="49">
        <f>+'alt 4'!AE245</f>
        <v>199963.36036130576</v>
      </c>
      <c r="AF72" s="49">
        <f>+'alt 4'!AF245</f>
        <v>92748.17153362633</v>
      </c>
      <c r="AG72" s="49">
        <f>+'alt 4'!AG245</f>
        <v>292711.5318949321</v>
      </c>
      <c r="AI72" s="49">
        <f>+'alt 5'!AE245</f>
        <v>195659.1815461903</v>
      </c>
      <c r="AJ72" s="49">
        <f>+'alt 5'!AF245</f>
        <v>92748.17153362633</v>
      </c>
      <c r="AK72" s="49">
        <f>+'alt 5'!AG245</f>
        <v>288407.3530798166</v>
      </c>
      <c r="AM72" s="49">
        <f>+'alt 6'!AE245</f>
        <v>47991.272727272735</v>
      </c>
      <c r="AN72" s="49">
        <f>+'alt 6'!AF245</f>
        <v>259627.7887504254</v>
      </c>
      <c r="AO72" s="49">
        <f>+'alt 6'!AG245</f>
        <v>307619.06147769815</v>
      </c>
    </row>
    <row r="73" spans="1:41" ht="12.75">
      <c r="A73" s="11" t="s">
        <v>421</v>
      </c>
      <c r="B73" s="11"/>
      <c r="C73" s="49">
        <f>+'alt 4'!C246</f>
        <v>0</v>
      </c>
      <c r="D73" s="49">
        <f>SUM(B73:C73)</f>
        <v>0</v>
      </c>
      <c r="E73" s="49">
        <f>+'alt 4'!E246</f>
        <v>0</v>
      </c>
      <c r="F73" s="147"/>
      <c r="G73" s="49">
        <f>+'alt 5'!C246</f>
        <v>0</v>
      </c>
      <c r="H73" s="49">
        <f>+'alt 5'!D246</f>
        <v>0</v>
      </c>
      <c r="I73" s="49">
        <f>SUM(G73:H73)</f>
        <v>0</v>
      </c>
      <c r="J73" s="147"/>
      <c r="K73" s="49">
        <f>+'alt 6'!C246</f>
        <v>1010.6622726744754</v>
      </c>
      <c r="L73" s="49">
        <f>+'alt 6'!D246</f>
        <v>-1010.6622726744754</v>
      </c>
      <c r="M73" s="49">
        <f>SUM(K73:L73)</f>
        <v>0</v>
      </c>
      <c r="O73" s="11" t="s">
        <v>421</v>
      </c>
      <c r="P73" s="11"/>
      <c r="Q73" s="49">
        <f>+'alt 4'!Q246</f>
        <v>0</v>
      </c>
      <c r="R73" s="49">
        <f>SUM(P73:Q73)</f>
        <v>0</v>
      </c>
      <c r="S73" s="49">
        <f>+'alt 4'!S246</f>
        <v>0</v>
      </c>
      <c r="U73" s="49">
        <f>+'alt 5'!Q246</f>
        <v>0</v>
      </c>
      <c r="V73" s="49">
        <f>+'alt 5'!R246</f>
        <v>0</v>
      </c>
      <c r="W73" s="49">
        <f>SUM(U73:V73)</f>
        <v>0</v>
      </c>
      <c r="Y73" s="49">
        <f>+'alt 6'!Q246</f>
        <v>6545.8531357983375</v>
      </c>
      <c r="Z73" s="49">
        <f>+'alt 6'!R246</f>
        <v>-6545.8531357983375</v>
      </c>
      <c r="AA73" s="49">
        <f>SUM(Y73:Z73)</f>
        <v>0</v>
      </c>
      <c r="AC73" s="11" t="s">
        <v>421</v>
      </c>
      <c r="AD73" s="11"/>
      <c r="AE73" s="49">
        <f>+'alt 4'!AE246</f>
        <v>0</v>
      </c>
      <c r="AF73" s="49">
        <f>SUM(AD73:AE73)</f>
        <v>0</v>
      </c>
      <c r="AG73" s="49">
        <f>+'alt 4'!AG246</f>
        <v>0</v>
      </c>
      <c r="AI73" s="49">
        <f>+'alt 5'!AE246</f>
        <v>0</v>
      </c>
      <c r="AJ73" s="49">
        <f>+'alt 5'!AF246</f>
        <v>0</v>
      </c>
      <c r="AK73" s="49">
        <f>SUM(AI73:AJ73)</f>
        <v>0</v>
      </c>
      <c r="AM73" s="49">
        <f>+'alt 6'!AE246</f>
        <v>-15594.910316697118</v>
      </c>
      <c r="AN73" s="49">
        <f>+'alt 6'!AF246</f>
        <v>15594.910316697118</v>
      </c>
      <c r="AO73" s="49">
        <f>SUM(AM73:AN73)</f>
        <v>0</v>
      </c>
    </row>
    <row r="74" spans="1:41" ht="12.75">
      <c r="A74" s="11" t="s">
        <v>422</v>
      </c>
      <c r="B74" s="11"/>
      <c r="C74" s="49">
        <f>+'alt 4'!C247</f>
        <v>7023.757290433023</v>
      </c>
      <c r="D74" s="49">
        <f>+'alt 4'!D247</f>
        <v>0</v>
      </c>
      <c r="E74" s="49">
        <f>SUM(C74:D74)</f>
        <v>7023.757290433023</v>
      </c>
      <c r="F74" s="147"/>
      <c r="G74" s="49">
        <f>+'alt 5'!C247</f>
        <v>8277.452082765334</v>
      </c>
      <c r="H74" s="49">
        <f>+'alt 5'!D247</f>
        <v>0</v>
      </c>
      <c r="I74" s="49">
        <f>SUM(G74:H74)</f>
        <v>8277.452082765334</v>
      </c>
      <c r="J74" s="147"/>
      <c r="K74" s="49">
        <f>+'alt 6'!C247</f>
        <v>-113.08327345724702</v>
      </c>
      <c r="L74" s="49">
        <f>+'alt 6'!D247</f>
        <v>0</v>
      </c>
      <c r="M74" s="49">
        <f>SUM(K74:L74)</f>
        <v>-113.08327345724702</v>
      </c>
      <c r="O74" s="11" t="s">
        <v>422</v>
      </c>
      <c r="P74" s="11"/>
      <c r="Q74" s="49">
        <f>+'alt 4'!Q247</f>
        <v>6474.1572077127375</v>
      </c>
      <c r="R74" s="49">
        <f>+'alt 4'!R247</f>
        <v>0</v>
      </c>
      <c r="S74" s="49">
        <f>SUM(Q74:R74)</f>
        <v>6474.1572077127375</v>
      </c>
      <c r="U74" s="49">
        <f>+'alt 5'!Q247</f>
        <v>7708.676466820954</v>
      </c>
      <c r="V74" s="49">
        <f>+'alt 5'!R247</f>
        <v>0</v>
      </c>
      <c r="W74" s="49">
        <f>SUM(U74:V74)</f>
        <v>7708.676466820954</v>
      </c>
      <c r="Y74" s="49">
        <f>+'alt 6'!Q247</f>
        <v>-772.9539859421579</v>
      </c>
      <c r="Z74" s="49">
        <f>+'alt 6'!R247</f>
        <v>0</v>
      </c>
      <c r="AA74" s="49">
        <f>SUM(Y74:Z74)</f>
        <v>-772.9539859421579</v>
      </c>
      <c r="AC74" s="11" t="s">
        <v>422</v>
      </c>
      <c r="AD74" s="11"/>
      <c r="AE74" s="49">
        <f>+'alt 4'!AE247</f>
        <v>8044.692279048428</v>
      </c>
      <c r="AF74" s="49">
        <f>+'alt 4'!AF247</f>
        <v>0</v>
      </c>
      <c r="AG74" s="49">
        <f>SUM(AE74:AF74)</f>
        <v>8044.692279048428</v>
      </c>
      <c r="AI74" s="49">
        <f>+'alt 5'!AE247</f>
        <v>9191.769733572964</v>
      </c>
      <c r="AJ74" s="49">
        <f>+'alt 5'!AF247</f>
        <v>0</v>
      </c>
      <c r="AK74" s="49">
        <f>SUM(AI74:AJ74)</f>
        <v>9191.769733572964</v>
      </c>
      <c r="AM74" s="49">
        <f>+'alt 6'!AE247</f>
        <v>1540.040201644289</v>
      </c>
      <c r="AN74" s="49">
        <f>+'alt 6'!AF247</f>
        <v>0</v>
      </c>
      <c r="AO74" s="49">
        <f>SUM(AM74:AN74)</f>
        <v>1540.040201644289</v>
      </c>
    </row>
    <row r="75" spans="1:41" ht="12.75">
      <c r="A75" s="11" t="s">
        <v>423</v>
      </c>
      <c r="B75" s="11"/>
      <c r="C75" s="49">
        <f>+'alt 4'!C248</f>
        <v>235638.9956923857</v>
      </c>
      <c r="D75" s="49">
        <f>+'alt 4'!D248</f>
        <v>97026.3408311593</v>
      </c>
      <c r="E75" s="49">
        <f>+'alt 4'!E248</f>
        <v>332665.336523545</v>
      </c>
      <c r="F75" s="147"/>
      <c r="G75" s="49">
        <f>+'alt 5'!C248</f>
        <v>232104.2915529021</v>
      </c>
      <c r="H75" s="49">
        <f>+'alt 5'!D248</f>
        <v>97026.3408311593</v>
      </c>
      <c r="I75" s="49">
        <f>+'alt 5'!E248</f>
        <v>329130.6323840614</v>
      </c>
      <c r="J75" s="147"/>
      <c r="K75" s="49">
        <f>+'alt 6'!C248</f>
        <v>54287.869908308145</v>
      </c>
      <c r="L75" s="49">
        <f>+'alt 6'!D248</f>
        <v>269465.25271217374</v>
      </c>
      <c r="M75" s="49">
        <f>+'alt 6'!E248</f>
        <v>323753.1226204819</v>
      </c>
      <c r="O75" s="11" t="s">
        <v>423</v>
      </c>
      <c r="P75" s="11"/>
      <c r="Q75" s="49">
        <f>+'alt 4'!Q248</f>
        <v>244640.02162321436</v>
      </c>
      <c r="R75" s="49">
        <f>+'alt 4'!R248</f>
        <v>98452.3972636703</v>
      </c>
      <c r="S75" s="49">
        <f>+'alt 4'!S248</f>
        <v>343092.41888688464</v>
      </c>
      <c r="U75" s="49">
        <f>+'alt 5'!Q248</f>
        <v>240924.7352449398</v>
      </c>
      <c r="V75" s="49">
        <f>+'alt 5'!R248</f>
        <v>98452.3972636703</v>
      </c>
      <c r="W75" s="49">
        <f>+'alt 5'!S248</f>
        <v>339377.1325086101</v>
      </c>
      <c r="Y75" s="49">
        <f>+'alt 6'!Q248</f>
        <v>60962.86278621983</v>
      </c>
      <c r="Z75" s="49">
        <f>+'alt 6'!R248</f>
        <v>267546.1039271908</v>
      </c>
      <c r="AA75" s="49">
        <f>+'alt 6'!S248</f>
        <v>328508.9667134106</v>
      </c>
      <c r="AC75" s="11" t="s">
        <v>423</v>
      </c>
      <c r="AD75" s="11"/>
      <c r="AE75" s="49">
        <f>+'alt 4'!AE248</f>
        <v>208008.0526403542</v>
      </c>
      <c r="AF75" s="49">
        <f>+'alt 4'!AF248</f>
        <v>92748.17153362633</v>
      </c>
      <c r="AG75" s="49">
        <f>+'alt 4'!AG248</f>
        <v>300756.22417398053</v>
      </c>
      <c r="AI75" s="49">
        <f>+'alt 5'!AE248</f>
        <v>204850.95127976325</v>
      </c>
      <c r="AJ75" s="49">
        <f>+'alt 5'!AF248</f>
        <v>92748.17153362633</v>
      </c>
      <c r="AK75" s="49">
        <f>+'alt 5'!AG248</f>
        <v>297599.1228133896</v>
      </c>
      <c r="AM75" s="49">
        <f>+'alt 6'!AE248</f>
        <v>33936.40261221991</v>
      </c>
      <c r="AN75" s="49">
        <f>+'alt 6'!AF248</f>
        <v>275222.69906712254</v>
      </c>
      <c r="AO75" s="49">
        <f>+'alt 6'!AG248</f>
        <v>309159.10167934245</v>
      </c>
    </row>
    <row r="76" spans="1:41" ht="12.75">
      <c r="A76" s="11" t="s">
        <v>424</v>
      </c>
      <c r="B76" s="11"/>
      <c r="C76" s="51">
        <f>+'alt 4'!C249</f>
        <v>0.03072304951992659</v>
      </c>
      <c r="D76" s="51">
        <f>+'alt 4'!D249</f>
        <v>0</v>
      </c>
      <c r="E76" s="51">
        <f>+'alt 4'!E249</f>
        <v>0.021568981783511736</v>
      </c>
      <c r="F76" s="147"/>
      <c r="G76" s="51">
        <f>+'alt 5'!C249</f>
        <v>0.03698149919089455</v>
      </c>
      <c r="H76" s="51">
        <f>+'alt 5'!D249</f>
        <v>0</v>
      </c>
      <c r="I76" s="51">
        <f>+'alt 5'!E249</f>
        <v>0.025798254750015053</v>
      </c>
      <c r="J76" s="147"/>
      <c r="K76" s="51">
        <f>+'alt 6'!C249</f>
        <v>0.016811652154987512</v>
      </c>
      <c r="L76" s="51">
        <f>+'alt 6'!D249</f>
        <v>0</v>
      </c>
      <c r="M76" s="51">
        <f>+'alt 6'!E249</f>
        <v>-0.0003491666354787253</v>
      </c>
      <c r="O76" s="11" t="s">
        <v>424</v>
      </c>
      <c r="P76" s="11"/>
      <c r="Q76" s="51">
        <f>+'alt 4'!Q249</f>
        <v>0.027183396846569032</v>
      </c>
      <c r="R76" s="51">
        <f>+'alt 4'!R249</f>
        <v>0</v>
      </c>
      <c r="S76" s="51">
        <f>+'alt 4'!S249</f>
        <v>0.01923293518128607</v>
      </c>
      <c r="U76" s="51">
        <f>+'alt 5'!Q249</f>
        <v>0.033053797869704075</v>
      </c>
      <c r="V76" s="51">
        <f>+'alt 5'!R249</f>
        <v>0</v>
      </c>
      <c r="W76" s="51">
        <f>+'alt 5'!S249</f>
        <v>0.02324211520992418</v>
      </c>
      <c r="Y76" s="51">
        <f>+'alt 6'!Q249</f>
        <v>0.10460052461517703</v>
      </c>
      <c r="Z76" s="51">
        <f>+'alt 6'!R249</f>
        <v>0</v>
      </c>
      <c r="AA76" s="51">
        <f>+'alt 6'!S249</f>
        <v>-0.002347392727485684</v>
      </c>
      <c r="AC76" s="11" t="s">
        <v>424</v>
      </c>
      <c r="AD76" s="11"/>
      <c r="AE76" s="51">
        <f>+'alt 4'!AE249</f>
        <v>0.04023083161091515</v>
      </c>
      <c r="AF76" s="51">
        <f>+'alt 4'!AF249</f>
        <v>0</v>
      </c>
      <c r="AG76" s="51">
        <f>+'alt 4'!AG249</f>
        <v>0.027483345896792532</v>
      </c>
      <c r="AI76" s="51">
        <f>+'alt 5'!AE249</f>
        <v>0.04697847379783203</v>
      </c>
      <c r="AJ76" s="51">
        <f>+'alt 5'!AF249</f>
        <v>0</v>
      </c>
      <c r="AK76" s="51">
        <f>+'alt 5'!AG249</f>
        <v>0.031870788436621944</v>
      </c>
      <c r="AM76" s="51">
        <f>+'alt 6'!AE249</f>
        <v>-0.2928630418893986</v>
      </c>
      <c r="AN76" s="51">
        <f>+'alt 6'!AF249</f>
        <v>0</v>
      </c>
      <c r="AO76" s="51">
        <f>+'alt 6'!AG249</f>
        <v>0.005006322411382647</v>
      </c>
    </row>
    <row r="77" spans="1:41" ht="12.75">
      <c r="A77" s="17"/>
      <c r="B77" s="17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O77" s="17"/>
      <c r="P77" s="17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C77" s="17"/>
      <c r="AD77" s="17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1:30" ht="12.75">
      <c r="A78" s="1" t="s">
        <v>640</v>
      </c>
      <c r="B78" s="1"/>
      <c r="O78" s="1" t="s">
        <v>566</v>
      </c>
      <c r="P78" s="1"/>
      <c r="AC78" s="1" t="s">
        <v>566</v>
      </c>
      <c r="AD78" s="1"/>
    </row>
    <row r="79" spans="7:35" ht="12.75">
      <c r="G79" s="1"/>
      <c r="U79" s="1"/>
      <c r="AI79" s="1"/>
    </row>
    <row r="80" spans="3:41" ht="12.75">
      <c r="C80" s="175" t="s">
        <v>647</v>
      </c>
      <c r="D80" s="179"/>
      <c r="E80" s="179"/>
      <c r="F80" s="141"/>
      <c r="G80" s="175" t="s">
        <v>546</v>
      </c>
      <c r="H80" s="179"/>
      <c r="I80" s="179"/>
      <c r="J80" s="141"/>
      <c r="K80" s="175" t="s">
        <v>547</v>
      </c>
      <c r="L80" s="179"/>
      <c r="M80" s="179"/>
      <c r="Q80" s="175" t="s">
        <v>545</v>
      </c>
      <c r="R80" s="179"/>
      <c r="S80" s="179"/>
      <c r="T80" s="50"/>
      <c r="U80" s="175" t="s">
        <v>546</v>
      </c>
      <c r="V80" s="179"/>
      <c r="W80" s="179"/>
      <c r="X80" s="50"/>
      <c r="Y80" s="175" t="s">
        <v>547</v>
      </c>
      <c r="Z80" s="179"/>
      <c r="AA80" s="179"/>
      <c r="AE80" s="175" t="s">
        <v>545</v>
      </c>
      <c r="AF80" s="179"/>
      <c r="AG80" s="179"/>
      <c r="AH80" s="50"/>
      <c r="AI80" s="175" t="s">
        <v>546</v>
      </c>
      <c r="AJ80" s="179"/>
      <c r="AK80" s="179"/>
      <c r="AL80" s="50"/>
      <c r="AM80" s="175" t="s">
        <v>547</v>
      </c>
      <c r="AN80" s="179"/>
      <c r="AO80" s="179"/>
    </row>
    <row r="81" spans="1:41" ht="12.75">
      <c r="A81" s="11"/>
      <c r="B81" s="11"/>
      <c r="C81" s="24" t="s">
        <v>92</v>
      </c>
      <c r="D81" s="24" t="s">
        <v>551</v>
      </c>
      <c r="E81" s="24" t="s">
        <v>40</v>
      </c>
      <c r="F81" s="168"/>
      <c r="G81" s="24" t="s">
        <v>92</v>
      </c>
      <c r="H81" s="24" t="s">
        <v>551</v>
      </c>
      <c r="I81" s="24" t="s">
        <v>40</v>
      </c>
      <c r="J81" s="168"/>
      <c r="K81" s="24" t="s">
        <v>92</v>
      </c>
      <c r="L81" s="24" t="s">
        <v>551</v>
      </c>
      <c r="M81" s="87" t="s">
        <v>40</v>
      </c>
      <c r="O81" s="11"/>
      <c r="P81" s="11"/>
      <c r="Q81" s="87" t="s">
        <v>92</v>
      </c>
      <c r="R81" s="87" t="s">
        <v>551</v>
      </c>
      <c r="S81" s="87" t="s">
        <v>40</v>
      </c>
      <c r="T81" s="87"/>
      <c r="U81" s="87" t="s">
        <v>92</v>
      </c>
      <c r="V81" s="87" t="s">
        <v>551</v>
      </c>
      <c r="W81" s="87" t="s">
        <v>40</v>
      </c>
      <c r="X81" s="87"/>
      <c r="Y81" s="87" t="s">
        <v>92</v>
      </c>
      <c r="Z81" s="87" t="s">
        <v>551</v>
      </c>
      <c r="AA81" s="87" t="s">
        <v>40</v>
      </c>
      <c r="AC81" s="11"/>
      <c r="AD81" s="11"/>
      <c r="AE81" s="87" t="s">
        <v>92</v>
      </c>
      <c r="AF81" s="87" t="s">
        <v>551</v>
      </c>
      <c r="AG81" s="87" t="s">
        <v>40</v>
      </c>
      <c r="AH81" s="87"/>
      <c r="AI81" s="87" t="s">
        <v>92</v>
      </c>
      <c r="AJ81" s="87" t="s">
        <v>551</v>
      </c>
      <c r="AK81" s="87" t="s">
        <v>40</v>
      </c>
      <c r="AL81" s="87"/>
      <c r="AM81" s="87" t="s">
        <v>92</v>
      </c>
      <c r="AN81" s="87" t="s">
        <v>551</v>
      </c>
      <c r="AO81" s="87" t="s">
        <v>40</v>
      </c>
    </row>
    <row r="82" spans="1:41" ht="12.75">
      <c r="A82" s="11" t="s">
        <v>324</v>
      </c>
      <c r="B82" s="11"/>
      <c r="C82" s="49"/>
      <c r="D82" s="49"/>
      <c r="E82" s="49"/>
      <c r="F82" s="144"/>
      <c r="G82" s="49"/>
      <c r="H82" s="49"/>
      <c r="I82" s="49"/>
      <c r="J82" s="144"/>
      <c r="K82" s="49"/>
      <c r="L82" s="49"/>
      <c r="M82" s="49"/>
      <c r="O82" s="11" t="s">
        <v>324</v>
      </c>
      <c r="P82" s="11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C82" s="11" t="s">
        <v>324</v>
      </c>
      <c r="AD82" s="11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1:41" ht="12.75">
      <c r="A83" s="11" t="s">
        <v>332</v>
      </c>
      <c r="B83" s="11"/>
      <c r="C83" s="33">
        <f>+'alt 1'!C254</f>
        <v>23.184897767438976</v>
      </c>
      <c r="D83" s="33">
        <f>+'alt 1'!D254</f>
        <v>23.18489821074108</v>
      </c>
      <c r="E83" s="33"/>
      <c r="F83" s="151"/>
      <c r="G83" s="33">
        <f>+'alt 2'!C254</f>
        <v>23.184897767438976</v>
      </c>
      <c r="H83" s="33">
        <f>+'alt 2'!D254</f>
        <v>23.18489821074108</v>
      </c>
      <c r="I83" s="33"/>
      <c r="J83" s="144"/>
      <c r="K83" s="33">
        <f>+'alt 3'!C254</f>
        <v>23.184897767438976</v>
      </c>
      <c r="L83" s="33">
        <f>+'alt 3'!D254</f>
        <v>23.18489821074108</v>
      </c>
      <c r="M83" s="49"/>
      <c r="O83" s="11" t="s">
        <v>332</v>
      </c>
      <c r="P83" s="11"/>
      <c r="Q83" s="33">
        <f>+'alt 1'!Q254</f>
        <v>21.822899303867064</v>
      </c>
      <c r="R83" s="33">
        <f>+'alt 1'!R254</f>
        <v>21.822899681690366</v>
      </c>
      <c r="S83" s="33"/>
      <c r="T83" s="33"/>
      <c r="U83" s="33">
        <f>+'alt 2'!Q254</f>
        <v>21.822899303867064</v>
      </c>
      <c r="V83" s="33">
        <f>+'alt 2'!R254</f>
        <v>21.822899681690366</v>
      </c>
      <c r="W83" s="33"/>
      <c r="X83" s="49"/>
      <c r="Y83" s="52">
        <f>+'alt 3'!Q254</f>
        <v>21.822899303867064</v>
      </c>
      <c r="Z83" s="52">
        <f>+'alt 3'!R254</f>
        <v>21.822899681690366</v>
      </c>
      <c r="AA83" s="49"/>
      <c r="AC83" s="11" t="s">
        <v>332</v>
      </c>
      <c r="AD83" s="11"/>
      <c r="AE83" s="33">
        <f>+'alt 1'!AE254</f>
        <v>28.926377633794647</v>
      </c>
      <c r="AF83" s="33">
        <f>+'alt 1'!AF254</f>
        <v>28.92637825825157</v>
      </c>
      <c r="AG83" s="33"/>
      <c r="AH83" s="33"/>
      <c r="AI83" s="33">
        <f>+'alt 2'!AE254</f>
        <v>28.926377633794647</v>
      </c>
      <c r="AJ83" s="33">
        <f>+'alt 2'!AF254</f>
        <v>28.92637825825157</v>
      </c>
      <c r="AK83" s="33"/>
      <c r="AL83" s="49"/>
      <c r="AM83" s="49">
        <f>+'alt 3'!AE254</f>
        <v>28.926377633794647</v>
      </c>
      <c r="AN83" s="49">
        <f>+'alt 3'!AF254</f>
        <v>28.92637825825157</v>
      </c>
      <c r="AO83" s="49"/>
    </row>
    <row r="84" spans="1:41" ht="12.75">
      <c r="A84" s="11" t="s">
        <v>333</v>
      </c>
      <c r="B84" s="11"/>
      <c r="C84" s="33">
        <f>+'alt 1'!C255</f>
        <v>30.286252444015965</v>
      </c>
      <c r="D84" s="33">
        <f>+'alt 1'!D255</f>
        <v>60</v>
      </c>
      <c r="E84" s="33"/>
      <c r="F84" s="151"/>
      <c r="G84" s="33">
        <f>+'alt 2'!C255</f>
        <v>26.53554567247294</v>
      </c>
      <c r="H84" s="33">
        <f>+'alt 2'!D255</f>
        <v>60</v>
      </c>
      <c r="I84" s="33"/>
      <c r="J84" s="144"/>
      <c r="K84" s="33">
        <f>+'alt 3'!C255</f>
        <v>27.528306949557212</v>
      </c>
      <c r="L84" s="33">
        <f>+'alt 3'!D255</f>
        <v>60</v>
      </c>
      <c r="M84" s="49"/>
      <c r="O84" s="11" t="s">
        <v>333</v>
      </c>
      <c r="P84" s="11"/>
      <c r="Q84" s="33">
        <f>+'alt 1'!Q255</f>
        <v>28.348063425275626</v>
      </c>
      <c r="R84" s="33">
        <f>+'alt 1'!R255</f>
        <v>60</v>
      </c>
      <c r="S84" s="33"/>
      <c r="T84" s="33"/>
      <c r="U84" s="33">
        <f>+'alt 2'!Q255</f>
        <v>24.559343031850737</v>
      </c>
      <c r="V84" s="33">
        <f>+'alt 2'!R255</f>
        <v>60</v>
      </c>
      <c r="W84" s="33"/>
      <c r="X84" s="49"/>
      <c r="Y84" s="52">
        <f>+'alt 3'!Q255</f>
        <v>25.460385634414706</v>
      </c>
      <c r="Z84" s="52">
        <f>+'alt 3'!R255</f>
        <v>60</v>
      </c>
      <c r="AA84" s="49"/>
      <c r="AC84" s="11" t="s">
        <v>333</v>
      </c>
      <c r="AD84" s="11"/>
      <c r="AE84" s="33">
        <f>+'alt 1'!AE255</f>
        <v>37.80559795602513</v>
      </c>
      <c r="AF84" s="33">
        <f>+'alt 1'!AF255</f>
        <v>60</v>
      </c>
      <c r="AG84" s="33"/>
      <c r="AH84" s="33"/>
      <c r="AI84" s="33">
        <f>+'alt 2'!AE255</f>
        <v>34.50275656542668</v>
      </c>
      <c r="AJ84" s="33">
        <f>+'alt 2'!AF255</f>
        <v>60</v>
      </c>
      <c r="AK84" s="33"/>
      <c r="AL84" s="49"/>
      <c r="AM84" s="49">
        <f>+'alt 3'!AE255</f>
        <v>35.72387711159649</v>
      </c>
      <c r="AN84" s="49">
        <f>+'alt 3'!AF255</f>
        <v>60</v>
      </c>
      <c r="AO84" s="49"/>
    </row>
    <row r="85" spans="1:41" ht="12.75">
      <c r="A85" s="11"/>
      <c r="B85" s="11"/>
      <c r="C85" s="33"/>
      <c r="D85" s="33"/>
      <c r="E85" s="33"/>
      <c r="F85" s="151"/>
      <c r="G85" s="33"/>
      <c r="H85" s="33"/>
      <c r="I85" s="33"/>
      <c r="J85" s="144"/>
      <c r="K85" s="49"/>
      <c r="L85" s="49"/>
      <c r="M85" s="49"/>
      <c r="O85" s="11"/>
      <c r="P85" s="11"/>
      <c r="Q85" s="33"/>
      <c r="R85" s="33"/>
      <c r="S85" s="33"/>
      <c r="T85" s="33"/>
      <c r="U85" s="33"/>
      <c r="V85" s="33"/>
      <c r="W85" s="33"/>
      <c r="X85" s="49"/>
      <c r="Y85" s="52"/>
      <c r="Z85" s="52"/>
      <c r="AA85" s="49"/>
      <c r="AC85" s="11"/>
      <c r="AD85" s="11"/>
      <c r="AE85" s="33"/>
      <c r="AF85" s="33"/>
      <c r="AG85" s="33"/>
      <c r="AH85" s="33"/>
      <c r="AI85" s="33"/>
      <c r="AJ85" s="33"/>
      <c r="AK85" s="33"/>
      <c r="AL85" s="49"/>
      <c r="AM85" s="49"/>
      <c r="AN85" s="49"/>
      <c r="AO85" s="49"/>
    </row>
    <row r="86" spans="1:41" ht="12.75">
      <c r="A86" s="11" t="s">
        <v>329</v>
      </c>
      <c r="B86" s="11"/>
      <c r="C86" s="33"/>
      <c r="D86" s="33"/>
      <c r="E86" s="33"/>
      <c r="F86" s="151"/>
      <c r="G86" s="33"/>
      <c r="H86" s="33"/>
      <c r="I86" s="33"/>
      <c r="J86" s="144"/>
      <c r="K86" s="49"/>
      <c r="L86" s="49"/>
      <c r="M86" s="49"/>
      <c r="O86" s="11" t="s">
        <v>329</v>
      </c>
      <c r="P86" s="11"/>
      <c r="Q86" s="33"/>
      <c r="R86" s="33"/>
      <c r="S86" s="33"/>
      <c r="T86" s="33"/>
      <c r="U86" s="33"/>
      <c r="V86" s="33"/>
      <c r="W86" s="33"/>
      <c r="X86" s="49"/>
      <c r="Y86" s="52"/>
      <c r="Z86" s="52"/>
      <c r="AA86" s="49"/>
      <c r="AC86" s="11" t="s">
        <v>329</v>
      </c>
      <c r="AD86" s="11"/>
      <c r="AE86" s="33"/>
      <c r="AF86" s="33"/>
      <c r="AG86" s="33"/>
      <c r="AH86" s="33"/>
      <c r="AI86" s="33"/>
      <c r="AJ86" s="33"/>
      <c r="AK86" s="33"/>
      <c r="AL86" s="49"/>
      <c r="AM86" s="49"/>
      <c r="AN86" s="49"/>
      <c r="AO86" s="49"/>
    </row>
    <row r="87" spans="1:41" ht="12.75">
      <c r="A87" s="11" t="s">
        <v>332</v>
      </c>
      <c r="B87" s="11"/>
      <c r="C87" s="33">
        <f>+'alt 1'!C258</f>
        <v>12.02686996715554</v>
      </c>
      <c r="D87" s="33"/>
      <c r="E87" s="33"/>
      <c r="F87" s="151"/>
      <c r="G87" s="33">
        <f>+'alt 2'!C258</f>
        <v>12.02686996715554</v>
      </c>
      <c r="H87" s="33"/>
      <c r="I87" s="33"/>
      <c r="J87" s="144"/>
      <c r="K87" s="33">
        <f>+'alt 3'!C258</f>
        <v>12.02686996715554</v>
      </c>
      <c r="L87" s="49"/>
      <c r="M87" s="49"/>
      <c r="O87" s="11" t="s">
        <v>332</v>
      </c>
      <c r="P87" s="11"/>
      <c r="Q87" s="33">
        <f>+'alt 1'!Q258</f>
        <v>11.506941514866172</v>
      </c>
      <c r="R87" s="33"/>
      <c r="S87" s="33"/>
      <c r="T87" s="33"/>
      <c r="U87" s="33">
        <f>+'alt 2'!Q258</f>
        <v>11.506941514866172</v>
      </c>
      <c r="V87" s="33"/>
      <c r="W87" s="33"/>
      <c r="X87" s="49"/>
      <c r="Y87" s="52">
        <f>+'alt 3'!Q258</f>
        <v>11.506941514866172</v>
      </c>
      <c r="Z87" s="52"/>
      <c r="AA87" s="49"/>
      <c r="AC87" s="11" t="s">
        <v>332</v>
      </c>
      <c r="AD87" s="11"/>
      <c r="AE87" s="33">
        <f>+'alt 1'!AE258</f>
        <v>13.646710052389674</v>
      </c>
      <c r="AF87" s="33"/>
      <c r="AG87" s="33"/>
      <c r="AH87" s="33"/>
      <c r="AI87" s="33">
        <f>+'alt 2'!AE258</f>
        <v>13.646710052389674</v>
      </c>
      <c r="AJ87" s="33">
        <f>+'alt 2'!AF258</f>
        <v>0</v>
      </c>
      <c r="AK87" s="33"/>
      <c r="AL87" s="49"/>
      <c r="AM87" s="49">
        <f>+'alt 3'!AE258</f>
        <v>13.646710052389674</v>
      </c>
      <c r="AN87" s="49"/>
      <c r="AO87" s="49"/>
    </row>
    <row r="88" spans="1:41" ht="12.75">
      <c r="A88" s="11" t="s">
        <v>333</v>
      </c>
      <c r="B88" s="11"/>
      <c r="C88" s="33">
        <f>+'alt 1'!C259</f>
        <v>14.646295480316434</v>
      </c>
      <c r="D88" s="33"/>
      <c r="E88" s="33"/>
      <c r="F88" s="151"/>
      <c r="G88" s="33">
        <f>+'alt 2'!C259</f>
        <v>13.273611368523035</v>
      </c>
      <c r="H88" s="33"/>
      <c r="I88" s="33"/>
      <c r="J88" s="144"/>
      <c r="K88" s="33">
        <f>+'alt 3'!C259</f>
        <v>13.59921776328902</v>
      </c>
      <c r="L88" s="49"/>
      <c r="M88" s="49"/>
      <c r="O88" s="11" t="s">
        <v>333</v>
      </c>
      <c r="P88" s="11"/>
      <c r="Q88" s="33">
        <f>+'alt 1'!Q259</f>
        <v>14.198665948152955</v>
      </c>
      <c r="R88" s="33"/>
      <c r="S88" s="33"/>
      <c r="T88" s="33"/>
      <c r="U88" s="33">
        <f>+'alt 2'!Q259</f>
        <v>12.668918444771228</v>
      </c>
      <c r="V88" s="33"/>
      <c r="W88" s="33"/>
      <c r="X88" s="49"/>
      <c r="Y88" s="52">
        <f>+'alt 3'!Q259</f>
        <v>13.003580244916693</v>
      </c>
      <c r="Z88" s="52"/>
      <c r="AA88" s="49"/>
      <c r="AC88" s="11" t="s">
        <v>333</v>
      </c>
      <c r="AD88" s="11"/>
      <c r="AE88" s="33">
        <f>+'alt 1'!AE259</f>
        <v>15.924706379988955</v>
      </c>
      <c r="AF88" s="33"/>
      <c r="AG88" s="33"/>
      <c r="AH88" s="33"/>
      <c r="AI88" s="33">
        <f>+'alt 2'!AE259</f>
        <v>15.064152694320908</v>
      </c>
      <c r="AJ88" s="33">
        <f>+'alt 2'!AF259</f>
        <v>0</v>
      </c>
      <c r="AK88" s="33"/>
      <c r="AL88" s="49"/>
      <c r="AM88" s="49">
        <f>+'alt 3'!AE259</f>
        <v>15.340619624329936</v>
      </c>
      <c r="AN88" s="49"/>
      <c r="AO88" s="49"/>
    </row>
    <row r="89" spans="1:41" ht="12.75">
      <c r="A89" s="11"/>
      <c r="B89" s="11"/>
      <c r="C89" s="33"/>
      <c r="D89" s="33"/>
      <c r="E89" s="33"/>
      <c r="F89" s="151"/>
      <c r="G89" s="33"/>
      <c r="H89" s="33"/>
      <c r="I89" s="33"/>
      <c r="J89" s="144"/>
      <c r="K89" s="49"/>
      <c r="L89" s="49"/>
      <c r="M89" s="49"/>
      <c r="O89" s="11"/>
      <c r="P89" s="11"/>
      <c r="Q89" s="33"/>
      <c r="R89" s="33"/>
      <c r="S89" s="33"/>
      <c r="T89" s="33"/>
      <c r="U89" s="33"/>
      <c r="V89" s="33"/>
      <c r="W89" s="33"/>
      <c r="X89" s="49"/>
      <c r="Y89" s="49"/>
      <c r="Z89" s="49"/>
      <c r="AA89" s="49"/>
      <c r="AC89" s="11"/>
      <c r="AD89" s="11"/>
      <c r="AE89" s="33"/>
      <c r="AF89" s="33"/>
      <c r="AG89" s="33"/>
      <c r="AH89" s="33"/>
      <c r="AI89" s="33"/>
      <c r="AJ89" s="33"/>
      <c r="AK89" s="33"/>
      <c r="AL89" s="49"/>
      <c r="AM89" s="49"/>
      <c r="AN89" s="49"/>
      <c r="AO89" s="49"/>
    </row>
    <row r="90" spans="1:41" ht="12.75">
      <c r="A90" s="26" t="s">
        <v>477</v>
      </c>
      <c r="B90" s="11"/>
      <c r="C90" s="33"/>
      <c r="D90" s="33"/>
      <c r="E90" s="33"/>
      <c r="F90" s="151"/>
      <c r="G90" s="33"/>
      <c r="H90" s="33"/>
      <c r="I90" s="33"/>
      <c r="J90" s="144"/>
      <c r="K90" s="49"/>
      <c r="L90" s="49"/>
      <c r="M90" s="49"/>
      <c r="O90" s="26" t="s">
        <v>418</v>
      </c>
      <c r="P90" s="11"/>
      <c r="Q90" s="33"/>
      <c r="R90" s="33"/>
      <c r="S90" s="33"/>
      <c r="T90" s="33"/>
      <c r="U90" s="33"/>
      <c r="V90" s="33"/>
      <c r="W90" s="33"/>
      <c r="X90" s="49"/>
      <c r="Y90" s="49"/>
      <c r="Z90" s="49"/>
      <c r="AA90" s="49"/>
      <c r="AC90" s="26" t="s">
        <v>418</v>
      </c>
      <c r="AD90" s="11"/>
      <c r="AE90" s="33"/>
      <c r="AF90" s="33"/>
      <c r="AG90" s="33"/>
      <c r="AH90" s="33"/>
      <c r="AI90" s="33"/>
      <c r="AJ90" s="33"/>
      <c r="AK90" s="33"/>
      <c r="AL90" s="49"/>
      <c r="AM90" s="49"/>
      <c r="AN90" s="49"/>
      <c r="AO90" s="49"/>
    </row>
    <row r="91" spans="1:41" ht="12.75">
      <c r="A91" s="11" t="s">
        <v>238</v>
      </c>
      <c r="B91" s="11"/>
      <c r="C91" s="68">
        <f>+C99/+C98</f>
        <v>4340.883290858531</v>
      </c>
      <c r="D91" s="68">
        <f>+D99/+D98</f>
        <v>0</v>
      </c>
      <c r="E91" s="68"/>
      <c r="F91" s="152"/>
      <c r="G91" s="68">
        <f>+G99/+G98</f>
        <v>1424.7242536091583</v>
      </c>
      <c r="H91" s="68">
        <f>+H99/+H98</f>
        <v>4334.348938673847</v>
      </c>
      <c r="I91" s="68"/>
      <c r="J91" s="156"/>
      <c r="K91" s="68">
        <f>+K99/+K98</f>
        <v>1744.5524536160417</v>
      </c>
      <c r="L91" s="68">
        <f>+L99/+L98</f>
        <v>4477.234373372831</v>
      </c>
      <c r="M91" s="68"/>
      <c r="O91" s="11" t="s">
        <v>238</v>
      </c>
      <c r="P91" s="11"/>
      <c r="Q91" s="68">
        <f>+Q99/+Q98</f>
        <v>4691.222805494334</v>
      </c>
      <c r="R91" s="68">
        <f>+R99/+R98</f>
        <v>0</v>
      </c>
      <c r="S91" s="68"/>
      <c r="T91" s="68"/>
      <c r="U91" s="68">
        <f>+U99/+U98</f>
        <v>1400.3566613740686</v>
      </c>
      <c r="V91" s="68">
        <f>+V99/+V98</f>
        <v>4882.404785527913</v>
      </c>
      <c r="W91" s="68"/>
      <c r="X91" s="69"/>
      <c r="Y91" s="68">
        <f>+Y99/+Y98</f>
        <v>1757.5990599535926</v>
      </c>
      <c r="Z91" s="68">
        <f>+Z99/+Z98</f>
        <v>5045.130224571745</v>
      </c>
      <c r="AA91" s="68"/>
      <c r="AC91" s="11" t="s">
        <v>238</v>
      </c>
      <c r="AD91" s="11"/>
      <c r="AE91" s="68">
        <f>+AE99/+AE98</f>
        <v>3131.9799671687347</v>
      </c>
      <c r="AF91" s="68">
        <f>+AF99/+AF98</f>
        <v>0</v>
      </c>
      <c r="AG91" s="68"/>
      <c r="AH91" s="68"/>
      <c r="AI91" s="68">
        <f>+AI99/+AI98</f>
        <v>1281.2416569656014</v>
      </c>
      <c r="AJ91" s="68">
        <f>+AJ99/+AJ98</f>
        <v>2734.8002806711106</v>
      </c>
      <c r="AK91" s="68"/>
      <c r="AL91" s="69"/>
      <c r="AM91" s="68">
        <f>+AM99/+AM98</f>
        <v>1481.275288187017</v>
      </c>
      <c r="AN91" s="68">
        <f>+AN99/+AN98</f>
        <v>2821.689309383565</v>
      </c>
      <c r="AO91" s="68"/>
    </row>
    <row r="92" spans="1:41" ht="12.75">
      <c r="A92" s="11" t="s">
        <v>240</v>
      </c>
      <c r="B92" s="11"/>
      <c r="C92" s="68">
        <f>+C100/+C98</f>
        <v>75.46237539545916</v>
      </c>
      <c r="D92" s="68">
        <f>+D100/+D98</f>
        <v>0</v>
      </c>
      <c r="E92" s="68"/>
      <c r="F92" s="152"/>
      <c r="G92" s="68">
        <f>+G100/+G98</f>
        <v>18.223808695047172</v>
      </c>
      <c r="H92" s="68">
        <f>+H100/+H98</f>
        <v>0</v>
      </c>
      <c r="I92" s="68"/>
      <c r="J92" s="156"/>
      <c r="K92" s="68">
        <f>+K100/+K98</f>
        <v>28.969158796167033</v>
      </c>
      <c r="L92" s="68">
        <f>+L100/+L98</f>
        <v>0</v>
      </c>
      <c r="M92" s="68"/>
      <c r="O92" s="11" t="s">
        <v>240</v>
      </c>
      <c r="P92" s="11"/>
      <c r="Q92" s="68">
        <f>+Q100/+Q98</f>
        <v>81.55271465847429</v>
      </c>
      <c r="R92" s="68">
        <f>+R100/+R98</f>
        <v>0</v>
      </c>
      <c r="S92" s="68"/>
      <c r="T92" s="68"/>
      <c r="U92" s="68">
        <f>+U100/+U98</f>
        <v>16.335918662872803</v>
      </c>
      <c r="V92" s="68">
        <f>+V100/+V98</f>
        <v>0</v>
      </c>
      <c r="W92" s="68"/>
      <c r="X92" s="69"/>
      <c r="Y92" s="68">
        <f>+Y100/+Y98</f>
        <v>27.07609582857206</v>
      </c>
      <c r="Z92" s="68">
        <f>+Z100/+Z98</f>
        <v>0</v>
      </c>
      <c r="AA92" s="68"/>
      <c r="AC92" s="11" t="s">
        <v>240</v>
      </c>
      <c r="AD92" s="11"/>
      <c r="AE92" s="68">
        <f>+AE100/+AE98</f>
        <v>54.44667184972742</v>
      </c>
      <c r="AF92" s="68">
        <f>+AF100/+AF98</f>
        <v>0</v>
      </c>
      <c r="AG92" s="68"/>
      <c r="AH92" s="68"/>
      <c r="AI92" s="68">
        <f>+AI100/+AI98</f>
        <v>21.588088123393003</v>
      </c>
      <c r="AJ92" s="68">
        <f>+AJ100/+AJ98</f>
        <v>0</v>
      </c>
      <c r="AK92" s="68"/>
      <c r="AL92" s="69"/>
      <c r="AM92" s="68">
        <f>+AM100/+AM98</f>
        <v>31.017377590961978</v>
      </c>
      <c r="AN92" s="68">
        <f>+AN100/+AN98</f>
        <v>0</v>
      </c>
      <c r="AO92" s="68"/>
    </row>
    <row r="93" spans="1:41" ht="12.75">
      <c r="A93" s="11" t="s">
        <v>242</v>
      </c>
      <c r="B93" s="11"/>
      <c r="C93" s="68">
        <f>+C101/+C98</f>
        <v>171.63720990586285</v>
      </c>
      <c r="D93" s="68">
        <f>+D101/+D98</f>
        <v>0</v>
      </c>
      <c r="E93" s="68"/>
      <c r="F93" s="152"/>
      <c r="G93" s="68">
        <f>+G101/+G98</f>
        <v>18.51166439373386</v>
      </c>
      <c r="H93" s="68">
        <f>+H101/+H98</f>
        <v>0</v>
      </c>
      <c r="I93" s="68"/>
      <c r="J93" s="156"/>
      <c r="K93" s="68">
        <f>+K101/+K98</f>
        <v>29.97363566820384</v>
      </c>
      <c r="L93" s="68">
        <f>+L101/+L98</f>
        <v>0</v>
      </c>
      <c r="M93" s="68"/>
      <c r="O93" s="11" t="s">
        <v>242</v>
      </c>
      <c r="P93" s="11"/>
      <c r="Q93" s="68">
        <f>+Q101/+Q98</f>
        <v>178.96708433366476</v>
      </c>
      <c r="R93" s="68">
        <f>+R101/+R98</f>
        <v>0</v>
      </c>
      <c r="S93" s="68"/>
      <c r="T93" s="68"/>
      <c r="U93" s="68">
        <f>+U101/+U98</f>
        <v>15.603178720299503</v>
      </c>
      <c r="V93" s="68">
        <f>+V101/+V98</f>
        <v>0</v>
      </c>
      <c r="W93" s="68"/>
      <c r="X93" s="69"/>
      <c r="Y93" s="68">
        <f>+Y101/+Y98</f>
        <v>26.395690885707136</v>
      </c>
      <c r="Z93" s="68">
        <f>+Z101/+Z98</f>
        <v>0</v>
      </c>
      <c r="AA93" s="68"/>
      <c r="AC93" s="11" t="s">
        <v>242</v>
      </c>
      <c r="AD93" s="11"/>
      <c r="AE93" s="68">
        <f>+AE101/+AE98</f>
        <v>121.7724588995311</v>
      </c>
      <c r="AF93" s="68">
        <f>+AF101/+AF98</f>
        <v>0</v>
      </c>
      <c r="AG93" s="68"/>
      <c r="AH93" s="68"/>
      <c r="AI93" s="68">
        <f>+AI101/+AI98</f>
        <v>23.521590195567594</v>
      </c>
      <c r="AJ93" s="68">
        <f>+AJ101/+AJ98</f>
        <v>0</v>
      </c>
      <c r="AK93" s="68"/>
      <c r="AL93" s="69"/>
      <c r="AM93" s="68">
        <f>+AM101/+AM98</f>
        <v>34.17631718918797</v>
      </c>
      <c r="AN93" s="68">
        <f>+AN101/+AN98</f>
        <v>0</v>
      </c>
      <c r="AO93" s="68"/>
    </row>
    <row r="94" spans="1:41" ht="12.75">
      <c r="A94" s="11" t="s">
        <v>244</v>
      </c>
      <c r="B94" s="11"/>
      <c r="C94" s="68">
        <f>+C102/+C98</f>
        <v>865.5174130545827</v>
      </c>
      <c r="D94" s="68">
        <f>+D102/+D98</f>
        <v>0</v>
      </c>
      <c r="E94" s="68"/>
      <c r="F94" s="152"/>
      <c r="G94" s="68">
        <f>+G102/+G98</f>
        <v>453.97851855863973</v>
      </c>
      <c r="H94" s="68">
        <f>+H102/+H98</f>
        <v>0</v>
      </c>
      <c r="I94" s="68"/>
      <c r="J94" s="156"/>
      <c r="K94" s="68">
        <f>+K102/+K98</f>
        <v>548.105055792374</v>
      </c>
      <c r="L94" s="68">
        <f>+L102/+L98</f>
        <v>0</v>
      </c>
      <c r="M94" s="68"/>
      <c r="O94" s="11" t="s">
        <v>244</v>
      </c>
      <c r="P94" s="11"/>
      <c r="Q94" s="68">
        <f>+Q102/+Q98</f>
        <v>991.2224585373374</v>
      </c>
      <c r="R94" s="68">
        <f>+R102/+R98</f>
        <v>0</v>
      </c>
      <c r="S94" s="68"/>
      <c r="T94" s="68"/>
      <c r="U94" s="68">
        <f>+U102/+U98</f>
        <v>481.99595655514827</v>
      </c>
      <c r="V94" s="68">
        <f>+V102/+V98</f>
        <v>0</v>
      </c>
      <c r="W94" s="68"/>
      <c r="X94" s="69"/>
      <c r="Y94" s="68">
        <f>+Y102/+Y98</f>
        <v>593.2997469911505</v>
      </c>
      <c r="Z94" s="68">
        <f>+Z102/+Z98</f>
        <v>0</v>
      </c>
      <c r="AA94" s="68"/>
      <c r="AC94" s="11" t="s">
        <v>244</v>
      </c>
      <c r="AD94" s="11"/>
      <c r="AE94" s="68">
        <f>+AE102/+AE98</f>
        <v>548.4079798739947</v>
      </c>
      <c r="AF94" s="68">
        <f>+AF102/+AF98</f>
        <v>0</v>
      </c>
      <c r="AG94" s="68"/>
      <c r="AH94" s="68"/>
      <c r="AI94" s="68">
        <f>+AI102/+AI98</f>
        <v>352.38796822267284</v>
      </c>
      <c r="AJ94" s="68">
        <f>+AJ102/+AJ98</f>
        <v>0</v>
      </c>
      <c r="AK94" s="68"/>
      <c r="AL94" s="69"/>
      <c r="AM94" s="68">
        <f>+AM102/+AM98</f>
        <v>405.41369261990536</v>
      </c>
      <c r="AN94" s="68">
        <f>+AN102/+AN98</f>
        <v>0</v>
      </c>
      <c r="AO94" s="68"/>
    </row>
    <row r="95" spans="1:41" ht="12.75">
      <c r="A95" s="11" t="s">
        <v>246</v>
      </c>
      <c r="B95" s="11"/>
      <c r="C95" s="68">
        <f>+C103/+C98</f>
        <v>9.95000079706029</v>
      </c>
      <c r="D95" s="68">
        <f>+D103/+D98</f>
        <v>0</v>
      </c>
      <c r="E95" s="68"/>
      <c r="F95" s="152"/>
      <c r="G95" s="68">
        <f>+G103/+G98</f>
        <v>2.32332346940728</v>
      </c>
      <c r="H95" s="68">
        <f>+H103/+H98</f>
        <v>0</v>
      </c>
      <c r="I95" s="68"/>
      <c r="J95" s="156"/>
      <c r="K95" s="68">
        <f>+K103/+K98</f>
        <v>3.5813240170066347</v>
      </c>
      <c r="L95" s="68">
        <f>+L103/+L98</f>
        <v>0</v>
      </c>
      <c r="M95" s="68"/>
      <c r="O95" s="11" t="s">
        <v>246</v>
      </c>
      <c r="P95" s="11"/>
      <c r="Q95" s="68">
        <f>+Q103/+Q98</f>
        <v>11.433984247584204</v>
      </c>
      <c r="R95" s="68">
        <f>+R103/+R98</f>
        <v>0</v>
      </c>
      <c r="S95" s="68"/>
      <c r="T95" s="68"/>
      <c r="U95" s="68">
        <f>+U103/+U98</f>
        <v>2.275994151633202</v>
      </c>
      <c r="V95" s="68">
        <f>+V103/+V98</f>
        <v>0</v>
      </c>
      <c r="W95" s="68"/>
      <c r="X95" s="69"/>
      <c r="Y95" s="68">
        <f>+Y103/+Y98</f>
        <v>3.6363600659320303</v>
      </c>
      <c r="Z95" s="68">
        <f>+Z103/+Z98</f>
        <v>0</v>
      </c>
      <c r="AA95" s="68"/>
      <c r="AC95" s="11" t="s">
        <v>246</v>
      </c>
      <c r="AD95" s="11"/>
      <c r="AE95" s="68">
        <f>+AE103/+AE98</f>
        <v>6.263007121262883</v>
      </c>
      <c r="AF95" s="68">
        <f>+AF103/+AF98</f>
        <v>0</v>
      </c>
      <c r="AG95" s="68"/>
      <c r="AH95" s="68"/>
      <c r="AI95" s="68">
        <f>+AI103/+AI98</f>
        <v>2.304997321731082</v>
      </c>
      <c r="AJ95" s="68">
        <f>+AJ103/+AJ98</f>
        <v>0</v>
      </c>
      <c r="AK95" s="68"/>
      <c r="AL95" s="69"/>
      <c r="AM95" s="68">
        <f>+AM103/+AM98</f>
        <v>3.2463040303722863</v>
      </c>
      <c r="AN95" s="68">
        <f>+AN103/+AN98</f>
        <v>0</v>
      </c>
      <c r="AO95" s="68"/>
    </row>
    <row r="96" spans="1:41" ht="12.75">
      <c r="A96" s="11" t="s">
        <v>248</v>
      </c>
      <c r="B96" s="11"/>
      <c r="C96" s="68">
        <f>+C104/+C98</f>
        <v>5463.450290011496</v>
      </c>
      <c r="D96" s="68">
        <f>+D104/+D98</f>
        <v>0</v>
      </c>
      <c r="E96" s="68">
        <f>+C96+D96</f>
        <v>5463.450290011496</v>
      </c>
      <c r="F96" s="152"/>
      <c r="G96" s="68">
        <f>+G104/+G98</f>
        <v>1917.7615687259863</v>
      </c>
      <c r="H96" s="68">
        <f>+H104/+H98</f>
        <v>4334.348938673847</v>
      </c>
      <c r="I96" s="68">
        <f>+G96+H96</f>
        <v>6252.110507399833</v>
      </c>
      <c r="J96" s="156"/>
      <c r="K96" s="68">
        <f>+K104/+K98</f>
        <v>2355.181627889793</v>
      </c>
      <c r="L96" s="68">
        <f>+L104/+L98</f>
        <v>4477.234373372831</v>
      </c>
      <c r="M96" s="68">
        <f>+K96+L96</f>
        <v>6832.416001262624</v>
      </c>
      <c r="O96" s="11" t="s">
        <v>248</v>
      </c>
      <c r="P96" s="11"/>
      <c r="Q96" s="68">
        <f>+Q104/+Q98</f>
        <v>5954.399047271395</v>
      </c>
      <c r="R96" s="68">
        <f>+R104/+R98</f>
        <v>0</v>
      </c>
      <c r="S96" s="68">
        <f>+Q96+R96</f>
        <v>5954.399047271395</v>
      </c>
      <c r="T96" s="68"/>
      <c r="U96" s="68">
        <f>+U104/+U98</f>
        <v>1916.5677094640223</v>
      </c>
      <c r="V96" s="68">
        <f>+V104/+V98</f>
        <v>4882.404785527913</v>
      </c>
      <c r="W96" s="68">
        <f>+U96+V96</f>
        <v>6798.9724949919355</v>
      </c>
      <c r="X96" s="69"/>
      <c r="Y96" s="68">
        <f>+Y104/+Y98</f>
        <v>2408.006953724954</v>
      </c>
      <c r="Z96" s="68">
        <f>+Z104/+Z98</f>
        <v>5045.130224571745</v>
      </c>
      <c r="AA96" s="68">
        <f>+Y96+Z96</f>
        <v>7453.1371782967</v>
      </c>
      <c r="AC96" s="11" t="s">
        <v>248</v>
      </c>
      <c r="AD96" s="11"/>
      <c r="AE96" s="68">
        <f>+AE104/+AE98</f>
        <v>3862.87008491325</v>
      </c>
      <c r="AF96" s="68">
        <f>+AF104/+AF98</f>
        <v>0</v>
      </c>
      <c r="AG96" s="68">
        <f>+AE96+AF96</f>
        <v>3862.87008491325</v>
      </c>
      <c r="AH96" s="68"/>
      <c r="AI96" s="68">
        <f>+AI104/+AI98</f>
        <v>1681.0443008289658</v>
      </c>
      <c r="AJ96" s="68">
        <f>+AJ104/+AJ98</f>
        <v>2734.8002806711106</v>
      </c>
      <c r="AK96" s="68">
        <f>+AI96+AJ96</f>
        <v>4415.844581500076</v>
      </c>
      <c r="AL96" s="69"/>
      <c r="AM96" s="68">
        <f>+AM104/+AM98</f>
        <v>1955.128979617444</v>
      </c>
      <c r="AN96" s="68">
        <f>+AN104/+AN98</f>
        <v>2821.689309383565</v>
      </c>
      <c r="AO96" s="68">
        <f>+AM96+AN96</f>
        <v>4776.818289001009</v>
      </c>
    </row>
    <row r="97" spans="1:41" ht="12.75">
      <c r="A97" s="18"/>
      <c r="B97" s="18"/>
      <c r="C97" s="18"/>
      <c r="D97" s="18"/>
      <c r="E97" s="18"/>
      <c r="F97" s="143"/>
      <c r="G97" s="18"/>
      <c r="H97" s="18"/>
      <c r="I97" s="18"/>
      <c r="J97" s="144"/>
      <c r="K97" s="49"/>
      <c r="L97" s="49"/>
      <c r="M97" s="49"/>
      <c r="O97" s="18"/>
      <c r="P97" s="18"/>
      <c r="Q97" s="18"/>
      <c r="R97" s="18"/>
      <c r="S97" s="18"/>
      <c r="T97" s="18"/>
      <c r="U97" s="18"/>
      <c r="V97" s="18"/>
      <c r="W97" s="18"/>
      <c r="X97" s="49"/>
      <c r="Y97" s="18"/>
      <c r="Z97" s="18"/>
      <c r="AA97" s="49"/>
      <c r="AC97" s="18"/>
      <c r="AD97" s="18"/>
      <c r="AE97" s="18"/>
      <c r="AF97" s="18"/>
      <c r="AG97" s="18"/>
      <c r="AH97" s="18"/>
      <c r="AI97" s="18"/>
      <c r="AJ97" s="18"/>
      <c r="AK97" s="18"/>
      <c r="AL97" s="49"/>
      <c r="AM97" s="49"/>
      <c r="AN97" s="49"/>
      <c r="AO97" s="49"/>
    </row>
    <row r="98" spans="1:41" ht="12.75">
      <c r="A98" s="26" t="s">
        <v>520</v>
      </c>
      <c r="B98" s="64"/>
      <c r="C98" s="113">
        <f>+'Sensitivity Anal'!B5</f>
        <v>9</v>
      </c>
      <c r="D98" s="114">
        <f>+C98</f>
        <v>9</v>
      </c>
      <c r="E98" s="11"/>
      <c r="F98" s="153"/>
      <c r="G98" s="114">
        <f>+C98</f>
        <v>9</v>
      </c>
      <c r="H98" s="114">
        <f>+C98</f>
        <v>9</v>
      </c>
      <c r="I98" s="11"/>
      <c r="J98" s="144"/>
      <c r="K98" s="115">
        <f>+C98</f>
        <v>9</v>
      </c>
      <c r="L98" s="115">
        <f>+C98</f>
        <v>9</v>
      </c>
      <c r="M98" s="49"/>
      <c r="O98" s="26" t="s">
        <v>520</v>
      </c>
      <c r="P98" s="64"/>
      <c r="Q98" s="113">
        <f>+C98</f>
        <v>9</v>
      </c>
      <c r="R98" s="114">
        <f>+Q98</f>
        <v>9</v>
      </c>
      <c r="S98" s="11"/>
      <c r="T98" s="11"/>
      <c r="U98" s="114">
        <f>+Q98</f>
        <v>9</v>
      </c>
      <c r="V98" s="114">
        <f>+Q98</f>
        <v>9</v>
      </c>
      <c r="W98" s="11"/>
      <c r="X98" s="49"/>
      <c r="Y98" s="114">
        <f>+U98</f>
        <v>9</v>
      </c>
      <c r="Z98" s="114">
        <f>+U98</f>
        <v>9</v>
      </c>
      <c r="AA98" s="49"/>
      <c r="AC98" s="26" t="s">
        <v>520</v>
      </c>
      <c r="AD98" s="64"/>
      <c r="AE98" s="113">
        <f>+'Tables 2-7'!C98</f>
        <v>9</v>
      </c>
      <c r="AF98" s="114">
        <f>+AE98</f>
        <v>9</v>
      </c>
      <c r="AG98" s="11"/>
      <c r="AH98" s="11"/>
      <c r="AI98" s="114">
        <f>+AE98</f>
        <v>9</v>
      </c>
      <c r="AJ98" s="114">
        <f>+AE98</f>
        <v>9</v>
      </c>
      <c r="AK98" s="11"/>
      <c r="AL98" s="49"/>
      <c r="AM98" s="115">
        <f>+AE98</f>
        <v>9</v>
      </c>
      <c r="AN98" s="115">
        <f>+AE98</f>
        <v>9</v>
      </c>
      <c r="AO98" s="49"/>
    </row>
    <row r="99" spans="1:41" ht="12.75">
      <c r="A99" s="11" t="s">
        <v>238</v>
      </c>
      <c r="B99" s="11"/>
      <c r="C99" s="37">
        <f>+'alt 1'!C262</f>
        <v>39067.94961772678</v>
      </c>
      <c r="D99" s="37">
        <f>+'alt 1'!D262</f>
        <v>0</v>
      </c>
      <c r="E99" s="37"/>
      <c r="F99" s="154"/>
      <c r="G99" s="37">
        <f>+'alt 2'!C262</f>
        <v>12822.518282482424</v>
      </c>
      <c r="H99" s="37">
        <f>+'alt 2'!D262</f>
        <v>39009.14044806463</v>
      </c>
      <c r="I99" s="37"/>
      <c r="J99" s="144"/>
      <c r="K99" s="37">
        <f>+'alt 3'!C262</f>
        <v>15700.972082544375</v>
      </c>
      <c r="L99" s="37">
        <f>+'alt 3'!D262</f>
        <v>40295.109360355484</v>
      </c>
      <c r="M99" s="37"/>
      <c r="O99" s="11" t="s">
        <v>238</v>
      </c>
      <c r="P99" s="11"/>
      <c r="Q99" s="37">
        <f>+'alt 1'!Q262</f>
        <v>42221.00524944901</v>
      </c>
      <c r="R99" s="37">
        <f>+'alt 1'!R262</f>
        <v>0</v>
      </c>
      <c r="S99" s="37"/>
      <c r="T99" s="37"/>
      <c r="U99" s="37">
        <f>+'alt 2'!Q262</f>
        <v>12603.209952366618</v>
      </c>
      <c r="V99" s="37">
        <f>+'alt 2'!R262</f>
        <v>43941.64306975122</v>
      </c>
      <c r="W99" s="37"/>
      <c r="X99" s="49"/>
      <c r="Y99" s="37">
        <f>+'alt 3'!Q262</f>
        <v>15818.391539582333</v>
      </c>
      <c r="Z99" s="37">
        <f>+'alt 3'!R262</f>
        <v>45406.17202114571</v>
      </c>
      <c r="AA99" s="49"/>
      <c r="AC99" s="11" t="s">
        <v>238</v>
      </c>
      <c r="AD99" s="11"/>
      <c r="AE99" s="37">
        <f>+'alt 1'!AE262</f>
        <v>28187.819704518613</v>
      </c>
      <c r="AF99" s="37">
        <f>+'alt 1'!AF262</f>
        <v>0</v>
      </c>
      <c r="AG99" s="37"/>
      <c r="AH99" s="37"/>
      <c r="AI99" s="37">
        <f>+'alt 2'!AE262</f>
        <v>11531.174912690412</v>
      </c>
      <c r="AJ99" s="37">
        <f>+'alt 2'!AF262</f>
        <v>24613.202526039997</v>
      </c>
      <c r="AK99" s="37"/>
      <c r="AL99" s="49"/>
      <c r="AM99" s="49">
        <f>+'alt 3'!AE262</f>
        <v>13331.477593683152</v>
      </c>
      <c r="AN99" s="49">
        <f>+'alt 3'!AF262</f>
        <v>25395.203784452086</v>
      </c>
      <c r="AO99" s="49"/>
    </row>
    <row r="100" spans="1:41" ht="12.75">
      <c r="A100" s="11" t="s">
        <v>240</v>
      </c>
      <c r="B100" s="11"/>
      <c r="C100" s="37">
        <f>+'alt 1'!C263</f>
        <v>679.1613785591325</v>
      </c>
      <c r="D100" s="37">
        <f>+'alt 1'!D263</f>
        <v>0</v>
      </c>
      <c r="E100" s="37"/>
      <c r="F100" s="154"/>
      <c r="G100" s="37">
        <f>+'alt 2'!C263</f>
        <v>164.01427825542456</v>
      </c>
      <c r="H100" s="37">
        <f>+'alt 2'!D263</f>
        <v>0</v>
      </c>
      <c r="I100" s="37"/>
      <c r="J100" s="144"/>
      <c r="K100" s="37">
        <f>+'alt 3'!C263</f>
        <v>260.7224291655033</v>
      </c>
      <c r="L100" s="37">
        <f>+'alt 3'!D263</f>
        <v>0</v>
      </c>
      <c r="M100" s="37"/>
      <c r="O100" s="11" t="s">
        <v>240</v>
      </c>
      <c r="P100" s="11"/>
      <c r="Q100" s="37">
        <f>+'alt 1'!Q263</f>
        <v>733.9744319262686</v>
      </c>
      <c r="R100" s="37">
        <f>+'alt 1'!R263</f>
        <v>0</v>
      </c>
      <c r="S100" s="37"/>
      <c r="T100" s="37"/>
      <c r="U100" s="37">
        <f>+'alt 2'!Q263</f>
        <v>147.02326796585524</v>
      </c>
      <c r="V100" s="37">
        <f>+'alt 2'!R263</f>
        <v>0</v>
      </c>
      <c r="W100" s="37"/>
      <c r="X100" s="49"/>
      <c r="Y100" s="37">
        <f>+'alt 3'!Q263</f>
        <v>243.68486245714854</v>
      </c>
      <c r="Z100" s="37">
        <f>+'alt 3'!R263</f>
        <v>0</v>
      </c>
      <c r="AA100" s="49"/>
      <c r="AC100" s="11" t="s">
        <v>240</v>
      </c>
      <c r="AD100" s="11"/>
      <c r="AE100" s="37">
        <f>+'alt 1'!AE263</f>
        <v>490.0200466475468</v>
      </c>
      <c r="AF100" s="37">
        <f>+'alt 1'!AF263</f>
        <v>0</v>
      </c>
      <c r="AG100" s="37"/>
      <c r="AH100" s="37"/>
      <c r="AI100" s="37">
        <f>+'alt 2'!AE263</f>
        <v>194.29279311053702</v>
      </c>
      <c r="AJ100" s="37">
        <f>+'alt 2'!AF263</f>
        <v>0</v>
      </c>
      <c r="AK100" s="37"/>
      <c r="AL100" s="49"/>
      <c r="AM100" s="49">
        <f>+'alt 3'!AE263</f>
        <v>279.1563983186578</v>
      </c>
      <c r="AN100" s="49">
        <f>+'alt 3'!AF263</f>
        <v>0</v>
      </c>
      <c r="AO100" s="49"/>
    </row>
    <row r="101" spans="1:41" ht="12.75">
      <c r="A101" s="11" t="s">
        <v>242</v>
      </c>
      <c r="B101" s="11"/>
      <c r="C101" s="37">
        <f>+'alt 1'!C264</f>
        <v>1544.7348891527656</v>
      </c>
      <c r="D101" s="37">
        <f>+'alt 1'!D264</f>
        <v>0</v>
      </c>
      <c r="E101" s="37"/>
      <c r="F101" s="154"/>
      <c r="G101" s="37">
        <f>+'alt 2'!C264</f>
        <v>166.60497954360474</v>
      </c>
      <c r="H101" s="37">
        <f>+'alt 2'!D264</f>
        <v>0</v>
      </c>
      <c r="I101" s="37"/>
      <c r="J101" s="144"/>
      <c r="K101" s="37">
        <f>+'alt 3'!C264</f>
        <v>269.76272101383455</v>
      </c>
      <c r="L101" s="37">
        <f>+'alt 3'!D264</f>
        <v>0</v>
      </c>
      <c r="M101" s="37"/>
      <c r="O101" s="11" t="s">
        <v>242</v>
      </c>
      <c r="P101" s="11"/>
      <c r="Q101" s="37">
        <f>+'alt 1'!Q264</f>
        <v>1610.703759002983</v>
      </c>
      <c r="R101" s="37">
        <f>+'alt 1'!R264</f>
        <v>0</v>
      </c>
      <c r="S101" s="37"/>
      <c r="T101" s="37"/>
      <c r="U101" s="37">
        <f>+'alt 2'!Q264</f>
        <v>140.42860848269552</v>
      </c>
      <c r="V101" s="37">
        <f>+'alt 2'!R264</f>
        <v>0</v>
      </c>
      <c r="W101" s="37"/>
      <c r="X101" s="49"/>
      <c r="Y101" s="37">
        <f>+'alt 3'!Q264</f>
        <v>237.56121797136421</v>
      </c>
      <c r="Z101" s="37">
        <f>+'alt 3'!R264</f>
        <v>0</v>
      </c>
      <c r="AA101" s="49"/>
      <c r="AC101" s="11" t="s">
        <v>242</v>
      </c>
      <c r="AD101" s="11"/>
      <c r="AE101" s="37">
        <f>+'alt 1'!AE264</f>
        <v>1095.95213009578</v>
      </c>
      <c r="AF101" s="37">
        <f>+'alt 1'!AF264</f>
        <v>0</v>
      </c>
      <c r="AG101" s="37"/>
      <c r="AH101" s="37"/>
      <c r="AI101" s="37">
        <f>+'alt 2'!AE264</f>
        <v>211.69431176010835</v>
      </c>
      <c r="AJ101" s="37">
        <f>+'alt 2'!AF264</f>
        <v>0</v>
      </c>
      <c r="AK101" s="37"/>
      <c r="AL101" s="49"/>
      <c r="AM101" s="49">
        <f>+'alt 3'!AE264</f>
        <v>307.5868547026917</v>
      </c>
      <c r="AN101" s="49">
        <f>+'alt 3'!AF264</f>
        <v>0</v>
      </c>
      <c r="AO101" s="49"/>
    </row>
    <row r="102" spans="1:41" ht="12.75">
      <c r="A102" s="11" t="s">
        <v>244</v>
      </c>
      <c r="B102" s="11"/>
      <c r="C102" s="37">
        <f>+'alt 1'!C265</f>
        <v>7789.656717491244</v>
      </c>
      <c r="D102" s="37">
        <f>+'alt 1'!D265</f>
        <v>0</v>
      </c>
      <c r="E102" s="37"/>
      <c r="F102" s="154"/>
      <c r="G102" s="37">
        <f>+'alt 2'!C265</f>
        <v>4085.8066670277576</v>
      </c>
      <c r="H102" s="37">
        <f>+'alt 2'!D265</f>
        <v>0</v>
      </c>
      <c r="I102" s="37"/>
      <c r="J102" s="144"/>
      <c r="K102" s="37">
        <f>+'alt 3'!C265</f>
        <v>4932.945502131365</v>
      </c>
      <c r="L102" s="37">
        <f>+'alt 3'!D265</f>
        <v>0</v>
      </c>
      <c r="M102" s="37"/>
      <c r="O102" s="11" t="s">
        <v>244</v>
      </c>
      <c r="P102" s="11"/>
      <c r="Q102" s="37">
        <f>+'alt 1'!Q265</f>
        <v>8921.002126836036</v>
      </c>
      <c r="R102" s="37">
        <f>+'alt 1'!R265</f>
        <v>0</v>
      </c>
      <c r="S102" s="37"/>
      <c r="T102" s="37"/>
      <c r="U102" s="37">
        <f>+'alt 2'!Q265</f>
        <v>4337.963608996334</v>
      </c>
      <c r="V102" s="37">
        <f>+'alt 2'!R265</f>
        <v>0</v>
      </c>
      <c r="W102" s="37"/>
      <c r="X102" s="49"/>
      <c r="Y102" s="37">
        <f>+'alt 3'!Q265</f>
        <v>5339.697722920355</v>
      </c>
      <c r="Z102" s="37">
        <f>+'alt 3'!R265</f>
        <v>0</v>
      </c>
      <c r="AA102" s="49"/>
      <c r="AC102" s="11" t="s">
        <v>244</v>
      </c>
      <c r="AD102" s="11"/>
      <c r="AE102" s="37">
        <f>+'alt 1'!AE265</f>
        <v>4935.671818865952</v>
      </c>
      <c r="AF102" s="37">
        <f>+'alt 1'!AF265</f>
        <v>0</v>
      </c>
      <c r="AG102" s="37"/>
      <c r="AH102" s="37"/>
      <c r="AI102" s="37">
        <f>+'alt 2'!AE265</f>
        <v>3171.4917140040557</v>
      </c>
      <c r="AJ102" s="37">
        <f>+'alt 2'!AF265</f>
        <v>0</v>
      </c>
      <c r="AK102" s="37"/>
      <c r="AL102" s="49"/>
      <c r="AM102" s="49">
        <f>+'alt 3'!AE265</f>
        <v>3648.723233579148</v>
      </c>
      <c r="AN102" s="49">
        <f>+'alt 3'!AF265</f>
        <v>0</v>
      </c>
      <c r="AO102" s="49"/>
    </row>
    <row r="103" spans="1:41" ht="12.75">
      <c r="A103" s="11" t="s">
        <v>246</v>
      </c>
      <c r="B103" s="11"/>
      <c r="C103" s="37">
        <f>+'alt 1'!C266</f>
        <v>89.55000717354261</v>
      </c>
      <c r="D103" s="37">
        <f>+'alt 1'!D266</f>
        <v>0</v>
      </c>
      <c r="E103" s="37"/>
      <c r="F103" s="154"/>
      <c r="G103" s="37">
        <f>+'alt 2'!C266</f>
        <v>20.90991122466552</v>
      </c>
      <c r="H103" s="37">
        <f>+'alt 2'!D266</f>
        <v>0</v>
      </c>
      <c r="I103" s="37"/>
      <c r="J103" s="144"/>
      <c r="K103" s="37">
        <f>+'alt 3'!C266</f>
        <v>32.231916153059714</v>
      </c>
      <c r="L103" s="37">
        <f>+'alt 3'!D266</f>
        <v>0</v>
      </c>
      <c r="M103" s="37"/>
      <c r="O103" s="11" t="s">
        <v>246</v>
      </c>
      <c r="P103" s="11"/>
      <c r="Q103" s="37">
        <f>+'alt 1'!Q266</f>
        <v>102.90585822825784</v>
      </c>
      <c r="R103" s="37">
        <f>+'alt 1'!R266</f>
        <v>0</v>
      </c>
      <c r="S103" s="37"/>
      <c r="T103" s="37"/>
      <c r="U103" s="37">
        <f>+'alt 2'!Q266</f>
        <v>20.483947364698817</v>
      </c>
      <c r="V103" s="37">
        <f>+'alt 2'!R266</f>
        <v>0</v>
      </c>
      <c r="W103" s="37"/>
      <c r="X103" s="49"/>
      <c r="Y103" s="37">
        <f>+'alt 3'!Q266</f>
        <v>32.727240593388274</v>
      </c>
      <c r="Z103" s="37">
        <f>+'alt 3'!R266</f>
        <v>0</v>
      </c>
      <c r="AA103" s="49"/>
      <c r="AC103" s="11" t="s">
        <v>246</v>
      </c>
      <c r="AD103" s="11"/>
      <c r="AE103" s="37">
        <f>+'alt 1'!AE266</f>
        <v>56.36706409136595</v>
      </c>
      <c r="AF103" s="37">
        <f>+'alt 1'!AF266</f>
        <v>0</v>
      </c>
      <c r="AG103" s="37"/>
      <c r="AH103" s="37"/>
      <c r="AI103" s="37">
        <f>+'alt 2'!AE266</f>
        <v>20.74497589557974</v>
      </c>
      <c r="AJ103" s="37">
        <f>+'alt 2'!AF266</f>
        <v>0</v>
      </c>
      <c r="AK103" s="37"/>
      <c r="AL103" s="49"/>
      <c r="AM103" s="49">
        <f>+'alt 3'!AE266</f>
        <v>29.216736273350577</v>
      </c>
      <c r="AN103" s="49">
        <f>+'alt 3'!AF266</f>
        <v>0</v>
      </c>
      <c r="AO103" s="49"/>
    </row>
    <row r="104" spans="1:41" ht="12.75">
      <c r="A104" s="11" t="s">
        <v>248</v>
      </c>
      <c r="B104" s="11"/>
      <c r="C104" s="37">
        <f>+'alt 1'!C267</f>
        <v>49171.05261010346</v>
      </c>
      <c r="D104" s="37">
        <f>+'alt 1'!D267</f>
        <v>0</v>
      </c>
      <c r="E104" s="37">
        <f>+'alt 1'!E267</f>
        <v>49171.05261010346</v>
      </c>
      <c r="F104" s="154"/>
      <c r="G104" s="37">
        <f>+'alt 2'!C267</f>
        <v>17259.854118533876</v>
      </c>
      <c r="H104" s="37">
        <f>+'alt 2'!D267</f>
        <v>39009.14044806463</v>
      </c>
      <c r="I104" s="37">
        <f>+'alt 2'!E267</f>
        <v>56268.99456659851</v>
      </c>
      <c r="J104" s="144"/>
      <c r="K104" s="37">
        <f>+'alt 3'!C267</f>
        <v>21196.63465100814</v>
      </c>
      <c r="L104" s="37">
        <f>+'alt 3'!D267</f>
        <v>40295.109360355484</v>
      </c>
      <c r="M104" s="37">
        <f>+'alt 3'!E267</f>
        <v>61491.744011363626</v>
      </c>
      <c r="O104" s="11" t="s">
        <v>248</v>
      </c>
      <c r="P104" s="11"/>
      <c r="Q104" s="37">
        <f>+'alt 1'!Q267</f>
        <v>53589.59142544255</v>
      </c>
      <c r="R104" s="37">
        <f>+'alt 1'!R267</f>
        <v>0</v>
      </c>
      <c r="S104" s="37">
        <f>+'alt 1'!S267</f>
        <v>53589.59142544255</v>
      </c>
      <c r="T104" s="37"/>
      <c r="U104" s="37">
        <f>+'alt 2'!Q267</f>
        <v>17249.1093851762</v>
      </c>
      <c r="V104" s="37">
        <f>+'alt 2'!R267</f>
        <v>43941.64306975122</v>
      </c>
      <c r="W104" s="37">
        <f>+'alt 2'!S267</f>
        <v>61190.752454927424</v>
      </c>
      <c r="X104" s="49"/>
      <c r="Y104" s="37">
        <f>+'alt 3'!Q267</f>
        <v>21672.06258352459</v>
      </c>
      <c r="Z104" s="37">
        <f>+'alt 3'!R267</f>
        <v>45406.17202114571</v>
      </c>
      <c r="AA104" s="49">
        <f>+'alt 3'!S267</f>
        <v>67078.23460467029</v>
      </c>
      <c r="AC104" s="11" t="s">
        <v>248</v>
      </c>
      <c r="AD104" s="11"/>
      <c r="AE104" s="37">
        <f>+'alt 1'!AE267</f>
        <v>34765.83076421925</v>
      </c>
      <c r="AF104" s="37">
        <f>+'alt 1'!AF267</f>
        <v>0</v>
      </c>
      <c r="AG104" s="37">
        <f>+'alt 1'!AG267</f>
        <v>34765.83076421925</v>
      </c>
      <c r="AH104" s="37"/>
      <c r="AI104" s="37">
        <f>+'alt 2'!AE267</f>
        <v>15129.398707460692</v>
      </c>
      <c r="AJ104" s="37">
        <f>+'alt 2'!AF267</f>
        <v>24613.202526039997</v>
      </c>
      <c r="AK104" s="37">
        <f>+'alt 2'!AG267</f>
        <v>39742.60123350069</v>
      </c>
      <c r="AL104" s="49"/>
      <c r="AM104" s="49">
        <f>+'alt 3'!AE267</f>
        <v>17596.160816556996</v>
      </c>
      <c r="AN104" s="49">
        <f>+'alt 3'!AF267</f>
        <v>25395.203784452086</v>
      </c>
      <c r="AO104" s="49">
        <f>+'alt 3'!AG267</f>
        <v>42991.36460100908</v>
      </c>
    </row>
    <row r="105" spans="1:41" ht="12.75">
      <c r="A105" s="18"/>
      <c r="B105" s="18"/>
      <c r="C105" s="49"/>
      <c r="D105" s="49"/>
      <c r="E105" s="49"/>
      <c r="F105" s="144"/>
      <c r="G105" s="49"/>
      <c r="H105" s="49"/>
      <c r="I105" s="49"/>
      <c r="J105" s="144"/>
      <c r="K105" s="49"/>
      <c r="L105" s="49"/>
      <c r="M105" s="49"/>
      <c r="O105" s="18"/>
      <c r="P105" s="18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C105" s="18"/>
      <c r="AD105" s="18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1:41" ht="12.75">
      <c r="A106" s="53" t="s">
        <v>478</v>
      </c>
      <c r="B106" s="18"/>
      <c r="C106" s="49"/>
      <c r="D106" s="49"/>
      <c r="E106" s="49"/>
      <c r="F106" s="144"/>
      <c r="G106" s="49"/>
      <c r="H106" s="49"/>
      <c r="I106" s="49"/>
      <c r="J106" s="144"/>
      <c r="K106" s="49"/>
      <c r="L106" s="49"/>
      <c r="M106" s="49"/>
      <c r="O106" s="53" t="s">
        <v>478</v>
      </c>
      <c r="P106" s="18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C106" s="53" t="s">
        <v>478</v>
      </c>
      <c r="AD106" s="18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</row>
    <row r="107" spans="1:41" ht="12.75">
      <c r="A107" s="11" t="s">
        <v>335</v>
      </c>
      <c r="B107" s="11"/>
      <c r="C107" s="52">
        <f>+'alt 1'!C271</f>
        <v>1.9810968726127407</v>
      </c>
      <c r="D107" s="33">
        <f>+'alt 1'!D271</f>
        <v>1</v>
      </c>
      <c r="E107" s="49"/>
      <c r="F107" s="144"/>
      <c r="G107" s="52">
        <f>+'alt 2'!C271</f>
        <v>2.2611180015130397</v>
      </c>
      <c r="H107" s="33">
        <f>+'alt 2'!D271</f>
        <v>1</v>
      </c>
      <c r="I107" s="49"/>
      <c r="J107" s="144"/>
      <c r="K107" s="52">
        <f>+'alt 3'!C271</f>
        <v>2.179574650556746</v>
      </c>
      <c r="L107" s="33">
        <f>+'alt 3'!D271</f>
        <v>1</v>
      </c>
      <c r="M107" s="49"/>
      <c r="O107" s="11" t="s">
        <v>335</v>
      </c>
      <c r="P107" s="11"/>
      <c r="Q107" s="52">
        <f>+'alt 1'!Q271</f>
        <v>2.1165466966785096</v>
      </c>
      <c r="R107" s="33">
        <f>+'alt 1'!R271</f>
        <v>1</v>
      </c>
      <c r="S107" s="49"/>
      <c r="T107" s="49"/>
      <c r="U107" s="52">
        <f>+'alt 2'!Q271</f>
        <v>2.4430620934031775</v>
      </c>
      <c r="V107" s="33">
        <f>+'alt 2'!R271</f>
        <v>1</v>
      </c>
      <c r="W107" s="49"/>
      <c r="X107" s="49"/>
      <c r="Y107" s="52">
        <f>+'alt 3'!Q271</f>
        <v>2.356602168621446</v>
      </c>
      <c r="Z107" s="33">
        <f>+'alt 3'!R271</f>
        <v>1</v>
      </c>
      <c r="AA107" s="49"/>
      <c r="AC107" s="11" t="s">
        <v>335</v>
      </c>
      <c r="AD107" s="11"/>
      <c r="AE107" s="52">
        <f>+'alt 1'!AE271</f>
        <v>1.5870665521489977</v>
      </c>
      <c r="AF107" s="33">
        <f>+'alt 1'!AF271</f>
        <v>1</v>
      </c>
      <c r="AG107" s="49"/>
      <c r="AH107" s="49"/>
      <c r="AI107" s="52">
        <f>+'alt 2'!AE271</f>
        <v>1.7389914885850806</v>
      </c>
      <c r="AJ107" s="33">
        <f>+'alt 2'!AF271</f>
        <v>1</v>
      </c>
      <c r="AK107" s="49"/>
      <c r="AL107" s="49"/>
      <c r="AM107" s="52">
        <f>+'alt 3'!AE271</f>
        <v>1.679548941806295</v>
      </c>
      <c r="AN107" s="33">
        <f>+'alt 3'!AF271</f>
        <v>1</v>
      </c>
      <c r="AO107" s="49"/>
    </row>
    <row r="108" spans="1:41" ht="12.75">
      <c r="A108" s="11" t="s">
        <v>385</v>
      </c>
      <c r="B108" s="11"/>
      <c r="C108" s="49"/>
      <c r="D108" s="33">
        <f>+'alt 1'!D272</f>
        <v>0.9810968726127407</v>
      </c>
      <c r="E108" s="49"/>
      <c r="F108" s="144"/>
      <c r="G108" s="49"/>
      <c r="H108" s="33">
        <f>+'alt 2'!D272</f>
        <v>1.2611180015130397</v>
      </c>
      <c r="I108" s="49"/>
      <c r="J108" s="144"/>
      <c r="K108" s="49"/>
      <c r="L108" s="33">
        <f>+'alt 3'!D272</f>
        <v>1.179574650556746</v>
      </c>
      <c r="M108" s="49"/>
      <c r="O108" s="11" t="s">
        <v>385</v>
      </c>
      <c r="P108" s="11"/>
      <c r="Q108" s="49"/>
      <c r="R108" s="33">
        <f>+'alt 1'!R272</f>
        <v>1.1165466966785096</v>
      </c>
      <c r="S108" s="49"/>
      <c r="T108" s="49"/>
      <c r="U108" s="49"/>
      <c r="V108" s="33">
        <f>+'alt 2'!R272</f>
        <v>1.4430620934031775</v>
      </c>
      <c r="W108" s="49"/>
      <c r="X108" s="49"/>
      <c r="Y108" s="49"/>
      <c r="Z108" s="33">
        <f>+'alt 3'!R272</f>
        <v>1.3566021686214458</v>
      </c>
      <c r="AA108" s="49"/>
      <c r="AC108" s="11" t="s">
        <v>385</v>
      </c>
      <c r="AD108" s="11"/>
      <c r="AE108" s="49"/>
      <c r="AF108" s="33">
        <f>+'alt 1'!AF272</f>
        <v>0.5870665521489977</v>
      </c>
      <c r="AG108" s="49"/>
      <c r="AH108" s="49"/>
      <c r="AI108" s="49"/>
      <c r="AJ108" s="33">
        <f>+'alt 2'!AF272</f>
        <v>0.7389914885850806</v>
      </c>
      <c r="AK108" s="49"/>
      <c r="AL108" s="49"/>
      <c r="AM108" s="49"/>
      <c r="AN108" s="33">
        <f>+'alt 3'!AF272</f>
        <v>0.679548941806295</v>
      </c>
      <c r="AO108" s="49"/>
    </row>
    <row r="109" spans="1:41" ht="12.75">
      <c r="A109" s="11" t="s">
        <v>461</v>
      </c>
      <c r="B109" s="11"/>
      <c r="C109" s="49"/>
      <c r="D109" s="79">
        <f>+'alt 1'!D273</f>
        <v>0</v>
      </c>
      <c r="E109" s="89"/>
      <c r="F109" s="155"/>
      <c r="G109" s="89"/>
      <c r="H109" s="79">
        <f>+'alt 2'!D273</f>
        <v>13</v>
      </c>
      <c r="I109" s="89"/>
      <c r="J109" s="155"/>
      <c r="K109" s="89"/>
      <c r="L109" s="79">
        <f>+'alt 3'!D273</f>
        <v>13</v>
      </c>
      <c r="M109" s="49"/>
      <c r="O109" s="11" t="s">
        <v>461</v>
      </c>
      <c r="P109" s="11"/>
      <c r="Q109" s="49"/>
      <c r="R109" s="38">
        <f>+'alt 1'!R273</f>
        <v>0</v>
      </c>
      <c r="S109" s="49"/>
      <c r="T109" s="49"/>
      <c r="U109" s="49"/>
      <c r="V109" s="38">
        <f>+'alt 2'!R273</f>
        <v>13</v>
      </c>
      <c r="W109" s="49"/>
      <c r="X109" s="49"/>
      <c r="Y109" s="49"/>
      <c r="Z109" s="38">
        <f>+'alt 3'!R273</f>
        <v>13</v>
      </c>
      <c r="AA109" s="49"/>
      <c r="AC109" s="11" t="s">
        <v>461</v>
      </c>
      <c r="AD109" s="11"/>
      <c r="AE109" s="49"/>
      <c r="AF109" s="38">
        <f>+'alt 1'!AF273</f>
        <v>0</v>
      </c>
      <c r="AG109" s="49"/>
      <c r="AH109" s="49"/>
      <c r="AI109" s="49"/>
      <c r="AJ109" s="38">
        <f>+'alt 2'!AF273</f>
        <v>13</v>
      </c>
      <c r="AK109" s="49"/>
      <c r="AL109" s="49"/>
      <c r="AM109" s="49"/>
      <c r="AN109" s="38">
        <f>+'alt 3'!AF273</f>
        <v>13</v>
      </c>
      <c r="AO109" s="49"/>
    </row>
    <row r="110" spans="1:41" ht="12.75">
      <c r="A110" s="11" t="s">
        <v>336</v>
      </c>
      <c r="B110" s="11"/>
      <c r="C110" s="49"/>
      <c r="D110" s="38">
        <f>+'alt 1'!D274</f>
        <v>0</v>
      </c>
      <c r="E110" s="49"/>
      <c r="F110" s="144"/>
      <c r="G110" s="49"/>
      <c r="H110" s="38">
        <f>+'alt 2'!D274</f>
        <v>0.2732422336611586</v>
      </c>
      <c r="I110" s="49"/>
      <c r="J110" s="144"/>
      <c r="K110" s="49"/>
      <c r="L110" s="38">
        <f>+'alt 3'!D274</f>
        <v>0.2555745076206283</v>
      </c>
      <c r="M110" s="49"/>
      <c r="O110" s="11" t="s">
        <v>336</v>
      </c>
      <c r="P110" s="11"/>
      <c r="Q110" s="49"/>
      <c r="R110" s="38">
        <f>+'alt 1'!R274</f>
        <v>0</v>
      </c>
      <c r="S110" s="49"/>
      <c r="T110" s="49"/>
      <c r="U110" s="49"/>
      <c r="V110" s="38">
        <f>+'alt 2'!R274</f>
        <v>0.3126634535706884</v>
      </c>
      <c r="W110" s="49"/>
      <c r="X110" s="49"/>
      <c r="Y110" s="49"/>
      <c r="Z110" s="38">
        <f>+'alt 3'!R274</f>
        <v>0.2939304698679799</v>
      </c>
      <c r="AA110" s="49"/>
      <c r="AC110" s="11" t="s">
        <v>336</v>
      </c>
      <c r="AD110" s="11"/>
      <c r="AE110" s="49"/>
      <c r="AF110" s="38">
        <f>+'alt 1'!AF274</f>
        <v>0</v>
      </c>
      <c r="AG110" s="49"/>
      <c r="AH110" s="49"/>
      <c r="AI110" s="49"/>
      <c r="AJ110" s="38">
        <f>+'alt 2'!AF274</f>
        <v>0.16011482252676748</v>
      </c>
      <c r="AK110" s="49"/>
      <c r="AL110" s="49"/>
      <c r="AM110" s="49"/>
      <c r="AN110" s="38">
        <f>+'alt 3'!AF274</f>
        <v>0.14723560405803057</v>
      </c>
      <c r="AO110" s="49"/>
    </row>
    <row r="111" spans="1:41" ht="12.75">
      <c r="A111" s="11" t="s">
        <v>464</v>
      </c>
      <c r="B111" s="11"/>
      <c r="C111" s="49"/>
      <c r="D111" s="68">
        <f>+'alt 1'!D275</f>
        <v>0.00013680000000000002</v>
      </c>
      <c r="E111" s="69"/>
      <c r="F111" s="156"/>
      <c r="G111" s="69"/>
      <c r="H111" s="68">
        <f>+'alt 2'!D275</f>
        <v>54220.47584854202</v>
      </c>
      <c r="I111" s="69"/>
      <c r="J111" s="156"/>
      <c r="K111" s="69"/>
      <c r="L111" s="68">
        <f>+'alt 3'!D275</f>
        <v>53883.03440824768</v>
      </c>
      <c r="M111" s="49"/>
      <c r="O111" s="11" t="s">
        <v>464</v>
      </c>
      <c r="P111" s="11"/>
      <c r="Q111" s="49"/>
      <c r="R111" s="68">
        <f>+'alt 1'!R275</f>
        <v>0.00013680000000000002</v>
      </c>
      <c r="S111" s="69"/>
      <c r="T111" s="69"/>
      <c r="U111" s="69"/>
      <c r="V111" s="68">
        <f>+'alt 2'!R275</f>
        <v>53854.82208493018</v>
      </c>
      <c r="W111" s="69"/>
      <c r="X111" s="69"/>
      <c r="Y111" s="69"/>
      <c r="Z111" s="68">
        <f>+'alt 3'!R275</f>
        <v>53854.82208493018</v>
      </c>
      <c r="AA111" s="49"/>
      <c r="AC111" s="11" t="s">
        <v>464</v>
      </c>
      <c r="AD111" s="11"/>
      <c r="AE111" s="49"/>
      <c r="AF111" s="68">
        <f>+'alt 1'!AF275</f>
        <v>0.00013680000000000002</v>
      </c>
      <c r="AG111" s="69"/>
      <c r="AH111" s="69"/>
      <c r="AI111" s="69"/>
      <c r="AJ111" s="68">
        <f>+'alt 2'!AF275</f>
        <v>54270.98952677934</v>
      </c>
      <c r="AK111" s="69"/>
      <c r="AL111" s="69"/>
      <c r="AM111" s="69"/>
      <c r="AN111" s="68">
        <f>+'alt 3'!AF275</f>
        <v>53967.67137820016</v>
      </c>
      <c r="AO111" s="49"/>
    </row>
    <row r="112" spans="1:41" ht="12.75">
      <c r="A112" s="11" t="s">
        <v>648</v>
      </c>
      <c r="B112" s="11"/>
      <c r="C112" s="49"/>
      <c r="D112" s="14">
        <f>+'alt 1'!D276</f>
        <v>0.00010191294634558518</v>
      </c>
      <c r="E112" s="49"/>
      <c r="F112" s="144"/>
      <c r="G112" s="49"/>
      <c r="H112" s="14">
        <f>+'alt 2'!D276</f>
        <v>42306.33802816901</v>
      </c>
      <c r="I112" s="49"/>
      <c r="J112" s="144"/>
      <c r="K112" s="49"/>
      <c r="L112" s="14">
        <f>+'alt 3'!D276</f>
        <v>42306.33802816901</v>
      </c>
      <c r="M112" s="49"/>
      <c r="O112" s="11" t="s">
        <v>465</v>
      </c>
      <c r="P112" s="11"/>
      <c r="Q112" s="49"/>
      <c r="R112" s="14">
        <f>+'alt 1'!R276</f>
        <v>0.00010534821419993075</v>
      </c>
      <c r="S112" s="49"/>
      <c r="T112" s="49"/>
      <c r="U112" s="49"/>
      <c r="V112" s="14">
        <f>+'alt 2'!R276</f>
        <v>43732.394366197186</v>
      </c>
      <c r="W112" s="49"/>
      <c r="X112" s="49"/>
      <c r="Y112" s="49"/>
      <c r="Z112" s="14">
        <f>+'alt 3'!R276</f>
        <v>43732.394366197186</v>
      </c>
      <c r="AA112" s="49"/>
      <c r="AC112" s="11" t="s">
        <v>465</v>
      </c>
      <c r="AD112" s="11"/>
      <c r="AE112" s="49"/>
      <c r="AF112" s="14">
        <f>+'alt 1'!AF276</f>
        <v>9.160714278254849E-05</v>
      </c>
      <c r="AG112" s="49"/>
      <c r="AH112" s="49"/>
      <c r="AI112" s="49"/>
      <c r="AJ112" s="14">
        <f>+'alt 2'!AF276</f>
        <v>38028.16901408451</v>
      </c>
      <c r="AK112" s="49"/>
      <c r="AL112" s="49"/>
      <c r="AM112" s="49"/>
      <c r="AN112" s="14">
        <f>+'alt 3'!AF276</f>
        <v>38028.16901408451</v>
      </c>
      <c r="AO112" s="49"/>
    </row>
    <row r="113" spans="1:41" ht="12.75">
      <c r="A113" s="11" t="s">
        <v>337</v>
      </c>
      <c r="B113" s="11"/>
      <c r="C113" s="49"/>
      <c r="D113" s="37">
        <f>+'alt 1'!D277</f>
        <v>0</v>
      </c>
      <c r="E113" s="49"/>
      <c r="F113" s="144"/>
      <c r="G113" s="49"/>
      <c r="H113" s="37">
        <f>+'alt 2'!D277</f>
        <v>26375.20223186744</v>
      </c>
      <c r="I113" s="49"/>
      <c r="J113" s="144"/>
      <c r="K113" s="49"/>
      <c r="L113" s="37">
        <f>+'alt 3'!D277</f>
        <v>24583.55149877443</v>
      </c>
      <c r="M113" s="49"/>
      <c r="O113" s="11" t="s">
        <v>337</v>
      </c>
      <c r="P113" s="11"/>
      <c r="Q113" s="49"/>
      <c r="R113" s="37">
        <f>+'alt 1'!R277</f>
        <v>0</v>
      </c>
      <c r="S113" s="49"/>
      <c r="T113" s="49"/>
      <c r="U113" s="49"/>
      <c r="V113" s="37">
        <f>+'alt 2'!R277</f>
        <v>30511.956119959785</v>
      </c>
      <c r="W113" s="49"/>
      <c r="X113" s="49"/>
      <c r="Y113" s="49"/>
      <c r="Z113" s="37">
        <f>+'alt 3'!R277</f>
        <v>28683.856384588125</v>
      </c>
      <c r="AA113" s="49"/>
      <c r="AC113" s="11" t="s">
        <v>337</v>
      </c>
      <c r="AD113" s="11"/>
      <c r="AE113" s="49"/>
      <c r="AF113" s="37">
        <f>+'alt 1'!AF277</f>
        <v>0</v>
      </c>
      <c r="AG113" s="49"/>
      <c r="AH113" s="49"/>
      <c r="AI113" s="49"/>
      <c r="AJ113" s="37">
        <f>+'alt 2'!AF277</f>
        <v>14778.46338914039</v>
      </c>
      <c r="AK113" s="49"/>
      <c r="AL113" s="49"/>
      <c r="AM113" s="49"/>
      <c r="AN113" s="37">
        <f>+'alt 3'!AF277</f>
        <v>13545.063130984203</v>
      </c>
      <c r="AO113" s="49"/>
    </row>
    <row r="114" spans="1:41" ht="12.75">
      <c r="A114" s="11" t="s">
        <v>338</v>
      </c>
      <c r="B114" s="11"/>
      <c r="C114" s="49"/>
      <c r="D114" s="43">
        <f>+'alt 1'!D278</f>
        <v>9</v>
      </c>
      <c r="E114" s="49"/>
      <c r="F114" s="144"/>
      <c r="G114" s="49"/>
      <c r="H114" s="43">
        <f>+'alt 2'!D278</f>
        <v>9</v>
      </c>
      <c r="I114" s="49"/>
      <c r="J114" s="144"/>
      <c r="K114" s="49"/>
      <c r="L114" s="43">
        <f>+'alt 3'!D278</f>
        <v>9</v>
      </c>
      <c r="M114" s="49"/>
      <c r="O114" s="11" t="s">
        <v>338</v>
      </c>
      <c r="P114" s="11"/>
      <c r="Q114" s="49"/>
      <c r="R114" s="43">
        <f>+'alt 1'!R278</f>
        <v>6</v>
      </c>
      <c r="S114" s="49"/>
      <c r="T114" s="49"/>
      <c r="U114" s="49"/>
      <c r="V114" s="43">
        <f>+'alt 2'!R278</f>
        <v>6</v>
      </c>
      <c r="W114" s="49"/>
      <c r="X114" s="49"/>
      <c r="Y114" s="49"/>
      <c r="Z114" s="43">
        <f>+'alt 3'!R278</f>
        <v>6</v>
      </c>
      <c r="AA114" s="49"/>
      <c r="AC114" s="11" t="s">
        <v>338</v>
      </c>
      <c r="AD114" s="11"/>
      <c r="AE114" s="49"/>
      <c r="AF114" s="43">
        <f>+'alt 1'!AF278</f>
        <v>5</v>
      </c>
      <c r="AG114" s="49"/>
      <c r="AH114" s="49"/>
      <c r="AI114" s="49"/>
      <c r="AJ114" s="43">
        <f>+'alt 2'!AF278</f>
        <v>5</v>
      </c>
      <c r="AK114" s="49"/>
      <c r="AL114" s="49"/>
      <c r="AM114" s="49"/>
      <c r="AN114" s="43">
        <f>+'alt 3'!AF278</f>
        <v>5</v>
      </c>
      <c r="AO114" s="49"/>
    </row>
    <row r="115" spans="1:41" ht="12.75">
      <c r="A115" s="11" t="s">
        <v>339</v>
      </c>
      <c r="B115" s="11"/>
      <c r="C115" s="49"/>
      <c r="D115" s="37">
        <f>+'alt 1'!D279</f>
        <v>0</v>
      </c>
      <c r="E115" s="49"/>
      <c r="F115" s="144"/>
      <c r="G115" s="49"/>
      <c r="H115" s="37">
        <f>+'alt 2'!D279</f>
        <v>237376.82008680695</v>
      </c>
      <c r="I115" s="49"/>
      <c r="J115" s="144"/>
      <c r="K115" s="49"/>
      <c r="L115" s="37">
        <f>+'alt 3'!D279</f>
        <v>221251.96348896986</v>
      </c>
      <c r="M115" s="49"/>
      <c r="O115" s="11" t="s">
        <v>339</v>
      </c>
      <c r="P115" s="11"/>
      <c r="Q115" s="49"/>
      <c r="R115" s="37">
        <f>+'alt 1'!R279</f>
        <v>0</v>
      </c>
      <c r="S115" s="49"/>
      <c r="T115" s="49"/>
      <c r="U115" s="49"/>
      <c r="V115" s="37">
        <f>+'alt 2'!R279</f>
        <v>183071.73671975872</v>
      </c>
      <c r="W115" s="49"/>
      <c r="X115" s="49"/>
      <c r="Y115" s="49"/>
      <c r="Z115" s="37">
        <f>+'alt 3'!R279</f>
        <v>172103.13830752874</v>
      </c>
      <c r="AA115" s="49"/>
      <c r="AC115" s="11" t="s">
        <v>339</v>
      </c>
      <c r="AD115" s="11"/>
      <c r="AE115" s="49"/>
      <c r="AF115" s="37">
        <f>+'alt 1'!AF279</f>
        <v>0</v>
      </c>
      <c r="AG115" s="49"/>
      <c r="AH115" s="49"/>
      <c r="AI115" s="49"/>
      <c r="AJ115" s="37">
        <f>+'alt 2'!AF279</f>
        <v>73892.31694570195</v>
      </c>
      <c r="AK115" s="49"/>
      <c r="AL115" s="49"/>
      <c r="AM115" s="49"/>
      <c r="AN115" s="37">
        <f>+'alt 3'!AF279</f>
        <v>67725.31565492101</v>
      </c>
      <c r="AO115" s="49"/>
    </row>
    <row r="116" spans="1:41" ht="12.75">
      <c r="A116" s="11" t="s">
        <v>480</v>
      </c>
      <c r="B116" s="11"/>
      <c r="C116" s="49"/>
      <c r="D116" s="56">
        <f>+'alt 1'!D280</f>
        <v>250</v>
      </c>
      <c r="E116" s="49"/>
      <c r="F116" s="144"/>
      <c r="G116" s="49"/>
      <c r="H116" s="56">
        <f>+'alt 2'!D280</f>
        <v>250</v>
      </c>
      <c r="I116" s="49"/>
      <c r="J116" s="144"/>
      <c r="K116" s="49"/>
      <c r="L116" s="56">
        <f>+'alt 3'!D280</f>
        <v>250</v>
      </c>
      <c r="M116" s="49"/>
      <c r="O116" s="11" t="s">
        <v>480</v>
      </c>
      <c r="P116" s="11"/>
      <c r="Q116" s="49"/>
      <c r="R116" s="56">
        <f>+'alt 1'!R280</f>
        <v>250</v>
      </c>
      <c r="S116" s="49"/>
      <c r="T116" s="49"/>
      <c r="U116" s="49"/>
      <c r="V116" s="56">
        <f>+'alt 2'!R280</f>
        <v>250</v>
      </c>
      <c r="W116" s="49"/>
      <c r="X116" s="49"/>
      <c r="Y116" s="49"/>
      <c r="Z116" s="56">
        <f>+'alt 3'!R280</f>
        <v>250</v>
      </c>
      <c r="AA116" s="49"/>
      <c r="AC116" s="11" t="s">
        <v>480</v>
      </c>
      <c r="AD116" s="11"/>
      <c r="AE116" s="49"/>
      <c r="AF116" s="56">
        <f>+'alt 1'!AF280</f>
        <v>250</v>
      </c>
      <c r="AG116" s="49"/>
      <c r="AH116" s="49"/>
      <c r="AI116" s="49"/>
      <c r="AJ116" s="56">
        <f>+'alt 2'!AF280</f>
        <v>250</v>
      </c>
      <c r="AK116" s="49"/>
      <c r="AL116" s="49"/>
      <c r="AM116" s="49"/>
      <c r="AN116" s="56">
        <f>+'alt 3'!AF280</f>
        <v>250</v>
      </c>
      <c r="AO116" s="49"/>
    </row>
    <row r="117" spans="1:41" ht="12.75">
      <c r="A117" s="11" t="s">
        <v>649</v>
      </c>
      <c r="B117" s="11"/>
      <c r="C117" s="49"/>
      <c r="D117" s="37">
        <f>+'alt 1'!D281</f>
        <v>0</v>
      </c>
      <c r="E117" s="49"/>
      <c r="F117" s="144"/>
      <c r="G117" s="49"/>
      <c r="H117" s="37">
        <f>+'alt 2'!D281</f>
        <v>65278625.52387192</v>
      </c>
      <c r="I117" s="49"/>
      <c r="J117" s="144"/>
      <c r="K117" s="49"/>
      <c r="L117" s="37">
        <f>+'alt 3'!D281</f>
        <v>60844289.95946672</v>
      </c>
      <c r="M117" s="49"/>
      <c r="O117" s="11" t="s">
        <v>467</v>
      </c>
      <c r="P117" s="11"/>
      <c r="Q117" s="49"/>
      <c r="R117" s="37">
        <f>+'alt 1'!R281</f>
        <v>0</v>
      </c>
      <c r="S117" s="49"/>
      <c r="T117" s="49"/>
      <c r="U117" s="49"/>
      <c r="V117" s="37">
        <f>+'alt 2'!R281</f>
        <v>50344727.59793365</v>
      </c>
      <c r="W117" s="49"/>
      <c r="X117" s="49"/>
      <c r="Y117" s="49"/>
      <c r="Z117" s="37">
        <f>+'alt 3'!R281</f>
        <v>47328363.0345704</v>
      </c>
      <c r="AA117" s="49"/>
      <c r="AC117" s="11" t="s">
        <v>467</v>
      </c>
      <c r="AD117" s="11"/>
      <c r="AE117" s="49"/>
      <c r="AF117" s="37">
        <f>+'alt 1'!AF281</f>
        <v>0</v>
      </c>
      <c r="AG117" s="49"/>
      <c r="AH117" s="49"/>
      <c r="AI117" s="49"/>
      <c r="AJ117" s="37">
        <f>+'alt 2'!AF281</f>
        <v>20320387.16006804</v>
      </c>
      <c r="AK117" s="49"/>
      <c r="AL117" s="49"/>
      <c r="AM117" s="49"/>
      <c r="AN117" s="37">
        <f>+'alt 3'!AF281</f>
        <v>18624461.80510328</v>
      </c>
      <c r="AO117" s="49"/>
    </row>
    <row r="118" spans="1:41" ht="12.75">
      <c r="A118" s="11" t="s">
        <v>466</v>
      </c>
      <c r="B118" s="11"/>
      <c r="C118" s="49"/>
      <c r="D118" s="37">
        <f>+'alt 1'!D282</f>
        <v>0.004296833034220533</v>
      </c>
      <c r="E118" s="49"/>
      <c r="F118" s="144"/>
      <c r="G118" s="49"/>
      <c r="H118" s="37">
        <f>+'alt 2'!D282</f>
        <v>1737482.6497807987</v>
      </c>
      <c r="I118" s="49"/>
      <c r="J118" s="144"/>
      <c r="K118" s="49"/>
      <c r="L118" s="37">
        <f>+'alt 3'!D282</f>
        <v>1731408.7038555006</v>
      </c>
      <c r="M118" s="49"/>
      <c r="O118" s="11" t="s">
        <v>466</v>
      </c>
      <c r="P118" s="11"/>
      <c r="Q118" s="49"/>
      <c r="R118" s="37">
        <f>+'alt 1'!R282</f>
        <v>0.008717335711197509</v>
      </c>
      <c r="S118" s="49"/>
      <c r="T118" s="49"/>
      <c r="U118" s="49"/>
      <c r="V118" s="37">
        <f>+'alt 2'!R282</f>
        <v>3513139.7922405857</v>
      </c>
      <c r="W118" s="49"/>
      <c r="X118" s="49"/>
      <c r="Y118" s="49"/>
      <c r="Z118" s="37">
        <f>+'alt 3'!R282</f>
        <v>3513139.7922405857</v>
      </c>
      <c r="AA118" s="49"/>
      <c r="AC118" s="11" t="s">
        <v>466</v>
      </c>
      <c r="AD118" s="11"/>
      <c r="AE118" s="49"/>
      <c r="AF118" s="37">
        <f>+'alt 1'!AF282</f>
        <v>0.006852214283476455</v>
      </c>
      <c r="AG118" s="49"/>
      <c r="AH118" s="49"/>
      <c r="AI118" s="49"/>
      <c r="AJ118" s="37">
        <f>+'alt 2'!AF282</f>
        <v>2768974.7562259156</v>
      </c>
      <c r="AK118" s="49"/>
      <c r="AL118" s="49"/>
      <c r="AM118" s="49"/>
      <c r="AN118" s="37">
        <f>+'alt 3'!AF282</f>
        <v>2759875.21176854</v>
      </c>
      <c r="AO118" s="49"/>
    </row>
    <row r="119" spans="1:41" ht="12.75">
      <c r="A119" s="11"/>
      <c r="B119" s="11"/>
      <c r="C119" s="49"/>
      <c r="D119" s="37"/>
      <c r="E119" s="49"/>
      <c r="F119" s="144"/>
      <c r="G119" s="49"/>
      <c r="H119" s="37"/>
      <c r="I119" s="49"/>
      <c r="J119" s="144"/>
      <c r="K119" s="49"/>
      <c r="L119" s="37"/>
      <c r="M119" s="49"/>
      <c r="O119" s="11"/>
      <c r="P119" s="11"/>
      <c r="Q119" s="49"/>
      <c r="R119" s="37"/>
      <c r="S119" s="49"/>
      <c r="T119" s="49"/>
      <c r="U119" s="49"/>
      <c r="V119" s="37"/>
      <c r="W119" s="49"/>
      <c r="X119" s="49"/>
      <c r="Y119" s="49"/>
      <c r="Z119" s="37"/>
      <c r="AA119" s="49"/>
      <c r="AC119" s="11"/>
      <c r="AD119" s="11"/>
      <c r="AE119" s="49"/>
      <c r="AF119" s="37"/>
      <c r="AG119" s="49"/>
      <c r="AH119" s="49"/>
      <c r="AI119" s="49"/>
      <c r="AJ119" s="37"/>
      <c r="AK119" s="49"/>
      <c r="AL119" s="49"/>
      <c r="AM119" s="49"/>
      <c r="AN119" s="37"/>
      <c r="AO119" s="49"/>
    </row>
    <row r="120" spans="1:41" ht="12.75">
      <c r="A120" s="26" t="s">
        <v>475</v>
      </c>
      <c r="B120" s="11"/>
      <c r="C120" s="49"/>
      <c r="D120" s="37"/>
      <c r="E120" s="49"/>
      <c r="F120" s="144"/>
      <c r="G120" s="49"/>
      <c r="H120" s="37"/>
      <c r="I120" s="49"/>
      <c r="J120" s="144"/>
      <c r="K120" s="49"/>
      <c r="L120" s="37"/>
      <c r="M120" s="49"/>
      <c r="O120" s="26" t="s">
        <v>475</v>
      </c>
      <c r="P120" s="11"/>
      <c r="Q120" s="49"/>
      <c r="R120" s="37"/>
      <c r="S120" s="49"/>
      <c r="T120" s="49"/>
      <c r="U120" s="49"/>
      <c r="V120" s="37"/>
      <c r="W120" s="49"/>
      <c r="X120" s="49"/>
      <c r="Y120" s="49"/>
      <c r="Z120" s="37"/>
      <c r="AA120" s="49"/>
      <c r="AC120" s="26" t="s">
        <v>475</v>
      </c>
      <c r="AD120" s="11"/>
      <c r="AE120" s="49"/>
      <c r="AF120" s="37"/>
      <c r="AG120" s="49"/>
      <c r="AH120" s="49"/>
      <c r="AI120" s="49"/>
      <c r="AJ120" s="37"/>
      <c r="AK120" s="49"/>
      <c r="AL120" s="49"/>
      <c r="AM120" s="49"/>
      <c r="AN120" s="37"/>
      <c r="AO120" s="49"/>
    </row>
    <row r="121" spans="1:41" ht="12.75">
      <c r="A121" s="11" t="s">
        <v>440</v>
      </c>
      <c r="B121" s="11"/>
      <c r="C121" s="49"/>
      <c r="D121" s="14">
        <f>+C20-B20</f>
        <v>0</v>
      </c>
      <c r="E121" s="49"/>
      <c r="F121" s="144"/>
      <c r="G121" s="49"/>
      <c r="H121" s="14">
        <f>+D20-B20</f>
        <v>1090.4830291596081</v>
      </c>
      <c r="I121" s="49"/>
      <c r="J121" s="144"/>
      <c r="K121" s="49"/>
      <c r="L121" s="14">
        <f>+E20-B20</f>
        <v>7839.311835046457</v>
      </c>
      <c r="M121" s="49"/>
      <c r="O121" s="11" t="s">
        <v>440</v>
      </c>
      <c r="P121" s="11"/>
      <c r="Q121" s="49"/>
      <c r="R121" s="14">
        <f>+Q20-P20</f>
        <v>0</v>
      </c>
      <c r="S121" s="49"/>
      <c r="T121" s="49"/>
      <c r="U121" s="49"/>
      <c r="V121" s="14">
        <f>+R20-P20</f>
        <v>1127.2408840751013</v>
      </c>
      <c r="W121" s="49"/>
      <c r="X121" s="49"/>
      <c r="Y121" s="49"/>
      <c r="Z121" s="14">
        <f>+S20-P20</f>
        <v>8103.5583013963405</v>
      </c>
      <c r="AA121" s="49"/>
      <c r="AC121" s="11" t="s">
        <v>440</v>
      </c>
      <c r="AD121" s="11"/>
      <c r="AE121" s="49"/>
      <c r="AF121" s="14">
        <f>+AE20-AD20</f>
        <v>0</v>
      </c>
      <c r="AG121" s="49"/>
      <c r="AH121" s="49"/>
      <c r="AI121" s="49"/>
      <c r="AJ121" s="14">
        <f>+AF20-AD20</f>
        <v>980.2094644131339</v>
      </c>
      <c r="AK121" s="49"/>
      <c r="AL121" s="49"/>
      <c r="AM121" s="49"/>
      <c r="AN121" s="14">
        <f>+AG20-AD20</f>
        <v>7046.572435996819</v>
      </c>
      <c r="AO121" s="49"/>
    </row>
    <row r="122" spans="1:41" ht="12.75">
      <c r="A122" s="11" t="s">
        <v>441</v>
      </c>
      <c r="B122" s="11"/>
      <c r="C122" s="49"/>
      <c r="D122" s="79">
        <f>+Inputs!B48</f>
        <v>0.5</v>
      </c>
      <c r="E122" s="49"/>
      <c r="F122" s="144"/>
      <c r="G122" s="49"/>
      <c r="H122" s="79">
        <f>+Inputs!C48</f>
        <v>0.5</v>
      </c>
      <c r="I122" s="49"/>
      <c r="J122" s="144"/>
      <c r="K122" s="49"/>
      <c r="L122" s="79">
        <f>+Inputs!D48</f>
        <v>0.5</v>
      </c>
      <c r="M122" s="49"/>
      <c r="O122" s="11" t="s">
        <v>441</v>
      </c>
      <c r="P122" s="11"/>
      <c r="Q122" s="49"/>
      <c r="R122" s="79">
        <v>0.5</v>
      </c>
      <c r="S122" s="49"/>
      <c r="T122" s="49"/>
      <c r="U122" s="49"/>
      <c r="V122" s="79">
        <f>+R122</f>
        <v>0.5</v>
      </c>
      <c r="W122" s="49"/>
      <c r="X122" s="49"/>
      <c r="Y122" s="49"/>
      <c r="Z122" s="79">
        <f>+R122</f>
        <v>0.5</v>
      </c>
      <c r="AA122" s="49"/>
      <c r="AC122" s="11" t="s">
        <v>441</v>
      </c>
      <c r="AD122" s="11"/>
      <c r="AE122" s="49"/>
      <c r="AF122" s="79">
        <v>0.5</v>
      </c>
      <c r="AG122" s="49"/>
      <c r="AH122" s="49"/>
      <c r="AI122" s="49"/>
      <c r="AJ122" s="79">
        <f>+AF122</f>
        <v>0.5</v>
      </c>
      <c r="AK122" s="49"/>
      <c r="AL122" s="49"/>
      <c r="AM122" s="49"/>
      <c r="AN122" s="79">
        <f>+AF122</f>
        <v>0.5</v>
      </c>
      <c r="AO122" s="49"/>
    </row>
    <row r="123" spans="1:41" ht="12.75">
      <c r="A123" s="11" t="s">
        <v>442</v>
      </c>
      <c r="B123" s="11"/>
      <c r="C123" s="49"/>
      <c r="D123" s="37">
        <f>+D121*D122*D116*D114</f>
        <v>0</v>
      </c>
      <c r="E123" s="49"/>
      <c r="F123" s="144"/>
      <c r="G123" s="49"/>
      <c r="H123" s="37">
        <f>+H121*H122*H116*H114</f>
        <v>1226793.407804559</v>
      </c>
      <c r="I123" s="49"/>
      <c r="J123" s="144"/>
      <c r="K123" s="49"/>
      <c r="L123" s="37">
        <f>+L121*L122*L116*L114</f>
        <v>8819225.814427264</v>
      </c>
      <c r="M123" s="49"/>
      <c r="O123" s="11" t="s">
        <v>442</v>
      </c>
      <c r="P123" s="11"/>
      <c r="Q123" s="49"/>
      <c r="R123" s="37">
        <f>+R121*R122*R116*R114</f>
        <v>0</v>
      </c>
      <c r="S123" s="49"/>
      <c r="T123" s="49"/>
      <c r="U123" s="49"/>
      <c r="V123" s="37">
        <f>+V121*V122*V116*V114</f>
        <v>845430.6630563261</v>
      </c>
      <c r="W123" s="49"/>
      <c r="X123" s="49"/>
      <c r="Y123" s="49"/>
      <c r="Z123" s="37">
        <f>+Z121*Z122*Z116*Z114</f>
        <v>6077668.726047255</v>
      </c>
      <c r="AA123" s="49"/>
      <c r="AC123" s="11" t="s">
        <v>442</v>
      </c>
      <c r="AD123" s="11"/>
      <c r="AE123" s="49"/>
      <c r="AF123" s="37">
        <f>+AF121*AF122*AF116*AF114</f>
        <v>0</v>
      </c>
      <c r="AG123" s="49"/>
      <c r="AH123" s="49"/>
      <c r="AI123" s="49"/>
      <c r="AJ123" s="37">
        <f>+AJ121*AJ122*AJ116*AJ114</f>
        <v>612630.9152582088</v>
      </c>
      <c r="AK123" s="49"/>
      <c r="AL123" s="49"/>
      <c r="AM123" s="49"/>
      <c r="AN123" s="37">
        <f>+AN121*AN122*AN116*AN114</f>
        <v>4404107.772498012</v>
      </c>
      <c r="AO123" s="49"/>
    </row>
    <row r="124" spans="1:41" ht="12.75">
      <c r="A124" s="11" t="s">
        <v>512</v>
      </c>
      <c r="B124" s="11"/>
      <c r="C124" s="49"/>
      <c r="D124" s="79">
        <f>+Inputs!B49</f>
        <v>0</v>
      </c>
      <c r="E124" s="112"/>
      <c r="F124" s="157"/>
      <c r="G124" s="112"/>
      <c r="H124" s="79">
        <f>+Inputs!C49</f>
        <v>0</v>
      </c>
      <c r="I124" s="112"/>
      <c r="J124" s="157"/>
      <c r="K124" s="112"/>
      <c r="L124" s="79">
        <f>+Inputs!D49</f>
        <v>0</v>
      </c>
      <c r="M124" s="112"/>
      <c r="O124" s="11" t="s">
        <v>512</v>
      </c>
      <c r="P124" s="11"/>
      <c r="Q124" s="112"/>
      <c r="R124" s="79">
        <f>+Inputs!P49</f>
        <v>0</v>
      </c>
      <c r="S124" s="112"/>
      <c r="T124" s="112"/>
      <c r="U124" s="112"/>
      <c r="V124" s="79">
        <f>+Inputs!Q49</f>
        <v>0</v>
      </c>
      <c r="W124" s="112"/>
      <c r="X124" s="112"/>
      <c r="Y124" s="112"/>
      <c r="Z124" s="79">
        <f>+Inputs!R49</f>
        <v>0</v>
      </c>
      <c r="AA124" s="112"/>
      <c r="AC124" s="11" t="s">
        <v>512</v>
      </c>
      <c r="AD124" s="11"/>
      <c r="AE124" s="112"/>
      <c r="AF124" s="79">
        <f>+Inputs!AD49</f>
        <v>0</v>
      </c>
      <c r="AG124" s="112"/>
      <c r="AH124" s="112"/>
      <c r="AI124" s="112"/>
      <c r="AJ124" s="79">
        <f>+Inputs!AE49</f>
        <v>0</v>
      </c>
      <c r="AK124" s="112"/>
      <c r="AL124" s="112"/>
      <c r="AM124" s="112"/>
      <c r="AN124" s="79">
        <f>+Inputs!AF49</f>
        <v>0</v>
      </c>
      <c r="AO124" s="49"/>
    </row>
    <row r="125" spans="1:41" ht="12.75">
      <c r="A125" s="11" t="s">
        <v>479</v>
      </c>
      <c r="B125" s="11"/>
      <c r="C125" s="49"/>
      <c r="D125" s="37">
        <v>0</v>
      </c>
      <c r="E125" s="49"/>
      <c r="F125" s="144"/>
      <c r="G125" s="49"/>
      <c r="H125" s="37">
        <f>+H124*H121*H116*H114</f>
        <v>0</v>
      </c>
      <c r="I125" s="49"/>
      <c r="J125" s="144"/>
      <c r="K125" s="49"/>
      <c r="L125" s="37">
        <f>+L124*L121*L116*L114</f>
        <v>0</v>
      </c>
      <c r="M125" s="49"/>
      <c r="O125" s="11" t="s">
        <v>479</v>
      </c>
      <c r="P125" s="11"/>
      <c r="Q125" s="49"/>
      <c r="R125" s="37">
        <v>0</v>
      </c>
      <c r="S125" s="49"/>
      <c r="T125" s="49"/>
      <c r="U125" s="49"/>
      <c r="V125" s="37">
        <f>+V124*V121*V116*V114</f>
        <v>0</v>
      </c>
      <c r="W125" s="49"/>
      <c r="X125" s="49"/>
      <c r="Y125" s="49"/>
      <c r="Z125" s="37">
        <f>+Z124*Z121*Z116*Z114</f>
        <v>0</v>
      </c>
      <c r="AA125" s="49"/>
      <c r="AC125" s="11" t="s">
        <v>479</v>
      </c>
      <c r="AD125" s="11"/>
      <c r="AE125" s="49"/>
      <c r="AF125" s="37">
        <v>0</v>
      </c>
      <c r="AG125" s="49"/>
      <c r="AH125" s="49"/>
      <c r="AI125" s="49"/>
      <c r="AJ125" s="37">
        <f>+AJ124*AJ121*AJ116*AJ114</f>
        <v>0</v>
      </c>
      <c r="AK125" s="49"/>
      <c r="AL125" s="49"/>
      <c r="AM125" s="49"/>
      <c r="AN125" s="37">
        <f>+AN124*AN121*AN116*AN114</f>
        <v>0</v>
      </c>
      <c r="AO125" s="49"/>
    </row>
    <row r="126" spans="1:41" ht="12.75">
      <c r="A126" s="11"/>
      <c r="B126" s="11"/>
      <c r="C126" s="49"/>
      <c r="D126" s="37"/>
      <c r="E126" s="49"/>
      <c r="F126" s="49"/>
      <c r="G126" s="49"/>
      <c r="H126" s="37"/>
      <c r="I126" s="49"/>
      <c r="J126" s="49"/>
      <c r="K126" s="49"/>
      <c r="L126" s="37"/>
      <c r="M126" s="49"/>
      <c r="O126" s="11"/>
      <c r="P126" s="11"/>
      <c r="Q126" s="49"/>
      <c r="R126" s="37"/>
      <c r="S126" s="49"/>
      <c r="T126" s="49"/>
      <c r="U126" s="49"/>
      <c r="V126" s="37"/>
      <c r="W126" s="49"/>
      <c r="X126" s="49"/>
      <c r="Y126" s="49"/>
      <c r="Z126" s="37"/>
      <c r="AA126" s="49"/>
      <c r="AC126" s="11"/>
      <c r="AD126" s="11"/>
      <c r="AE126" s="49"/>
      <c r="AF126" s="37"/>
      <c r="AG126" s="49"/>
      <c r="AH126" s="49"/>
      <c r="AI126" s="49"/>
      <c r="AJ126" s="37"/>
      <c r="AK126" s="49"/>
      <c r="AL126" s="49"/>
      <c r="AM126" s="49"/>
      <c r="AN126" s="37"/>
      <c r="AO126" s="49"/>
    </row>
    <row r="127" spans="1:41" ht="12.75">
      <c r="A127" s="1" t="s">
        <v>639</v>
      </c>
      <c r="B127" s="17"/>
      <c r="C127" s="49"/>
      <c r="D127" s="49"/>
      <c r="E127" s="49"/>
      <c r="F127" s="49"/>
      <c r="G127" s="49"/>
      <c r="H127" s="49"/>
      <c r="I127" s="50"/>
      <c r="J127" s="49"/>
      <c r="K127" s="49"/>
      <c r="L127" s="49"/>
      <c r="M127" s="49"/>
      <c r="O127" s="1" t="s">
        <v>567</v>
      </c>
      <c r="P127" s="17"/>
      <c r="Q127" s="49"/>
      <c r="R127" s="49"/>
      <c r="S127" s="49"/>
      <c r="T127" s="49"/>
      <c r="U127" s="49"/>
      <c r="V127" s="49"/>
      <c r="W127" s="50"/>
      <c r="X127" s="49"/>
      <c r="Y127" s="49"/>
      <c r="Z127" s="49"/>
      <c r="AA127" s="49"/>
      <c r="AC127" s="1" t="s">
        <v>567</v>
      </c>
      <c r="AD127" s="17"/>
      <c r="AE127" s="49"/>
      <c r="AF127" s="49"/>
      <c r="AG127" s="49"/>
      <c r="AH127" s="49"/>
      <c r="AI127" s="49"/>
      <c r="AJ127" s="49"/>
      <c r="AK127" s="50"/>
      <c r="AL127" s="49"/>
      <c r="AM127" s="49"/>
      <c r="AN127" s="49"/>
      <c r="AO127" s="49"/>
    </row>
    <row r="128" spans="1:41" ht="12.75">
      <c r="A128" s="17"/>
      <c r="B128" s="17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O128" s="17"/>
      <c r="P128" s="17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C128" s="17"/>
      <c r="AD128" s="17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</row>
    <row r="129" spans="4:41" ht="12.75">
      <c r="D129" s="39" t="s">
        <v>548</v>
      </c>
      <c r="E129" s="39"/>
      <c r="F129" s="146"/>
      <c r="G129" s="88"/>
      <c r="H129" s="39" t="s">
        <v>549</v>
      </c>
      <c r="I129" s="78"/>
      <c r="J129" s="146"/>
      <c r="K129" s="88"/>
      <c r="L129" s="39" t="s">
        <v>550</v>
      </c>
      <c r="M129" s="78"/>
      <c r="R129" s="39" t="s">
        <v>548</v>
      </c>
      <c r="S129" s="39"/>
      <c r="T129" s="88"/>
      <c r="U129" s="88"/>
      <c r="V129" s="39" t="s">
        <v>549</v>
      </c>
      <c r="W129" s="78"/>
      <c r="X129" s="88"/>
      <c r="Y129" s="88"/>
      <c r="Z129" s="39" t="s">
        <v>550</v>
      </c>
      <c r="AA129" s="78"/>
      <c r="AF129" s="39" t="s">
        <v>548</v>
      </c>
      <c r="AG129" s="39"/>
      <c r="AH129" s="88"/>
      <c r="AI129" s="88"/>
      <c r="AJ129" s="39" t="s">
        <v>549</v>
      </c>
      <c r="AK129" s="78"/>
      <c r="AL129" s="88"/>
      <c r="AM129" s="88"/>
      <c r="AN129" s="39" t="s">
        <v>550</v>
      </c>
      <c r="AO129" s="78"/>
    </row>
    <row r="130" spans="1:41" ht="12.75">
      <c r="A130" s="26" t="s">
        <v>419</v>
      </c>
      <c r="B130" s="11"/>
      <c r="C130" s="87" t="s">
        <v>92</v>
      </c>
      <c r="D130" s="87" t="s">
        <v>551</v>
      </c>
      <c r="E130" s="87" t="s">
        <v>40</v>
      </c>
      <c r="F130" s="142"/>
      <c r="G130" s="87" t="s">
        <v>92</v>
      </c>
      <c r="H130" s="87" t="s">
        <v>551</v>
      </c>
      <c r="I130" s="87" t="s">
        <v>40</v>
      </c>
      <c r="J130" s="142"/>
      <c r="K130" s="87" t="s">
        <v>92</v>
      </c>
      <c r="L130" s="87" t="s">
        <v>551</v>
      </c>
      <c r="M130" s="87" t="s">
        <v>40</v>
      </c>
      <c r="O130" s="26" t="s">
        <v>419</v>
      </c>
      <c r="P130" s="11"/>
      <c r="Q130" s="87" t="s">
        <v>92</v>
      </c>
      <c r="R130" s="87" t="s">
        <v>551</v>
      </c>
      <c r="S130" s="87" t="s">
        <v>40</v>
      </c>
      <c r="T130" s="87"/>
      <c r="U130" s="87" t="s">
        <v>92</v>
      </c>
      <c r="V130" s="87" t="s">
        <v>551</v>
      </c>
      <c r="W130" s="87" t="s">
        <v>40</v>
      </c>
      <c r="X130" s="87"/>
      <c r="Y130" s="87" t="s">
        <v>92</v>
      </c>
      <c r="Z130" s="87" t="s">
        <v>551</v>
      </c>
      <c r="AA130" s="87" t="s">
        <v>40</v>
      </c>
      <c r="AC130" s="26" t="s">
        <v>419</v>
      </c>
      <c r="AD130" s="11"/>
      <c r="AE130" s="87" t="s">
        <v>92</v>
      </c>
      <c r="AF130" s="87" t="s">
        <v>551</v>
      </c>
      <c r="AG130" s="87" t="s">
        <v>40</v>
      </c>
      <c r="AH130" s="87"/>
      <c r="AI130" s="87" t="s">
        <v>92</v>
      </c>
      <c r="AJ130" s="87" t="s">
        <v>551</v>
      </c>
      <c r="AK130" s="87" t="s">
        <v>40</v>
      </c>
      <c r="AL130" s="87"/>
      <c r="AM130" s="87" t="s">
        <v>92</v>
      </c>
      <c r="AN130" s="87" t="s">
        <v>551</v>
      </c>
      <c r="AO130" s="87" t="s">
        <v>40</v>
      </c>
    </row>
    <row r="131" spans="1:41" ht="12.75">
      <c r="A131" s="11" t="s">
        <v>324</v>
      </c>
      <c r="B131" s="11"/>
      <c r="C131" s="49"/>
      <c r="D131" s="49"/>
      <c r="E131" s="49"/>
      <c r="F131" s="147"/>
      <c r="G131" s="49"/>
      <c r="H131" s="49"/>
      <c r="I131" s="49"/>
      <c r="J131" s="147"/>
      <c r="K131" s="49"/>
      <c r="L131" s="49"/>
      <c r="M131" s="49"/>
      <c r="O131" s="11" t="s">
        <v>324</v>
      </c>
      <c r="P131" s="11"/>
      <c r="Q131" s="49"/>
      <c r="R131" s="49"/>
      <c r="S131" s="49"/>
      <c r="U131" s="49"/>
      <c r="V131" s="49"/>
      <c r="W131" s="49"/>
      <c r="Y131" s="49"/>
      <c r="Z131" s="49"/>
      <c r="AA131" s="49"/>
      <c r="AC131" s="11" t="s">
        <v>324</v>
      </c>
      <c r="AD131" s="11"/>
      <c r="AE131" s="49"/>
      <c r="AF131" s="49"/>
      <c r="AG131" s="49"/>
      <c r="AI131" s="49"/>
      <c r="AJ131" s="49"/>
      <c r="AK131" s="49"/>
      <c r="AM131" s="49"/>
      <c r="AN131" s="49"/>
      <c r="AO131" s="49"/>
    </row>
    <row r="132" spans="1:41" ht="12.75">
      <c r="A132" s="11" t="s">
        <v>332</v>
      </c>
      <c r="B132" s="11"/>
      <c r="C132" s="80">
        <f>+'alt 4'!C254</f>
        <v>23.184897767438976</v>
      </c>
      <c r="D132" s="80">
        <f>+'alt 4'!D254</f>
        <v>23.18489821074108</v>
      </c>
      <c r="E132" s="80"/>
      <c r="F132" s="158"/>
      <c r="G132" s="80">
        <f>+'alt 5'!C254</f>
        <v>23.184897767438976</v>
      </c>
      <c r="H132" s="80">
        <f>+'alt 5'!D254</f>
        <v>23.18489821074108</v>
      </c>
      <c r="I132" s="80"/>
      <c r="J132" s="158"/>
      <c r="K132" s="80">
        <f>+'alt 6'!C254</f>
        <v>23.184897767438976</v>
      </c>
      <c r="L132" s="80">
        <f>+'alt 6'!D254</f>
        <v>23.18489821074108</v>
      </c>
      <c r="M132" s="80"/>
      <c r="O132" s="11" t="s">
        <v>332</v>
      </c>
      <c r="P132" s="11"/>
      <c r="Q132" s="33">
        <f>+'alt 4'!Q254</f>
        <v>21.822899303867064</v>
      </c>
      <c r="R132" s="33">
        <f>+'alt 4'!R254</f>
        <v>21.822899681690366</v>
      </c>
      <c r="S132" s="33"/>
      <c r="U132" s="33">
        <f>+'alt 5'!Q254</f>
        <v>21.822899303867064</v>
      </c>
      <c r="V132" s="33">
        <f>+'alt 5'!R254</f>
        <v>21.822899681690366</v>
      </c>
      <c r="W132" s="33"/>
      <c r="Y132" s="33">
        <f>+'alt 6'!Q254</f>
        <v>21.822899303867064</v>
      </c>
      <c r="Z132" s="33">
        <f>+'alt 6'!R254</f>
        <v>21.822899681690366</v>
      </c>
      <c r="AA132" s="33"/>
      <c r="AC132" s="11" t="s">
        <v>332</v>
      </c>
      <c r="AD132" s="11"/>
      <c r="AE132" s="33">
        <f>+'alt 4'!AE254</f>
        <v>28.926377633794647</v>
      </c>
      <c r="AF132" s="33">
        <f>+'alt 4'!AF254</f>
        <v>28.92637825825157</v>
      </c>
      <c r="AG132" s="33"/>
      <c r="AI132" s="33">
        <f>+'alt 5'!AE254</f>
        <v>28.926377633794647</v>
      </c>
      <c r="AJ132" s="33">
        <f>+'alt 5'!AF254</f>
        <v>28.92637825825157</v>
      </c>
      <c r="AK132" s="33"/>
      <c r="AM132" s="33">
        <f>+'alt 6'!AE254</f>
        <v>28.926377633794647</v>
      </c>
      <c r="AN132" s="33">
        <f>+'alt 6'!AF254</f>
        <v>28.92637825825157</v>
      </c>
      <c r="AO132" s="33"/>
    </row>
    <row r="133" spans="1:41" ht="12.75">
      <c r="A133" s="11" t="s">
        <v>333</v>
      </c>
      <c r="B133" s="11"/>
      <c r="C133" s="80">
        <f>+'alt 4'!C255</f>
        <v>27.759504612605383</v>
      </c>
      <c r="D133" s="80">
        <f>+'alt 4'!D255</f>
        <v>60</v>
      </c>
      <c r="E133" s="80"/>
      <c r="F133" s="158"/>
      <c r="G133" s="80">
        <f>+'alt 5'!C255</f>
        <v>28.62065762491722</v>
      </c>
      <c r="H133" s="80">
        <f>+'alt 5'!D255</f>
        <v>60</v>
      </c>
      <c r="I133" s="80"/>
      <c r="J133" s="158"/>
      <c r="K133" s="80">
        <f>+'alt 6'!C255</f>
        <v>0</v>
      </c>
      <c r="L133" s="80">
        <f>+'alt 6'!D255</f>
        <v>60</v>
      </c>
      <c r="M133" s="80"/>
      <c r="O133" s="11" t="s">
        <v>333</v>
      </c>
      <c r="P133" s="11"/>
      <c r="Q133" s="33">
        <f>+'alt 4'!Q255</f>
        <v>25.671922662933323</v>
      </c>
      <c r="R133" s="33">
        <f>+'alt 4'!R255</f>
        <v>60</v>
      </c>
      <c r="S133" s="33"/>
      <c r="U133" s="33">
        <f>+'alt 5'!Q255</f>
        <v>26.465071756475872</v>
      </c>
      <c r="V133" s="33">
        <f>+'alt 5'!R255</f>
        <v>60</v>
      </c>
      <c r="W133" s="33"/>
      <c r="Y133" s="33">
        <f>+'alt 6'!Q255</f>
        <v>0</v>
      </c>
      <c r="Z133" s="33">
        <f>+'alt 6'!R255</f>
        <v>60</v>
      </c>
      <c r="AA133" s="33"/>
      <c r="AC133" s="11" t="s">
        <v>333</v>
      </c>
      <c r="AD133" s="11"/>
      <c r="AE133" s="33">
        <f>+'alt 4'!AE255</f>
        <v>36.003351424581766</v>
      </c>
      <c r="AF133" s="33">
        <f>+'alt 4'!AF255</f>
        <v>60</v>
      </c>
      <c r="AG133" s="33"/>
      <c r="AI133" s="33">
        <f>+'alt 5'!AE255</f>
        <v>37.030255800696345</v>
      </c>
      <c r="AJ133" s="33">
        <f>+'alt 5'!AF255</f>
        <v>60</v>
      </c>
      <c r="AK133" s="33"/>
      <c r="AM133" s="33">
        <f>+'alt 6'!AE255</f>
        <v>0</v>
      </c>
      <c r="AN133" s="33">
        <f>+'alt 6'!AF255</f>
        <v>60</v>
      </c>
      <c r="AO133" s="33"/>
    </row>
    <row r="134" spans="1:41" ht="12.75">
      <c r="A134" s="11"/>
      <c r="B134" s="11"/>
      <c r="C134" s="80"/>
      <c r="D134" s="80"/>
      <c r="E134" s="80"/>
      <c r="F134" s="158"/>
      <c r="G134" s="80"/>
      <c r="H134" s="80"/>
      <c r="I134" s="80"/>
      <c r="J134" s="158"/>
      <c r="K134" s="80"/>
      <c r="L134" s="80"/>
      <c r="M134" s="80"/>
      <c r="O134" s="11"/>
      <c r="P134" s="11"/>
      <c r="Q134" s="33"/>
      <c r="R134" s="33"/>
      <c r="S134" s="33"/>
      <c r="U134" s="33"/>
      <c r="V134" s="33"/>
      <c r="W134" s="33"/>
      <c r="Y134" s="33"/>
      <c r="Z134" s="33"/>
      <c r="AA134" s="33"/>
      <c r="AC134" s="11"/>
      <c r="AD134" s="11"/>
      <c r="AE134" s="33"/>
      <c r="AF134" s="33"/>
      <c r="AG134" s="33"/>
      <c r="AI134" s="33"/>
      <c r="AJ134" s="33"/>
      <c r="AK134" s="33"/>
      <c r="AM134" s="33"/>
      <c r="AN134" s="33"/>
      <c r="AO134" s="33"/>
    </row>
    <row r="135" spans="1:41" ht="12.75">
      <c r="A135" s="11" t="s">
        <v>329</v>
      </c>
      <c r="B135" s="11"/>
      <c r="C135" s="80"/>
      <c r="D135" s="80"/>
      <c r="E135" s="80"/>
      <c r="F135" s="158"/>
      <c r="G135" s="80"/>
      <c r="H135" s="80"/>
      <c r="I135" s="80"/>
      <c r="J135" s="158"/>
      <c r="K135" s="80"/>
      <c r="L135" s="80"/>
      <c r="M135" s="80"/>
      <c r="O135" s="11" t="s">
        <v>329</v>
      </c>
      <c r="P135" s="11"/>
      <c r="Q135" s="33"/>
      <c r="R135" s="33"/>
      <c r="S135" s="33"/>
      <c r="U135" s="33"/>
      <c r="V135" s="33"/>
      <c r="W135" s="33"/>
      <c r="Y135" s="33"/>
      <c r="Z135" s="33"/>
      <c r="AA135" s="33"/>
      <c r="AC135" s="11" t="s">
        <v>329</v>
      </c>
      <c r="AD135" s="11"/>
      <c r="AE135" s="33"/>
      <c r="AF135" s="33"/>
      <c r="AG135" s="33"/>
      <c r="AI135" s="33"/>
      <c r="AJ135" s="33"/>
      <c r="AK135" s="33"/>
      <c r="AM135" s="33"/>
      <c r="AN135" s="33"/>
      <c r="AO135" s="33"/>
    </row>
    <row r="136" spans="1:41" ht="12.75">
      <c r="A136" s="11" t="s">
        <v>332</v>
      </c>
      <c r="B136" s="11"/>
      <c r="C136" s="80">
        <f>+'alt 4'!C258</f>
        <v>12.02686996715554</v>
      </c>
      <c r="D136" s="80"/>
      <c r="E136" s="80"/>
      <c r="F136" s="158"/>
      <c r="G136" s="80">
        <f>+'alt 5'!C258</f>
        <v>12.02686996715554</v>
      </c>
      <c r="H136" s="80"/>
      <c r="I136" s="80"/>
      <c r="J136" s="158"/>
      <c r="K136" s="80">
        <f>+'alt 6'!C258</f>
        <v>12.02686996715554</v>
      </c>
      <c r="L136" s="80"/>
      <c r="M136" s="80"/>
      <c r="O136" s="11" t="s">
        <v>332</v>
      </c>
      <c r="P136" s="11"/>
      <c r="Q136" s="33">
        <f>+'alt 4'!Q258</f>
        <v>11.506941514866172</v>
      </c>
      <c r="R136" s="33"/>
      <c r="S136" s="33"/>
      <c r="U136" s="33">
        <f>+'alt 5'!Q258</f>
        <v>11.506941514866172</v>
      </c>
      <c r="V136" s="33"/>
      <c r="W136" s="33"/>
      <c r="Y136" s="33">
        <f>+'alt 6'!Q258</f>
        <v>11.506941514866172</v>
      </c>
      <c r="Z136" s="33"/>
      <c r="AA136" s="33"/>
      <c r="AC136" s="11" t="s">
        <v>332</v>
      </c>
      <c r="AD136" s="11"/>
      <c r="AE136" s="33">
        <f>+'alt 4'!AE258</f>
        <v>13.646710052389674</v>
      </c>
      <c r="AF136" s="33"/>
      <c r="AG136" s="33"/>
      <c r="AI136" s="33">
        <f>+'alt 5'!AE258</f>
        <v>13.646710052389674</v>
      </c>
      <c r="AJ136" s="33"/>
      <c r="AK136" s="33"/>
      <c r="AM136" s="33">
        <f>+'alt 6'!AE258</f>
        <v>13.646710052389674</v>
      </c>
      <c r="AN136" s="33"/>
      <c r="AO136" s="33"/>
    </row>
    <row r="137" spans="1:41" ht="12.75">
      <c r="A137" s="11" t="s">
        <v>333</v>
      </c>
      <c r="B137" s="11"/>
      <c r="C137" s="80">
        <f>+'alt 4'!C259</f>
        <v>13.672971633180815</v>
      </c>
      <c r="D137" s="80"/>
      <c r="E137" s="80"/>
      <c r="F137" s="158"/>
      <c r="G137" s="80">
        <f>+'alt 5'!C259</f>
        <v>13.941608534295728</v>
      </c>
      <c r="H137" s="80"/>
      <c r="I137" s="80"/>
      <c r="J137" s="158"/>
      <c r="K137" s="80">
        <f>+'alt 6'!C259</f>
        <v>11.765522542144327</v>
      </c>
      <c r="L137" s="80"/>
      <c r="M137" s="80"/>
      <c r="O137" s="11" t="s">
        <v>333</v>
      </c>
      <c r="P137" s="11"/>
      <c r="Q137" s="33">
        <f>+'alt 4'!Q259</f>
        <v>13.079718146557711</v>
      </c>
      <c r="R137" s="33"/>
      <c r="S137" s="33"/>
      <c r="U137" s="33">
        <f>+'alt 5'!Q259</f>
        <v>13.35805310024867</v>
      </c>
      <c r="V137" s="33"/>
      <c r="W137" s="33"/>
      <c r="Y137" s="33">
        <f>+'alt 6'!Q259</f>
        <v>9.989140294645022</v>
      </c>
      <c r="Z137" s="33"/>
      <c r="AA137" s="33"/>
      <c r="AC137" s="11" t="s">
        <v>333</v>
      </c>
      <c r="AD137" s="11"/>
      <c r="AE137" s="33">
        <f>+'alt 4'!AE259</f>
        <v>15.402567348191111</v>
      </c>
      <c r="AF137" s="33"/>
      <c r="AG137" s="33"/>
      <c r="AI137" s="33">
        <f>+'alt 5'!AE259</f>
        <v>15.62619829446583</v>
      </c>
      <c r="AJ137" s="33"/>
      <c r="AK137" s="33"/>
      <c r="AM137" s="33">
        <f>+'alt 6'!AE259</f>
        <v>17.442332118318873</v>
      </c>
      <c r="AN137" s="33"/>
      <c r="AO137" s="33"/>
    </row>
    <row r="138" spans="1:41" ht="12.75">
      <c r="A138" s="11"/>
      <c r="B138" s="11"/>
      <c r="C138" s="80"/>
      <c r="D138" s="80"/>
      <c r="E138" s="80"/>
      <c r="F138" s="158"/>
      <c r="G138" s="80"/>
      <c r="H138" s="80"/>
      <c r="I138" s="80"/>
      <c r="J138" s="158"/>
      <c r="K138" s="80"/>
      <c r="L138" s="80"/>
      <c r="M138" s="80"/>
      <c r="O138" s="11"/>
      <c r="P138" s="11"/>
      <c r="Q138" s="33"/>
      <c r="R138" s="33"/>
      <c r="S138" s="33"/>
      <c r="U138" s="33"/>
      <c r="V138" s="33"/>
      <c r="W138" s="33"/>
      <c r="Y138" s="33"/>
      <c r="Z138" s="33"/>
      <c r="AA138" s="33"/>
      <c r="AC138" s="11"/>
      <c r="AD138" s="11"/>
      <c r="AE138" s="33"/>
      <c r="AF138" s="33"/>
      <c r="AG138" s="33"/>
      <c r="AI138" s="33"/>
      <c r="AJ138" s="33"/>
      <c r="AK138" s="33"/>
      <c r="AM138" s="33"/>
      <c r="AN138" s="33"/>
      <c r="AO138" s="33"/>
    </row>
    <row r="139" spans="1:41" ht="12.75">
      <c r="A139" s="26" t="s">
        <v>477</v>
      </c>
      <c r="B139" s="11"/>
      <c r="C139" s="80"/>
      <c r="D139" s="80"/>
      <c r="E139" s="80"/>
      <c r="F139" s="158"/>
      <c r="G139" s="80"/>
      <c r="H139" s="80"/>
      <c r="I139" s="80"/>
      <c r="J139" s="158"/>
      <c r="K139" s="80"/>
      <c r="L139" s="80"/>
      <c r="M139" s="80"/>
      <c r="O139" s="26" t="s">
        <v>418</v>
      </c>
      <c r="P139" s="11"/>
      <c r="Q139" s="33"/>
      <c r="R139" s="33"/>
      <c r="S139" s="33"/>
      <c r="U139" s="33"/>
      <c r="V139" s="33"/>
      <c r="W139" s="33"/>
      <c r="Y139" s="33"/>
      <c r="Z139" s="33"/>
      <c r="AA139" s="33"/>
      <c r="AC139" s="26" t="s">
        <v>418</v>
      </c>
      <c r="AD139" s="11"/>
      <c r="AE139" s="33"/>
      <c r="AF139" s="33"/>
      <c r="AG139" s="33"/>
      <c r="AI139" s="33"/>
      <c r="AJ139" s="33"/>
      <c r="AK139" s="33"/>
      <c r="AM139" s="33"/>
      <c r="AN139" s="33"/>
      <c r="AO139" s="33"/>
    </row>
    <row r="140" spans="1:41" ht="12.75">
      <c r="A140" s="11" t="s">
        <v>238</v>
      </c>
      <c r="B140" s="11"/>
      <c r="C140" s="68">
        <f>+C148/+C147</f>
        <v>1911.25402878588</v>
      </c>
      <c r="D140" s="68">
        <f>+D148/+D147</f>
        <v>4119.128327695024</v>
      </c>
      <c r="E140" s="68"/>
      <c r="F140" s="152"/>
      <c r="G140" s="68">
        <f>+G148/+G147</f>
        <v>2164.8538504727776</v>
      </c>
      <c r="H140" s="68">
        <f>+H148/+H147</f>
        <v>4248.827642453348</v>
      </c>
      <c r="I140" s="68"/>
      <c r="J140" s="156"/>
      <c r="K140" s="68">
        <f>+K148/+K147</f>
        <v>0</v>
      </c>
      <c r="L140" s="68">
        <f>+L148/+L147</f>
        <v>9832.411643878675</v>
      </c>
      <c r="M140" s="68"/>
      <c r="O140" s="11" t="s">
        <v>238</v>
      </c>
      <c r="P140" s="11"/>
      <c r="Q140" s="68">
        <f>+Q148/+Q147</f>
        <v>1933.6214204967246</v>
      </c>
      <c r="R140" s="68">
        <f>+R148/+R147</f>
        <v>4637.300247849938</v>
      </c>
      <c r="S140" s="68"/>
      <c r="T140" s="68"/>
      <c r="U140" s="68">
        <f>+U148/+U147</f>
        <v>2221.436711018553</v>
      </c>
      <c r="V140" s="68">
        <f>+V148/+V147</f>
        <v>4785.008640816619</v>
      </c>
      <c r="W140" s="68"/>
      <c r="X140" s="69"/>
      <c r="Y140" s="68">
        <f>+Y148/Z158</f>
        <v>0</v>
      </c>
      <c r="Z140" s="68">
        <f>+Z148/Z158</f>
        <v>33111.81589024143</v>
      </c>
      <c r="AA140" s="68"/>
      <c r="AC140" s="11" t="s">
        <v>238</v>
      </c>
      <c r="AD140" s="11"/>
      <c r="AE140" s="68">
        <f>+AE148/+AE147</f>
        <v>1607.6761975602465</v>
      </c>
      <c r="AF140" s="68">
        <f>+AF148/+AF147</f>
        <v>2603.9240308542776</v>
      </c>
      <c r="AG140" s="68"/>
      <c r="AH140" s="68"/>
      <c r="AI140" s="68">
        <f>+AI148/+AI147</f>
        <v>1761.9591028367854</v>
      </c>
      <c r="AJ140" s="68">
        <f>+AJ148/+AJ147</f>
        <v>2682.794543497942</v>
      </c>
      <c r="AK140" s="68"/>
      <c r="AL140" s="69"/>
      <c r="AM140" s="68">
        <f>+AM148/+AM147</f>
        <v>0</v>
      </c>
      <c r="AN140" s="68">
        <f>+AN148/+AN147</f>
        <v>6274.590727263786</v>
      </c>
      <c r="AO140" s="68"/>
    </row>
    <row r="141" spans="1:41" ht="12.75">
      <c r="A141" s="11" t="s">
        <v>240</v>
      </c>
      <c r="B141" s="11"/>
      <c r="C141" s="68">
        <f>+C149/+C147</f>
        <v>33.45537194627052</v>
      </c>
      <c r="D141" s="68">
        <f>+D149/+D147</f>
        <v>0</v>
      </c>
      <c r="E141" s="68"/>
      <c r="F141" s="152"/>
      <c r="G141" s="68">
        <f>+G149/+G147</f>
        <v>45.24516396896093</v>
      </c>
      <c r="H141" s="68">
        <f>+H149/+H147</f>
        <v>0</v>
      </c>
      <c r="I141" s="68"/>
      <c r="J141" s="156"/>
      <c r="K141" s="68">
        <f>+K149/+K147</f>
        <v>0</v>
      </c>
      <c r="L141" s="68">
        <f>+L149/+L147</f>
        <v>-18.36993064874472</v>
      </c>
      <c r="M141" s="68"/>
      <c r="O141" s="11" t="s">
        <v>240</v>
      </c>
      <c r="P141" s="11"/>
      <c r="Q141" s="68">
        <f>+Q149/+Q147</f>
        <v>31.49116695921441</v>
      </c>
      <c r="R141" s="68">
        <f>+R149/+R147</f>
        <v>0</v>
      </c>
      <c r="S141" s="68"/>
      <c r="T141" s="68"/>
      <c r="U141" s="68">
        <f>+U149/+U147</f>
        <v>43.567962579871725</v>
      </c>
      <c r="V141" s="68">
        <f>+V149/+V147</f>
        <v>0</v>
      </c>
      <c r="W141" s="68"/>
      <c r="X141" s="69"/>
      <c r="Y141" s="68">
        <f>+Y149/Z158</f>
        <v>0</v>
      </c>
      <c r="Z141" s="68">
        <f>+Z149/Z158</f>
        <v>-395.38753433497004</v>
      </c>
      <c r="AA141" s="68"/>
      <c r="AC141" s="11" t="s">
        <v>240</v>
      </c>
      <c r="AD141" s="11"/>
      <c r="AE141" s="68">
        <f>+AE149/+AE147</f>
        <v>35.216064157095</v>
      </c>
      <c r="AF141" s="68">
        <f>+AF149/+AF147</f>
        <v>0</v>
      </c>
      <c r="AG141" s="68"/>
      <c r="AH141" s="68"/>
      <c r="AI141" s="68">
        <f>+AI149/+AI147</f>
        <v>45.028470801918644</v>
      </c>
      <c r="AJ141" s="68">
        <f>+AJ149/+AJ147</f>
        <v>0</v>
      </c>
      <c r="AK141" s="68"/>
      <c r="AL141" s="69"/>
      <c r="AM141" s="68">
        <f>+AM149/+AM147</f>
        <v>0</v>
      </c>
      <c r="AN141" s="68">
        <f>+AN149/+AN147</f>
        <v>188.44608484748218</v>
      </c>
      <c r="AO141" s="68"/>
    </row>
    <row r="142" spans="1:41" ht="12.75">
      <c r="A142" s="11" t="s">
        <v>242</v>
      </c>
      <c r="B142" s="11"/>
      <c r="C142" s="68">
        <f>+C150/+C147</f>
        <v>34.76885862708068</v>
      </c>
      <c r="D142" s="68">
        <f>+D150/+D147</f>
        <v>0</v>
      </c>
      <c r="E142" s="68"/>
      <c r="F142" s="152"/>
      <c r="G142" s="68">
        <f>+G150/+G147</f>
        <v>47.82176811976013</v>
      </c>
      <c r="H142" s="68">
        <f>+H150/+H147</f>
        <v>0</v>
      </c>
      <c r="I142" s="68"/>
      <c r="J142" s="156"/>
      <c r="K142" s="68">
        <f>+K150/+K147</f>
        <v>0</v>
      </c>
      <c r="L142" s="68">
        <f>+L150/+L147</f>
        <v>0</v>
      </c>
      <c r="M142" s="68"/>
      <c r="O142" s="11" t="s">
        <v>242</v>
      </c>
      <c r="P142" s="11"/>
      <c r="Q142" s="68">
        <f>+Q150/+Q147</f>
        <v>30.850574349846607</v>
      </c>
      <c r="R142" s="68">
        <f>+R150/+R147</f>
        <v>0</v>
      </c>
      <c r="S142" s="68"/>
      <c r="T142" s="68"/>
      <c r="U142" s="68">
        <f>+U150/+U147</f>
        <v>43.48704877940392</v>
      </c>
      <c r="V142" s="68">
        <f>+V150/+V147</f>
        <v>0</v>
      </c>
      <c r="W142" s="68"/>
      <c r="X142" s="69"/>
      <c r="Y142" s="68">
        <f>+Y150/Z158</f>
        <v>0</v>
      </c>
      <c r="Z142" s="68">
        <f>+Z150/Z158</f>
        <v>0</v>
      </c>
      <c r="AA142" s="68"/>
      <c r="AC142" s="11" t="s">
        <v>242</v>
      </c>
      <c r="AD142" s="11"/>
      <c r="AE142" s="68">
        <f>+AE150/+AE147</f>
        <v>38.90134642429469</v>
      </c>
      <c r="AF142" s="68">
        <f>+AF150/+AF147</f>
        <v>0</v>
      </c>
      <c r="AG142" s="68"/>
      <c r="AH142" s="68"/>
      <c r="AI142" s="68">
        <f>+AI150/+AI147</f>
        <v>50.19706323770131</v>
      </c>
      <c r="AJ142" s="68">
        <f>+AJ150/+AJ147</f>
        <v>0</v>
      </c>
      <c r="AK142" s="68"/>
      <c r="AL142" s="69"/>
      <c r="AM142" s="68">
        <f>+AM150/+AM147</f>
        <v>0</v>
      </c>
      <c r="AN142" s="68">
        <f>+AN150/+AN147</f>
        <v>0</v>
      </c>
      <c r="AO142" s="68"/>
    </row>
    <row r="143" spans="1:41" ht="12.75">
      <c r="A143" s="11" t="s">
        <v>244</v>
      </c>
      <c r="B143" s="11"/>
      <c r="C143" s="68">
        <f>+C151/+C147</f>
        <v>598.7181370180791</v>
      </c>
      <c r="D143" s="68">
        <f>+D151/+D147</f>
        <v>0</v>
      </c>
      <c r="E143" s="68"/>
      <c r="F143" s="152"/>
      <c r="G143" s="68">
        <f>+G151/+G147</f>
        <v>671.439069066874</v>
      </c>
      <c r="H143" s="68">
        <f>+H151/+H147</f>
        <v>0</v>
      </c>
      <c r="I143" s="68"/>
      <c r="J143" s="156"/>
      <c r="K143" s="68">
        <f>+K151/+K147</f>
        <v>-138.01388959351712</v>
      </c>
      <c r="L143" s="68">
        <f>+L151/+L147</f>
        <v>0</v>
      </c>
      <c r="M143" s="68"/>
      <c r="O143" s="11" t="s">
        <v>244</v>
      </c>
      <c r="P143" s="11"/>
      <c r="Q143" s="68">
        <f>+Q151/+Q147</f>
        <v>650.0664923377019</v>
      </c>
      <c r="R143" s="68">
        <f>+R151/+R147</f>
        <v>0</v>
      </c>
      <c r="S143" s="68"/>
      <c r="T143" s="68"/>
      <c r="U143" s="68">
        <f>+U151/+U147</f>
        <v>736.5559501530952</v>
      </c>
      <c r="V143" s="68">
        <f>+V151/+V147</f>
        <v>0</v>
      </c>
      <c r="W143" s="68"/>
      <c r="X143" s="69"/>
      <c r="Y143" s="68">
        <f>+Y151/Z158</f>
        <v>-3377.6259787528434</v>
      </c>
      <c r="Z143" s="68">
        <f>+Z151/Z158</f>
        <v>0</v>
      </c>
      <c r="AA143" s="68"/>
      <c r="AC143" s="11" t="s">
        <v>244</v>
      </c>
      <c r="AD143" s="11"/>
      <c r="AE143" s="68">
        <f>+AE151/+AE147</f>
        <v>439.5518595088019</v>
      </c>
      <c r="AF143" s="68">
        <f>+AF151/+AF147</f>
        <v>0</v>
      </c>
      <c r="AG143" s="68"/>
      <c r="AH143" s="68"/>
      <c r="AI143" s="68">
        <f>+AI151/+AI147</f>
        <v>479.9900923345746</v>
      </c>
      <c r="AJ143" s="68">
        <f>+AJ151/+AJ147</f>
        <v>0</v>
      </c>
      <c r="AK143" s="68"/>
      <c r="AL143" s="69"/>
      <c r="AM143" s="68">
        <f>+AM151/+AM147</f>
        <v>697.3236025768673</v>
      </c>
      <c r="AN143" s="68">
        <f>+AN151/+AN147</f>
        <v>0</v>
      </c>
      <c r="AO143" s="68"/>
    </row>
    <row r="144" spans="1:41" ht="12.75">
      <c r="A144" s="11" t="s">
        <v>246</v>
      </c>
      <c r="B144" s="11"/>
      <c r="C144" s="68">
        <f>+C152/+C147</f>
        <v>4.108130898393986</v>
      </c>
      <c r="D144" s="68">
        <f>+D152/+D147</f>
        <v>0</v>
      </c>
      <c r="E144" s="68"/>
      <c r="F144" s="152"/>
      <c r="G144" s="68">
        <f>+G152/+G147</f>
        <v>5.424373728996946</v>
      </c>
      <c r="H144" s="68">
        <f>+H152/+H147</f>
        <v>0</v>
      </c>
      <c r="I144" s="68"/>
      <c r="J144" s="156"/>
      <c r="K144" s="68">
        <f>+K152/+K147</f>
        <v>0.14104038122162824</v>
      </c>
      <c r="L144" s="68">
        <f>+L152/+L147</f>
        <v>0</v>
      </c>
      <c r="M144" s="68"/>
      <c r="O144" s="11" t="s">
        <v>246</v>
      </c>
      <c r="P144" s="11"/>
      <c r="Q144" s="68">
        <f>+Q152/+Q147</f>
        <v>4.195543738253641</v>
      </c>
      <c r="R144" s="68">
        <f>+R152/+R147</f>
        <v>0</v>
      </c>
      <c r="S144" s="68"/>
      <c r="T144" s="68"/>
      <c r="U144" s="68">
        <f>+U152/+U147</f>
        <v>5.642298699563095</v>
      </c>
      <c r="V144" s="68">
        <f>+V152/+V147</f>
        <v>0</v>
      </c>
      <c r="W144" s="68"/>
      <c r="X144" s="69"/>
      <c r="Y144" s="68">
        <f>+Y152/Z158</f>
        <v>0</v>
      </c>
      <c r="Z144" s="68">
        <f>+Z152/Z158</f>
        <v>0</v>
      </c>
      <c r="AA144" s="68"/>
      <c r="AC144" s="11" t="s">
        <v>246</v>
      </c>
      <c r="AD144" s="11"/>
      <c r="AE144" s="68">
        <f>+AE152/+AE147</f>
        <v>3.6692519071794925</v>
      </c>
      <c r="AF144" s="68">
        <f>+AF152/+AF147</f>
        <v>0</v>
      </c>
      <c r="AG144" s="68"/>
      <c r="AH144" s="68"/>
      <c r="AI144" s="68">
        <f>+AI152/+AI147</f>
        <v>4.615775464602783</v>
      </c>
      <c r="AJ144" s="68">
        <f>+AJ152/+AJ147</f>
        <v>0</v>
      </c>
      <c r="AK144" s="68"/>
      <c r="AL144" s="69"/>
      <c r="AM144" s="68">
        <f>+AM152/+AM147</f>
        <v>0</v>
      </c>
      <c r="AN144" s="68">
        <f>+AN152/+AN147</f>
        <v>0</v>
      </c>
      <c r="AO144" s="68"/>
    </row>
    <row r="145" spans="1:41" ht="12.75">
      <c r="A145" s="11" t="s">
        <v>248</v>
      </c>
      <c r="B145" s="11"/>
      <c r="C145" s="68">
        <f>+C153/+C147</f>
        <v>2582.3045272757045</v>
      </c>
      <c r="D145" s="68">
        <f>+D153/+D147</f>
        <v>4119.128327695024</v>
      </c>
      <c r="E145" s="68">
        <f>+C145+D145</f>
        <v>6701.432854970729</v>
      </c>
      <c r="F145" s="152"/>
      <c r="G145" s="68">
        <f>+G153/+G147</f>
        <v>2934.78422535737</v>
      </c>
      <c r="H145" s="68">
        <f>+H153/+H147</f>
        <v>4248.827642453348</v>
      </c>
      <c r="I145" s="68">
        <f>+G145+H145</f>
        <v>7183.611867810718</v>
      </c>
      <c r="J145" s="156"/>
      <c r="K145" s="68">
        <f>+K153/+K147</f>
        <v>-137.8728492122955</v>
      </c>
      <c r="L145" s="68">
        <f>+L153/+L147</f>
        <v>9814.04171322993</v>
      </c>
      <c r="M145" s="68">
        <f>+K145+L145</f>
        <v>9676.168864017634</v>
      </c>
      <c r="O145" s="11" t="s">
        <v>248</v>
      </c>
      <c r="P145" s="11"/>
      <c r="Q145" s="68">
        <f>+Q153/+Q147</f>
        <v>2650.225197881741</v>
      </c>
      <c r="R145" s="68">
        <f>+R153/+R147</f>
        <v>4637.300247849938</v>
      </c>
      <c r="S145" s="68">
        <f>+Q145+R145</f>
        <v>7287.52544573168</v>
      </c>
      <c r="T145" s="68"/>
      <c r="U145" s="68">
        <f>+U153/+U147</f>
        <v>3050.689971230487</v>
      </c>
      <c r="V145" s="68">
        <f>+V153/+V147</f>
        <v>4785.008640816619</v>
      </c>
      <c r="W145" s="68">
        <f>+U145+V145</f>
        <v>7835.6986120471065</v>
      </c>
      <c r="X145" s="69"/>
      <c r="Y145" s="68">
        <f>+Y153/Z158</f>
        <v>-3377.6259787528434</v>
      </c>
      <c r="Z145" s="68">
        <f>+Z153/Z158</f>
        <v>32716.42835590646</v>
      </c>
      <c r="AA145" s="68">
        <f>+Y145+Z145</f>
        <v>29338.802377153617</v>
      </c>
      <c r="AC145" s="11" t="s">
        <v>248</v>
      </c>
      <c r="AD145" s="11"/>
      <c r="AE145" s="68">
        <f>+AE153/+AE147</f>
        <v>2125.0147195576174</v>
      </c>
      <c r="AF145" s="68">
        <f>+AF153/+AF147</f>
        <v>2603.9240308542776</v>
      </c>
      <c r="AG145" s="68">
        <f>+AE145+AF145</f>
        <v>4728.938750411895</v>
      </c>
      <c r="AH145" s="68"/>
      <c r="AI145" s="68">
        <f>+AI153/+AI147</f>
        <v>2341.7905046755823</v>
      </c>
      <c r="AJ145" s="68">
        <f>+AJ153/+AJ147</f>
        <v>2682.794543497942</v>
      </c>
      <c r="AK145" s="68">
        <f>+AI145+AJ145</f>
        <v>5024.585048173524</v>
      </c>
      <c r="AL145" s="69"/>
      <c r="AM145" s="68">
        <f>+AM153/+AM147</f>
        <v>697.3236025768673</v>
      </c>
      <c r="AN145" s="68">
        <f>+AN153/+AN147</f>
        <v>6463.036812111268</v>
      </c>
      <c r="AO145" s="68">
        <f>+AM145+AN145</f>
        <v>7160.360414688135</v>
      </c>
    </row>
    <row r="146" spans="1:41" ht="12.75">
      <c r="A146" s="18"/>
      <c r="B146" s="18"/>
      <c r="C146" s="18"/>
      <c r="D146" s="18"/>
      <c r="E146" s="18"/>
      <c r="F146" s="143"/>
      <c r="G146" s="18"/>
      <c r="H146" s="18"/>
      <c r="I146" s="18"/>
      <c r="J146" s="144"/>
      <c r="K146" s="49"/>
      <c r="L146" s="49"/>
      <c r="M146" s="49"/>
      <c r="O146" s="18"/>
      <c r="P146" s="18"/>
      <c r="Q146" s="18"/>
      <c r="R146" s="18"/>
      <c r="S146" s="18"/>
      <c r="T146" s="18"/>
      <c r="U146" s="18"/>
      <c r="V146" s="18"/>
      <c r="W146" s="18"/>
      <c r="X146" s="49"/>
      <c r="Y146" s="49">
        <f>+'alt 3'!Q312</f>
        <v>94.12012898889603</v>
      </c>
      <c r="Z146" s="49">
        <f>+'alt 3'!R312</f>
        <v>197.19557153600664</v>
      </c>
      <c r="AA146" s="49"/>
      <c r="AC146" s="18"/>
      <c r="AD146" s="18"/>
      <c r="AE146" s="18"/>
      <c r="AF146" s="18"/>
      <c r="AG146" s="18"/>
      <c r="AH146" s="18"/>
      <c r="AI146" s="18"/>
      <c r="AJ146" s="18"/>
      <c r="AK146" s="18"/>
      <c r="AL146" s="49"/>
      <c r="AM146" s="49"/>
      <c r="AN146" s="49"/>
      <c r="AO146" s="49"/>
    </row>
    <row r="147" spans="1:41" ht="12.75">
      <c r="A147" s="26" t="s">
        <v>520</v>
      </c>
      <c r="B147" s="64"/>
      <c r="C147" s="113">
        <f>+'Sensitivity Anal'!B5</f>
        <v>9</v>
      </c>
      <c r="D147" s="114">
        <f>+C147</f>
        <v>9</v>
      </c>
      <c r="E147" s="11"/>
      <c r="F147" s="153"/>
      <c r="G147" s="114">
        <f>+C147</f>
        <v>9</v>
      </c>
      <c r="H147" s="114">
        <f>+C147</f>
        <v>9</v>
      </c>
      <c r="I147" s="11"/>
      <c r="J147" s="144"/>
      <c r="K147" s="115">
        <f>+C147</f>
        <v>9</v>
      </c>
      <c r="L147" s="115">
        <f>+C147</f>
        <v>9</v>
      </c>
      <c r="M147" s="49"/>
      <c r="O147" s="26" t="s">
        <v>520</v>
      </c>
      <c r="P147" s="64"/>
      <c r="Q147" s="113">
        <f>+C147</f>
        <v>9</v>
      </c>
      <c r="R147" s="114">
        <f>+Q147</f>
        <v>9</v>
      </c>
      <c r="S147" s="11"/>
      <c r="T147" s="11"/>
      <c r="U147" s="114">
        <f>+Q147</f>
        <v>9</v>
      </c>
      <c r="V147" s="114">
        <f>+Q147</f>
        <v>9</v>
      </c>
      <c r="W147" s="11"/>
      <c r="X147" s="49"/>
      <c r="Y147" s="49">
        <f>+'alt 3'!Q313</f>
        <v>0</v>
      </c>
      <c r="Z147" s="49">
        <f>+'alt 3'!R313</f>
        <v>0</v>
      </c>
      <c r="AA147" s="49"/>
      <c r="AC147" s="26" t="s">
        <v>520</v>
      </c>
      <c r="AD147" s="64"/>
      <c r="AE147" s="113">
        <f>+'Tables 2-7'!C147</f>
        <v>9</v>
      </c>
      <c r="AF147" s="114">
        <f>+AE147</f>
        <v>9</v>
      </c>
      <c r="AG147" s="11"/>
      <c r="AH147" s="11"/>
      <c r="AI147" s="114">
        <f>+AE147</f>
        <v>9</v>
      </c>
      <c r="AJ147" s="114">
        <f>+AE147</f>
        <v>9</v>
      </c>
      <c r="AK147" s="11"/>
      <c r="AL147" s="49"/>
      <c r="AM147" s="115">
        <f>+AE147</f>
        <v>9</v>
      </c>
      <c r="AN147" s="115">
        <f>+AE147</f>
        <v>9</v>
      </c>
      <c r="AO147" s="49"/>
    </row>
    <row r="148" spans="1:41" ht="12.75">
      <c r="A148" s="11" t="s">
        <v>238</v>
      </c>
      <c r="B148" s="11"/>
      <c r="C148" s="67">
        <f>+'alt 4'!C262</f>
        <v>17201.28625907292</v>
      </c>
      <c r="D148" s="67">
        <f>+'alt 4'!D262</f>
        <v>37072.15494925522</v>
      </c>
      <c r="E148" s="67"/>
      <c r="F148" s="158"/>
      <c r="G148" s="67">
        <f>+'alt 5'!C262</f>
        <v>19483.684654254997</v>
      </c>
      <c r="H148" s="67">
        <f>+'alt 5'!D262</f>
        <v>38239.44878208013</v>
      </c>
      <c r="I148" s="67"/>
      <c r="J148" s="158"/>
      <c r="K148" s="67">
        <f>+'alt 6'!C262</f>
        <v>0</v>
      </c>
      <c r="L148" s="67">
        <f>+'alt 6'!D262</f>
        <v>88491.70479490807</v>
      </c>
      <c r="M148" s="67"/>
      <c r="O148" s="11" t="s">
        <v>238</v>
      </c>
      <c r="P148" s="11"/>
      <c r="Q148" s="37">
        <f>+'alt 4'!Q262</f>
        <v>17402.592784470522</v>
      </c>
      <c r="R148" s="37">
        <f>+'alt 4'!R262</f>
        <v>41735.70223064945</v>
      </c>
      <c r="S148" s="37"/>
      <c r="U148" s="37">
        <f>+'alt 5'!Q262</f>
        <v>19992.930399166977</v>
      </c>
      <c r="V148" s="37">
        <f>+'alt 5'!R262</f>
        <v>43065.07776734957</v>
      </c>
      <c r="W148" s="37"/>
      <c r="Y148" s="37">
        <f>+'alt 6'!Q262</f>
        <v>0</v>
      </c>
      <c r="Z148" s="37">
        <f>+'alt 6'!R262</f>
        <v>99335.44767072429</v>
      </c>
      <c r="AA148" s="37"/>
      <c r="AC148" s="11" t="s">
        <v>238</v>
      </c>
      <c r="AD148" s="11"/>
      <c r="AE148" s="37">
        <f>+'alt 4'!AE262</f>
        <v>14469.085778042217</v>
      </c>
      <c r="AF148" s="37">
        <f>+'alt 4'!AF262</f>
        <v>23435.3162776885</v>
      </c>
      <c r="AG148" s="37"/>
      <c r="AI148" s="37">
        <f>+'alt 5'!AE262</f>
        <v>15857.631925531068</v>
      </c>
      <c r="AJ148" s="37">
        <f>+'alt 5'!AF262</f>
        <v>24145.150891481477</v>
      </c>
      <c r="AK148" s="37"/>
      <c r="AM148" s="37">
        <f>+'alt 6'!AE262</f>
        <v>0</v>
      </c>
      <c r="AN148" s="37">
        <f>+'alt 6'!AF262</f>
        <v>56471.31654537407</v>
      </c>
      <c r="AO148" s="37"/>
    </row>
    <row r="149" spans="1:41" ht="12.75">
      <c r="A149" s="11" t="s">
        <v>240</v>
      </c>
      <c r="B149" s="11"/>
      <c r="C149" s="67">
        <f>+'alt 4'!C263</f>
        <v>301.09834751643467</v>
      </c>
      <c r="D149" s="67">
        <f>+'alt 4'!D263</f>
        <v>0</v>
      </c>
      <c r="E149" s="67"/>
      <c r="F149" s="158"/>
      <c r="G149" s="67">
        <f>+'alt 5'!C263</f>
        <v>407.20647572064837</v>
      </c>
      <c r="H149" s="67">
        <f>+'alt 5'!D263</f>
        <v>0</v>
      </c>
      <c r="I149" s="67"/>
      <c r="J149" s="158"/>
      <c r="K149" s="67">
        <f>+'alt 6'!C263</f>
        <v>0</v>
      </c>
      <c r="L149" s="67">
        <f>+'alt 6'!D263</f>
        <v>-165.32937583870248</v>
      </c>
      <c r="M149" s="67"/>
      <c r="O149" s="11" t="s">
        <v>240</v>
      </c>
      <c r="P149" s="11"/>
      <c r="Q149" s="37">
        <f>+'alt 4'!Q263</f>
        <v>283.4205026329297</v>
      </c>
      <c r="R149" s="37">
        <f>+'alt 4'!R263</f>
        <v>0</v>
      </c>
      <c r="S149" s="37"/>
      <c r="U149" s="37">
        <f>+'alt 5'!Q263</f>
        <v>392.11166321884554</v>
      </c>
      <c r="V149" s="37">
        <f>+'alt 5'!R263</f>
        <v>0</v>
      </c>
      <c r="W149" s="37"/>
      <c r="Y149" s="37">
        <f>+'alt 6'!Q263</f>
        <v>0</v>
      </c>
      <c r="Z149" s="37">
        <f>+'alt 6'!R263</f>
        <v>-1186.1626030049101</v>
      </c>
      <c r="AA149" s="37"/>
      <c r="AC149" s="11" t="s">
        <v>240</v>
      </c>
      <c r="AD149" s="11"/>
      <c r="AE149" s="37">
        <f>+'alt 4'!AE263</f>
        <v>316.944577413855</v>
      </c>
      <c r="AF149" s="37">
        <f>+'alt 4'!AF263</f>
        <v>0</v>
      </c>
      <c r="AG149" s="37"/>
      <c r="AI149" s="37">
        <f>+'alt 5'!AE263</f>
        <v>405.25623721726777</v>
      </c>
      <c r="AJ149" s="37">
        <f>+'alt 5'!AF263</f>
        <v>0</v>
      </c>
      <c r="AK149" s="37"/>
      <c r="AM149" s="37">
        <f>+'alt 6'!AE263</f>
        <v>0</v>
      </c>
      <c r="AN149" s="37">
        <f>+'alt 6'!AF263</f>
        <v>1696.0147636273396</v>
      </c>
      <c r="AO149" s="37"/>
    </row>
    <row r="150" spans="1:41" ht="12.75">
      <c r="A150" s="11" t="s">
        <v>242</v>
      </c>
      <c r="B150" s="11"/>
      <c r="C150" s="67">
        <f>+'alt 4'!C264</f>
        <v>312.91972764372616</v>
      </c>
      <c r="D150" s="67">
        <f>+'alt 4'!D264</f>
        <v>0</v>
      </c>
      <c r="E150" s="67"/>
      <c r="F150" s="158"/>
      <c r="G150" s="67">
        <f>+'alt 5'!C264</f>
        <v>430.39591307784116</v>
      </c>
      <c r="H150" s="67">
        <f>+'alt 5'!D264</f>
        <v>0</v>
      </c>
      <c r="I150" s="67"/>
      <c r="J150" s="158"/>
      <c r="K150" s="67">
        <f>+'alt 6'!C264</f>
        <v>0</v>
      </c>
      <c r="L150" s="67">
        <f>+'alt 6'!D264</f>
        <v>0</v>
      </c>
      <c r="M150" s="67"/>
      <c r="O150" s="11" t="s">
        <v>242</v>
      </c>
      <c r="P150" s="11"/>
      <c r="Q150" s="37">
        <f>+'alt 4'!Q264</f>
        <v>277.65516914861945</v>
      </c>
      <c r="R150" s="37">
        <f>+'alt 4'!R264</f>
        <v>0</v>
      </c>
      <c r="S150" s="37"/>
      <c r="U150" s="37">
        <f>+'alt 5'!Q264</f>
        <v>391.3834390146353</v>
      </c>
      <c r="V150" s="37">
        <f>+'alt 5'!R264</f>
        <v>0</v>
      </c>
      <c r="W150" s="37"/>
      <c r="Y150" s="37">
        <f>+'alt 6'!Q264</f>
        <v>0</v>
      </c>
      <c r="Z150" s="37">
        <f>+'alt 6'!R264</f>
        <v>0</v>
      </c>
      <c r="AA150" s="37"/>
      <c r="AC150" s="11" t="s">
        <v>242</v>
      </c>
      <c r="AD150" s="11"/>
      <c r="AE150" s="37">
        <f>+'alt 4'!AE264</f>
        <v>350.11211781865217</v>
      </c>
      <c r="AF150" s="37">
        <f>+'alt 4'!AF264</f>
        <v>0</v>
      </c>
      <c r="AG150" s="37"/>
      <c r="AI150" s="37">
        <f>+'alt 5'!AE264</f>
        <v>451.77356913931175</v>
      </c>
      <c r="AJ150" s="37">
        <f>+'alt 5'!AF264</f>
        <v>0</v>
      </c>
      <c r="AK150" s="37"/>
      <c r="AM150" s="37">
        <f>+'alt 6'!AE264</f>
        <v>0</v>
      </c>
      <c r="AN150" s="37">
        <f>+'alt 6'!AF264</f>
        <v>0</v>
      </c>
      <c r="AO150" s="37"/>
    </row>
    <row r="151" spans="1:41" ht="12.75">
      <c r="A151" s="11" t="s">
        <v>244</v>
      </c>
      <c r="B151" s="11"/>
      <c r="C151" s="82">
        <f>+'alt 4'!C265</f>
        <v>5388.463233162712</v>
      </c>
      <c r="D151" s="82">
        <f>+'alt 4'!D265</f>
        <v>0</v>
      </c>
      <c r="E151" s="82"/>
      <c r="F151" s="159"/>
      <c r="G151" s="82">
        <f>+'alt 5'!C265</f>
        <v>6042.9516216018665</v>
      </c>
      <c r="H151" s="82">
        <f>+'alt 5'!D265</f>
        <v>0</v>
      </c>
      <c r="I151" s="82"/>
      <c r="J151" s="164"/>
      <c r="K151" s="82">
        <f>+'alt 6'!C265</f>
        <v>-1242.1250063416542</v>
      </c>
      <c r="L151" s="82">
        <f>+'alt 6'!D265</f>
        <v>0</v>
      </c>
      <c r="M151" s="82"/>
      <c r="O151" s="11" t="s">
        <v>244</v>
      </c>
      <c r="P151" s="11"/>
      <c r="Q151" s="70">
        <f>+'alt 4'!Q265</f>
        <v>5850.598431039317</v>
      </c>
      <c r="R151" s="70">
        <f>+'alt 4'!R265</f>
        <v>0</v>
      </c>
      <c r="S151" s="70"/>
      <c r="T151" s="70"/>
      <c r="U151" s="70">
        <f>+'alt 5'!Q265</f>
        <v>6629.003551377857</v>
      </c>
      <c r="V151" s="70">
        <f>+'alt 5'!R265</f>
        <v>0</v>
      </c>
      <c r="W151" s="70"/>
      <c r="X151" s="71"/>
      <c r="Y151" s="70">
        <f>+'alt 6'!Q265</f>
        <v>-10132.87793625853</v>
      </c>
      <c r="Z151" s="70">
        <f>+'alt 6'!R265</f>
        <v>0</v>
      </c>
      <c r="AA151" s="70"/>
      <c r="AC151" s="11" t="s">
        <v>244</v>
      </c>
      <c r="AD151" s="11"/>
      <c r="AE151" s="70">
        <f>+'alt 4'!AE265</f>
        <v>3955.966735579217</v>
      </c>
      <c r="AF151" s="70">
        <f>+'alt 4'!AF265</f>
        <v>0</v>
      </c>
      <c r="AG151" s="70"/>
      <c r="AH151" s="70"/>
      <c r="AI151" s="70">
        <f>+'alt 5'!AE265</f>
        <v>4319.9108310111715</v>
      </c>
      <c r="AJ151" s="70">
        <f>+'alt 5'!AF265</f>
        <v>0</v>
      </c>
      <c r="AK151" s="70"/>
      <c r="AL151" s="71"/>
      <c r="AM151" s="70">
        <f>+'alt 6'!AE265</f>
        <v>6275.912423191806</v>
      </c>
      <c r="AN151" s="70">
        <f>+'alt 6'!AF265</f>
        <v>0</v>
      </c>
      <c r="AO151" s="70"/>
    </row>
    <row r="152" spans="1:41" ht="12.75">
      <c r="A152" s="11" t="s">
        <v>246</v>
      </c>
      <c r="B152" s="11"/>
      <c r="C152" s="82">
        <f>+'alt 4'!C266</f>
        <v>36.973178085545875</v>
      </c>
      <c r="D152" s="82">
        <f>+'alt 4'!D266</f>
        <v>0</v>
      </c>
      <c r="E152" s="82"/>
      <c r="F152" s="159"/>
      <c r="G152" s="82">
        <f>+'alt 5'!C266</f>
        <v>48.81936356097251</v>
      </c>
      <c r="H152" s="82">
        <f>+'alt 5'!D266</f>
        <v>0</v>
      </c>
      <c r="I152" s="82"/>
      <c r="J152" s="164"/>
      <c r="K152" s="82">
        <f>+'alt 6'!C266</f>
        <v>1.2693634309946542</v>
      </c>
      <c r="L152" s="82">
        <f>+'alt 6'!D266</f>
        <v>0</v>
      </c>
      <c r="M152" s="82"/>
      <c r="O152" s="11" t="s">
        <v>246</v>
      </c>
      <c r="P152" s="11"/>
      <c r="Q152" s="70">
        <f>+'alt 4'!Q266</f>
        <v>37.75989364428277</v>
      </c>
      <c r="R152" s="70">
        <f>+'alt 4'!R266</f>
        <v>0</v>
      </c>
      <c r="S152" s="70"/>
      <c r="T152" s="70"/>
      <c r="U152" s="70">
        <f>+'alt 5'!Q266</f>
        <v>50.78068829606785</v>
      </c>
      <c r="V152" s="70">
        <f>+'alt 5'!R266</f>
        <v>0</v>
      </c>
      <c r="W152" s="70"/>
      <c r="X152" s="71"/>
      <c r="Y152" s="70">
        <f>+'alt 6'!Q266</f>
        <v>0</v>
      </c>
      <c r="Z152" s="70">
        <f>+'alt 6'!R266</f>
        <v>0</v>
      </c>
      <c r="AA152" s="70"/>
      <c r="AC152" s="11" t="s">
        <v>246</v>
      </c>
      <c r="AD152" s="11"/>
      <c r="AE152" s="70">
        <f>+'alt 4'!AE266</f>
        <v>33.02326716461543</v>
      </c>
      <c r="AF152" s="70">
        <f>+'alt 4'!AF266</f>
        <v>0</v>
      </c>
      <c r="AG152" s="70"/>
      <c r="AH152" s="70"/>
      <c r="AI152" s="70">
        <f>+'alt 5'!AE266</f>
        <v>41.54197918142505</v>
      </c>
      <c r="AJ152" s="70">
        <f>+'alt 5'!AF266</f>
        <v>0</v>
      </c>
      <c r="AK152" s="70"/>
      <c r="AL152" s="71"/>
      <c r="AM152" s="70">
        <f>+'alt 6'!AE266</f>
        <v>0</v>
      </c>
      <c r="AN152" s="70">
        <f>+'alt 6'!AF266</f>
        <v>0</v>
      </c>
      <c r="AO152" s="70"/>
    </row>
    <row r="153" spans="1:41" ht="12.75">
      <c r="A153" s="11" t="s">
        <v>248</v>
      </c>
      <c r="B153" s="11"/>
      <c r="C153" s="82">
        <f>+'alt 4'!C267</f>
        <v>23240.74074548134</v>
      </c>
      <c r="D153" s="82">
        <f>+'alt 4'!D267</f>
        <v>37072.15494925522</v>
      </c>
      <c r="E153" s="82">
        <f>+'alt 4'!E267</f>
        <v>60312.895694736566</v>
      </c>
      <c r="F153" s="159"/>
      <c r="G153" s="82">
        <f>+'alt 5'!C267</f>
        <v>26413.05802821633</v>
      </c>
      <c r="H153" s="82">
        <f>+'alt 5'!D267</f>
        <v>38239.44878208013</v>
      </c>
      <c r="I153" s="82">
        <f>+'alt 5'!E267</f>
        <v>64652.50681029646</v>
      </c>
      <c r="J153" s="164"/>
      <c r="K153" s="82">
        <f>+'alt 6'!C267</f>
        <v>-1240.8556429106595</v>
      </c>
      <c r="L153" s="82">
        <f>+'alt 6'!D267</f>
        <v>88326.37541906937</v>
      </c>
      <c r="M153" s="82">
        <f>+'alt 6'!E267</f>
        <v>87085.51977615872</v>
      </c>
      <c r="O153" s="11" t="s">
        <v>248</v>
      </c>
      <c r="P153" s="11"/>
      <c r="Q153" s="70">
        <f>+'alt 4'!Q267</f>
        <v>23852.02678093567</v>
      </c>
      <c r="R153" s="70">
        <f>+'alt 4'!R267</f>
        <v>41735.70223064945</v>
      </c>
      <c r="S153" s="70">
        <f>+'alt 4'!S267</f>
        <v>65587.72901158512</v>
      </c>
      <c r="T153" s="70"/>
      <c r="U153" s="70">
        <f>+'alt 5'!Q267</f>
        <v>27456.209741074385</v>
      </c>
      <c r="V153" s="70">
        <f>+'alt 5'!R267</f>
        <v>43065.07776734957</v>
      </c>
      <c r="W153" s="70">
        <f>+'alt 5'!S267</f>
        <v>70521.28750842395</v>
      </c>
      <c r="X153" s="71"/>
      <c r="Y153" s="70">
        <f>+'alt 6'!Q267</f>
        <v>-10132.87793625853</v>
      </c>
      <c r="Z153" s="70">
        <f>+'alt 6'!R267</f>
        <v>98149.28506771938</v>
      </c>
      <c r="AA153" s="70">
        <f>+'alt 6'!S267</f>
        <v>88016.40713146084</v>
      </c>
      <c r="AC153" s="11" t="s">
        <v>248</v>
      </c>
      <c r="AD153" s="11"/>
      <c r="AE153" s="70">
        <f>+'alt 4'!AE267</f>
        <v>19125.132476018556</v>
      </c>
      <c r="AF153" s="70">
        <f>+'alt 4'!AF267</f>
        <v>23435.3162776885</v>
      </c>
      <c r="AG153" s="70">
        <f>+'alt 4'!AG267</f>
        <v>42560.44875370705</v>
      </c>
      <c r="AH153" s="70"/>
      <c r="AI153" s="70">
        <f>+'alt 5'!AE267</f>
        <v>21076.11454208024</v>
      </c>
      <c r="AJ153" s="70">
        <f>+'alt 5'!AF267</f>
        <v>24145.150891481477</v>
      </c>
      <c r="AK153" s="70">
        <f>+'alt 5'!AG267</f>
        <v>45221.26543356171</v>
      </c>
      <c r="AL153" s="71"/>
      <c r="AM153" s="70">
        <f>+'alt 6'!AE267</f>
        <v>6275.912423191806</v>
      </c>
      <c r="AN153" s="70">
        <f>+'alt 6'!AF267</f>
        <v>58167.33130900141</v>
      </c>
      <c r="AO153" s="70">
        <f>+'alt 6'!AG267</f>
        <v>64443.243732193216</v>
      </c>
    </row>
    <row r="154" spans="1:41" ht="12.75">
      <c r="A154" s="18"/>
      <c r="B154" s="18"/>
      <c r="C154" s="81"/>
      <c r="D154" s="81"/>
      <c r="E154" s="81"/>
      <c r="F154" s="160"/>
      <c r="G154" s="81"/>
      <c r="H154" s="81"/>
      <c r="I154" s="81"/>
      <c r="J154" s="165"/>
      <c r="K154" s="81"/>
      <c r="L154" s="81"/>
      <c r="M154" s="81"/>
      <c r="O154" s="18"/>
      <c r="P154" s="18"/>
      <c r="Q154" s="68"/>
      <c r="R154" s="68"/>
      <c r="S154" s="68"/>
      <c r="T154" s="68"/>
      <c r="U154" s="68"/>
      <c r="V154" s="68"/>
      <c r="W154" s="68"/>
      <c r="X154" s="69"/>
      <c r="Y154" s="68"/>
      <c r="Z154" s="68"/>
      <c r="AA154" s="68"/>
      <c r="AC154" s="18"/>
      <c r="AD154" s="18"/>
      <c r="AE154" s="68"/>
      <c r="AF154" s="68"/>
      <c r="AG154" s="68"/>
      <c r="AH154" s="68"/>
      <c r="AI154" s="68"/>
      <c r="AJ154" s="68"/>
      <c r="AK154" s="68"/>
      <c r="AL154" s="69"/>
      <c r="AM154" s="68"/>
      <c r="AN154" s="68"/>
      <c r="AO154" s="68"/>
    </row>
    <row r="155" spans="1:41" ht="12.75">
      <c r="A155" s="53" t="s">
        <v>478</v>
      </c>
      <c r="B155" s="20"/>
      <c r="C155" s="81"/>
      <c r="D155" s="81"/>
      <c r="E155" s="81"/>
      <c r="F155" s="160"/>
      <c r="G155" s="81"/>
      <c r="H155" s="81"/>
      <c r="I155" s="81"/>
      <c r="J155" s="165"/>
      <c r="K155" s="81"/>
      <c r="L155" s="81"/>
      <c r="M155" s="81"/>
      <c r="O155" s="53" t="s">
        <v>478</v>
      </c>
      <c r="P155" s="20"/>
      <c r="Q155" s="68"/>
      <c r="R155" s="68"/>
      <c r="S155" s="68"/>
      <c r="T155" s="68"/>
      <c r="U155" s="68"/>
      <c r="V155" s="68"/>
      <c r="W155" s="68"/>
      <c r="X155" s="69"/>
      <c r="Y155" s="68"/>
      <c r="Z155" s="68"/>
      <c r="AA155" s="68"/>
      <c r="AC155" s="53" t="s">
        <v>478</v>
      </c>
      <c r="AD155" s="20"/>
      <c r="AE155" s="68"/>
      <c r="AF155" s="68"/>
      <c r="AG155" s="68"/>
      <c r="AH155" s="68"/>
      <c r="AI155" s="68"/>
      <c r="AJ155" s="68"/>
      <c r="AK155" s="68"/>
      <c r="AL155" s="69"/>
      <c r="AM155" s="68"/>
      <c r="AN155" s="68"/>
      <c r="AO155" s="68"/>
    </row>
    <row r="156" spans="1:41" ht="12.75">
      <c r="A156" s="11" t="s">
        <v>335</v>
      </c>
      <c r="B156" s="11"/>
      <c r="C156" s="84">
        <f>+'alt 4'!C271</f>
        <v>2.161421856669389</v>
      </c>
      <c r="D156" s="84">
        <f>+'alt 4'!D271</f>
        <v>1</v>
      </c>
      <c r="E156" s="84"/>
      <c r="F156" s="161"/>
      <c r="G156" s="84">
        <f>+'alt 5'!C271</f>
        <v>2.0963878882979907</v>
      </c>
      <c r="H156" s="84">
        <f>+'alt 5'!D271</f>
        <v>1</v>
      </c>
      <c r="I156" s="84"/>
      <c r="J156" s="166"/>
      <c r="K156" s="84">
        <f>+'alt 6'!C271</f>
        <v>5.09964600255355</v>
      </c>
      <c r="L156" s="84">
        <f>+'alt 6'!D271</f>
        <v>1</v>
      </c>
      <c r="M156" s="81"/>
      <c r="O156" s="11" t="s">
        <v>335</v>
      </c>
      <c r="P156" s="11"/>
      <c r="Q156" s="72">
        <f>+'alt 4'!Q271</f>
        <v>2.337183731338971</v>
      </c>
      <c r="R156" s="72">
        <f>+'alt 4'!R271</f>
        <v>1</v>
      </c>
      <c r="S156" s="72"/>
      <c r="T156" s="72"/>
      <c r="U156" s="72">
        <f>+'alt 5'!Q271</f>
        <v>2.267139139168149</v>
      </c>
      <c r="V156" s="72">
        <f>+'alt 5'!R271</f>
        <v>1</v>
      </c>
      <c r="W156" s="72"/>
      <c r="X156" s="73"/>
      <c r="Y156" s="72">
        <f>+'alt 6'!Q271</f>
        <v>6.0065229068976835</v>
      </c>
      <c r="Z156" s="72">
        <f>+'alt 6'!R271</f>
        <v>1</v>
      </c>
      <c r="AA156" s="68"/>
      <c r="AC156" s="11" t="s">
        <v>335</v>
      </c>
      <c r="AD156" s="11"/>
      <c r="AE156" s="72">
        <f>+'alt 4'!AE271</f>
        <v>1.6665115225643745</v>
      </c>
      <c r="AF156" s="72">
        <f>+'alt 4'!AF271</f>
        <v>1</v>
      </c>
      <c r="AG156" s="72"/>
      <c r="AH156" s="72"/>
      <c r="AI156" s="72">
        <f>+'alt 5'!AE271</f>
        <v>1.6202966655950488</v>
      </c>
      <c r="AJ156" s="72">
        <f>+'alt 5'!AF271</f>
        <v>1</v>
      </c>
      <c r="AK156" s="72"/>
      <c r="AL156" s="73"/>
      <c r="AM156" s="72">
        <f>+'alt 6'!AE271</f>
        <v>3.4399069799264272</v>
      </c>
      <c r="AN156" s="72">
        <f>+'alt 6'!AF271</f>
        <v>1</v>
      </c>
      <c r="AO156" s="68"/>
    </row>
    <row r="157" spans="1:41" ht="12.75">
      <c r="A157" s="11" t="s">
        <v>385</v>
      </c>
      <c r="B157" s="11"/>
      <c r="C157" s="85"/>
      <c r="D157" s="80">
        <f>+'alt 4'!D272</f>
        <v>1.161421856669389</v>
      </c>
      <c r="E157" s="85"/>
      <c r="F157" s="158"/>
      <c r="G157" s="85"/>
      <c r="H157" s="80">
        <f>+'alt 5'!D272</f>
        <v>1.0963878882979907</v>
      </c>
      <c r="I157" s="85"/>
      <c r="J157" s="167"/>
      <c r="K157" s="85"/>
      <c r="L157" s="80">
        <f>+'alt 6'!D272</f>
        <v>4.09964600255355</v>
      </c>
      <c r="M157" s="85"/>
      <c r="O157" s="11" t="s">
        <v>385</v>
      </c>
      <c r="P157" s="11"/>
      <c r="Q157" s="49"/>
      <c r="R157" s="33">
        <f>+'alt 4'!R272</f>
        <v>1.3371837313389712</v>
      </c>
      <c r="S157" s="49"/>
      <c r="U157" s="49"/>
      <c r="V157" s="33">
        <f>+'alt 5'!R272</f>
        <v>1.2671391391681488</v>
      </c>
      <c r="W157" s="49"/>
      <c r="X157" s="18"/>
      <c r="Y157" s="49"/>
      <c r="Z157" s="33">
        <f>+'alt 6'!R272</f>
        <v>5.0065229068976835</v>
      </c>
      <c r="AA157" s="49"/>
      <c r="AC157" s="11" t="s">
        <v>385</v>
      </c>
      <c r="AD157" s="11"/>
      <c r="AE157" s="49"/>
      <c r="AF157" s="33">
        <f>+'alt 4'!AF272</f>
        <v>0.6665115225643745</v>
      </c>
      <c r="AG157" s="49"/>
      <c r="AI157" s="49"/>
      <c r="AJ157" s="33">
        <f>+'alt 5'!AF272</f>
        <v>0.6202966655950488</v>
      </c>
      <c r="AK157" s="49"/>
      <c r="AL157" s="18"/>
      <c r="AM157" s="49"/>
      <c r="AN157" s="33">
        <f>+'alt 6'!AF272</f>
        <v>2.4399069799264272</v>
      </c>
      <c r="AO157" s="49"/>
    </row>
    <row r="158" spans="1:41" ht="12.75">
      <c r="A158" s="11" t="s">
        <v>461</v>
      </c>
      <c r="B158" s="11"/>
      <c r="C158" s="85"/>
      <c r="D158" s="90">
        <f>+'alt 4'!D273</f>
        <v>14</v>
      </c>
      <c r="E158" s="91"/>
      <c r="F158" s="162"/>
      <c r="G158" s="91"/>
      <c r="H158" s="90">
        <f>+'alt 5'!D273</f>
        <v>14</v>
      </c>
      <c r="I158" s="91"/>
      <c r="J158" s="162"/>
      <c r="K158" s="91"/>
      <c r="L158" s="90">
        <f>+'alt 6'!D273</f>
        <v>3</v>
      </c>
      <c r="M158" s="85"/>
      <c r="O158" s="11" t="s">
        <v>461</v>
      </c>
      <c r="P158" s="11"/>
      <c r="Q158" s="49"/>
      <c r="R158" s="38">
        <f>+'alt 4'!R273</f>
        <v>14</v>
      </c>
      <c r="S158" s="49"/>
      <c r="U158" s="49"/>
      <c r="V158" s="38">
        <f>+'alt 5'!R273</f>
        <v>14</v>
      </c>
      <c r="W158" s="49"/>
      <c r="X158" s="18"/>
      <c r="Y158" s="49"/>
      <c r="Z158" s="38">
        <f>+'alt 6'!R273</f>
        <v>3</v>
      </c>
      <c r="AA158" s="49"/>
      <c r="AC158" s="11" t="s">
        <v>461</v>
      </c>
      <c r="AD158" s="11"/>
      <c r="AE158" s="49"/>
      <c r="AF158" s="38">
        <f>+'alt 4'!AF273</f>
        <v>14</v>
      </c>
      <c r="AG158" s="49"/>
      <c r="AI158" s="49"/>
      <c r="AJ158" s="38">
        <f>+'alt 5'!AF273</f>
        <v>14</v>
      </c>
      <c r="AK158" s="49"/>
      <c r="AL158" s="18"/>
      <c r="AM158" s="49"/>
      <c r="AN158" s="38">
        <f>+'alt 6'!AF273</f>
        <v>3</v>
      </c>
      <c r="AO158" s="49"/>
    </row>
    <row r="159" spans="1:41" ht="12.75">
      <c r="A159" s="11" t="s">
        <v>336</v>
      </c>
      <c r="B159" s="11"/>
      <c r="C159" s="85"/>
      <c r="D159" s="86">
        <f>+'alt 4'!D274</f>
        <v>0.27099843322285744</v>
      </c>
      <c r="E159" s="85"/>
      <c r="F159" s="158"/>
      <c r="G159" s="85"/>
      <c r="H159" s="86">
        <f>+'alt 5'!D274</f>
        <v>0.2558238406028645</v>
      </c>
      <c r="I159" s="85"/>
      <c r="J159" s="167"/>
      <c r="K159" s="85"/>
      <c r="L159" s="86">
        <f>+'alt 6'!D274</f>
        <v>0.2049823001276775</v>
      </c>
      <c r="M159" s="85"/>
      <c r="O159" s="11" t="s">
        <v>336</v>
      </c>
      <c r="P159" s="11"/>
      <c r="Q159" s="49"/>
      <c r="R159" s="38">
        <f>+'alt 4'!R274</f>
        <v>0.3120095373124266</v>
      </c>
      <c r="S159" s="49"/>
      <c r="U159" s="49"/>
      <c r="V159" s="38">
        <f>+'alt 5'!R274</f>
        <v>0.2956657991392347</v>
      </c>
      <c r="W159" s="49"/>
      <c r="X159" s="18"/>
      <c r="Y159" s="49"/>
      <c r="Z159" s="38">
        <f>+'alt 6'!R274</f>
        <v>0.2503261453448842</v>
      </c>
      <c r="AA159" s="49"/>
      <c r="AC159" s="11" t="s">
        <v>336</v>
      </c>
      <c r="AD159" s="11"/>
      <c r="AE159" s="49"/>
      <c r="AF159" s="38">
        <f>+'alt 4'!AF274</f>
        <v>0.15551935526502073</v>
      </c>
      <c r="AG159" s="49"/>
      <c r="AI159" s="49"/>
      <c r="AJ159" s="38">
        <f>+'alt 5'!AF274</f>
        <v>0.1447358886388447</v>
      </c>
      <c r="AK159" s="49"/>
      <c r="AL159" s="18"/>
      <c r="AM159" s="49"/>
      <c r="AN159" s="38">
        <f>+'alt 6'!AF274</f>
        <v>0.12199534899632138</v>
      </c>
      <c r="AO159" s="49"/>
    </row>
    <row r="160" spans="1:41" ht="12.75">
      <c r="A160" s="11" t="s">
        <v>464</v>
      </c>
      <c r="B160" s="11"/>
      <c r="C160" s="85"/>
      <c r="D160" s="81">
        <f>+'alt 4'!D275</f>
        <v>34099.12654172531</v>
      </c>
      <c r="E160" s="83"/>
      <c r="F160" s="163"/>
      <c r="G160" s="83"/>
      <c r="H160" s="81">
        <f>+'alt 5'!D275</f>
        <v>34631.04484753202</v>
      </c>
      <c r="I160" s="83"/>
      <c r="J160" s="165"/>
      <c r="K160" s="83"/>
      <c r="L160" s="81">
        <f>+'alt 6'!D275</f>
        <v>144666.88546084703</v>
      </c>
      <c r="M160" s="85"/>
      <c r="O160" s="11" t="s">
        <v>464</v>
      </c>
      <c r="P160" s="11"/>
      <c r="Q160" s="49"/>
      <c r="R160" s="68">
        <f>+'alt 4'!R275</f>
        <v>33404.04091953626</v>
      </c>
      <c r="S160" s="69"/>
      <c r="T160" s="2"/>
      <c r="U160" s="69"/>
      <c r="V160" s="68">
        <f>+'alt 5'!R275</f>
        <v>33953.889055875785</v>
      </c>
      <c r="W160" s="69"/>
      <c r="X160" s="69"/>
      <c r="Y160" s="69"/>
      <c r="Z160" s="68">
        <f>+'alt 6'!R275</f>
        <v>144042.17373480817</v>
      </c>
      <c r="AA160" s="49"/>
      <c r="AC160" s="11" t="s">
        <v>464</v>
      </c>
      <c r="AD160" s="11"/>
      <c r="AE160" s="49"/>
      <c r="AF160" s="68">
        <f>+'alt 4'!AF275</f>
        <v>36184.3834082924</v>
      </c>
      <c r="AG160" s="69"/>
      <c r="AH160" s="2"/>
      <c r="AI160" s="69"/>
      <c r="AJ160" s="68">
        <f>+'alt 5'!AF275</f>
        <v>36662.51222250068</v>
      </c>
      <c r="AK160" s="69"/>
      <c r="AL160" s="69"/>
      <c r="AM160" s="69"/>
      <c r="AN160" s="68">
        <f>+'alt 6'!AF275</f>
        <v>146541.02063896362</v>
      </c>
      <c r="AO160" s="49"/>
    </row>
    <row r="161" spans="1:41" ht="12.75">
      <c r="A161" s="11" t="s">
        <v>648</v>
      </c>
      <c r="B161" s="11"/>
      <c r="C161" s="85"/>
      <c r="D161" s="63">
        <f>+'alt 4'!D276</f>
        <v>42306.33802816901</v>
      </c>
      <c r="E161" s="85"/>
      <c r="F161" s="158"/>
      <c r="G161" s="85"/>
      <c r="H161" s="63">
        <f>+'alt 5'!D276</f>
        <v>42306.33802816901</v>
      </c>
      <c r="I161" s="85"/>
      <c r="J161" s="167"/>
      <c r="K161" s="85"/>
      <c r="L161" s="63">
        <f>+'alt 6'!D276</f>
        <v>107275.91218185796</v>
      </c>
      <c r="M161" s="85"/>
      <c r="O161" s="11" t="s">
        <v>465</v>
      </c>
      <c r="P161" s="11"/>
      <c r="Q161" s="49"/>
      <c r="R161" s="14">
        <f>+'alt 4'!R276</f>
        <v>43732.394366197186</v>
      </c>
      <c r="S161" s="49"/>
      <c r="U161" s="49"/>
      <c r="V161" s="14">
        <f>+'alt 5'!R276</f>
        <v>43732.394366197186</v>
      </c>
      <c r="W161" s="49"/>
      <c r="X161" s="18"/>
      <c r="Y161" s="49"/>
      <c r="Z161" s="14">
        <f>+'alt 6'!R276</f>
        <v>110891.95416551609</v>
      </c>
      <c r="AA161" s="49"/>
      <c r="AC161" s="11" t="s">
        <v>465</v>
      </c>
      <c r="AD161" s="11"/>
      <c r="AE161" s="49"/>
      <c r="AF161" s="14">
        <f>+'alt 4'!AF276</f>
        <v>38028.16901408451</v>
      </c>
      <c r="AG161" s="49"/>
      <c r="AI161" s="49"/>
      <c r="AJ161" s="14">
        <f>+'alt 5'!AF276</f>
        <v>38028.16901408451</v>
      </c>
      <c r="AK161" s="49"/>
      <c r="AL161" s="18"/>
      <c r="AM161" s="49"/>
      <c r="AN161" s="14">
        <f>+'alt 6'!AF276</f>
        <v>96427.78623088356</v>
      </c>
      <c r="AO161" s="49"/>
    </row>
    <row r="162" spans="1:41" ht="12.75">
      <c r="A162" s="11" t="s">
        <v>337</v>
      </c>
      <c r="B162" s="11"/>
      <c r="C162" s="85"/>
      <c r="D162" s="67">
        <f>+'alt 4'!D277</f>
        <v>20705.761188105906</v>
      </c>
      <c r="E162" s="85"/>
      <c r="F162" s="158"/>
      <c r="G162" s="85"/>
      <c r="H162" s="67">
        <f>+'alt 5'!D277</f>
        <v>19682.4167731949</v>
      </c>
      <c r="I162" s="85"/>
      <c r="J162" s="167"/>
      <c r="K162" s="85"/>
      <c r="L162" s="67">
        <f>+'alt 6'!D277</f>
        <v>51643.81416140367</v>
      </c>
      <c r="M162" s="85"/>
      <c r="O162" s="11" t="s">
        <v>337</v>
      </c>
      <c r="P162" s="11"/>
      <c r="Q162" s="49"/>
      <c r="R162" s="37">
        <f>+'alt 4'!R277</f>
        <v>24067.303483431628</v>
      </c>
      <c r="S162" s="49"/>
      <c r="U162" s="49"/>
      <c r="V162" s="37">
        <f>+'alt 5'!R277</f>
        <v>22969.177070144284</v>
      </c>
      <c r="W162" s="49"/>
      <c r="X162" s="18"/>
      <c r="Y162" s="49"/>
      <c r="Z162" s="37">
        <f>+'alt 6'!R277</f>
        <v>63816.67755414786</v>
      </c>
      <c r="AA162" s="49"/>
      <c r="AC162" s="11" t="s">
        <v>337</v>
      </c>
      <c r="AD162" s="11"/>
      <c r="AE162" s="49"/>
      <c r="AF162" s="37">
        <f>+'alt 4'!AF277</f>
        <v>11541.488305299608</v>
      </c>
      <c r="AG162" s="49"/>
      <c r="AI162" s="49"/>
      <c r="AJ162" s="37">
        <f>+'alt 5'!AF277</f>
        <v>10810.422121817843</v>
      </c>
      <c r="AK162" s="49"/>
      <c r="AL162" s="18"/>
      <c r="AM162" s="49"/>
      <c r="AN162" s="37">
        <f>+'alt 6'!AF277</f>
        <v>29641.06438930681</v>
      </c>
      <c r="AO162" s="49"/>
    </row>
    <row r="163" spans="1:41" ht="12.75">
      <c r="A163" s="11" t="s">
        <v>338</v>
      </c>
      <c r="B163" s="11"/>
      <c r="C163" s="85"/>
      <c r="D163" s="92">
        <f>+D114</f>
        <v>9</v>
      </c>
      <c r="E163" s="91"/>
      <c r="F163" s="162"/>
      <c r="G163" s="91"/>
      <c r="H163" s="92">
        <f>+D163</f>
        <v>9</v>
      </c>
      <c r="I163" s="91"/>
      <c r="J163" s="162"/>
      <c r="K163" s="91"/>
      <c r="L163" s="92">
        <f>+H163</f>
        <v>9</v>
      </c>
      <c r="M163" s="85"/>
      <c r="O163" s="11" t="s">
        <v>338</v>
      </c>
      <c r="P163" s="11"/>
      <c r="Q163" s="49"/>
      <c r="R163" s="33">
        <f>+R114</f>
        <v>6</v>
      </c>
      <c r="S163" s="49"/>
      <c r="U163" s="49"/>
      <c r="V163" s="33">
        <f>+R163</f>
        <v>6</v>
      </c>
      <c r="W163" s="49"/>
      <c r="X163" s="18"/>
      <c r="Y163" s="49"/>
      <c r="Z163" s="33">
        <f>+V163</f>
        <v>6</v>
      </c>
      <c r="AA163" s="49"/>
      <c r="AC163" s="11" t="s">
        <v>338</v>
      </c>
      <c r="AD163" s="11"/>
      <c r="AE163" s="49"/>
      <c r="AF163" s="33">
        <v>5</v>
      </c>
      <c r="AG163" s="49"/>
      <c r="AI163" s="49"/>
      <c r="AJ163" s="33">
        <f>+AF163</f>
        <v>5</v>
      </c>
      <c r="AK163" s="49"/>
      <c r="AL163" s="18"/>
      <c r="AM163" s="49"/>
      <c r="AN163" s="33">
        <f>+AJ163</f>
        <v>5</v>
      </c>
      <c r="AO163" s="49"/>
    </row>
    <row r="164" spans="1:41" ht="12.75">
      <c r="A164" s="11" t="s">
        <v>339</v>
      </c>
      <c r="B164" s="11"/>
      <c r="C164" s="85"/>
      <c r="D164" s="67">
        <f>+'alt 4'!D279</f>
        <v>186351.85069295316</v>
      </c>
      <c r="E164" s="85"/>
      <c r="F164" s="158"/>
      <c r="G164" s="85"/>
      <c r="H164" s="67">
        <f>+'alt 5'!D279</f>
        <v>177141.7509587541</v>
      </c>
      <c r="I164" s="85"/>
      <c r="J164" s="167"/>
      <c r="K164" s="85"/>
      <c r="L164" s="67">
        <f>+'alt 6'!D279</f>
        <v>464794.32745263306</v>
      </c>
      <c r="M164" s="85"/>
      <c r="O164" s="11" t="s">
        <v>339</v>
      </c>
      <c r="P164" s="11"/>
      <c r="Q164" s="49"/>
      <c r="R164" s="37">
        <f>+'alt 4'!R279</f>
        <v>144403.82090058975</v>
      </c>
      <c r="S164" s="49"/>
      <c r="U164" s="49"/>
      <c r="V164" s="37">
        <f>+'alt 5'!R279</f>
        <v>137815.0624208657</v>
      </c>
      <c r="W164" s="49"/>
      <c r="X164" s="18"/>
      <c r="Y164" s="49"/>
      <c r="Z164" s="37">
        <f>+'alt 6'!R279</f>
        <v>382900.06532488717</v>
      </c>
      <c r="AA164" s="49"/>
      <c r="AC164" s="11" t="s">
        <v>339</v>
      </c>
      <c r="AD164" s="11"/>
      <c r="AE164" s="49"/>
      <c r="AF164" s="37">
        <f>+'alt 4'!AF279</f>
        <v>57707.44152649804</v>
      </c>
      <c r="AG164" s="49"/>
      <c r="AI164" s="49"/>
      <c r="AJ164" s="37">
        <f>+'alt 5'!AF279</f>
        <v>54052.11060908921</v>
      </c>
      <c r="AK164" s="49"/>
      <c r="AL164" s="18"/>
      <c r="AM164" s="49"/>
      <c r="AN164" s="37">
        <f>+'alt 6'!AF279</f>
        <v>148205.32194653407</v>
      </c>
      <c r="AO164" s="49"/>
    </row>
    <row r="165" spans="1:41" ht="12.75">
      <c r="A165" s="11" t="s">
        <v>480</v>
      </c>
      <c r="B165" s="11"/>
      <c r="C165" s="85"/>
      <c r="D165" s="93">
        <f>+'alt 4'!D280</f>
        <v>250</v>
      </c>
      <c r="E165" s="91"/>
      <c r="F165" s="162"/>
      <c r="G165" s="91"/>
      <c r="H165" s="93">
        <f>+'alt 5'!D280</f>
        <v>250</v>
      </c>
      <c r="I165" s="91"/>
      <c r="J165" s="162"/>
      <c r="K165" s="91"/>
      <c r="L165" s="93">
        <f>+'alt 6'!D280</f>
        <v>250</v>
      </c>
      <c r="M165" s="85"/>
      <c r="O165" s="11" t="s">
        <v>340</v>
      </c>
      <c r="P165" s="11"/>
      <c r="Q165" s="49"/>
      <c r="R165" s="56">
        <f>+'alt 4'!R280</f>
        <v>250</v>
      </c>
      <c r="S165" s="49"/>
      <c r="U165" s="49"/>
      <c r="V165" s="56">
        <f>+'alt 5'!R280</f>
        <v>250</v>
      </c>
      <c r="W165" s="49"/>
      <c r="X165" s="18"/>
      <c r="Y165" s="49"/>
      <c r="Z165" s="56">
        <f>+'alt 6'!R280</f>
        <v>250</v>
      </c>
      <c r="AA165" s="49"/>
      <c r="AC165" s="11" t="s">
        <v>480</v>
      </c>
      <c r="AD165" s="11"/>
      <c r="AE165" s="49"/>
      <c r="AF165" s="56">
        <f>+'alt 4'!AF280</f>
        <v>250</v>
      </c>
      <c r="AG165" s="49"/>
      <c r="AI165" s="49"/>
      <c r="AJ165" s="56">
        <f>+'alt 5'!AF280</f>
        <v>250</v>
      </c>
      <c r="AK165" s="49"/>
      <c r="AL165" s="18"/>
      <c r="AM165" s="49"/>
      <c r="AN165" s="56">
        <f>+'alt 6'!AF280</f>
        <v>250</v>
      </c>
      <c r="AO165" s="49"/>
    </row>
    <row r="166" spans="1:41" ht="12.75">
      <c r="A166" s="11" t="s">
        <v>649</v>
      </c>
      <c r="B166" s="11"/>
      <c r="C166" s="85"/>
      <c r="D166" s="67">
        <f>+'alt 4'!D281</f>
        <v>51246758.94056213</v>
      </c>
      <c r="E166" s="85"/>
      <c r="F166" s="158"/>
      <c r="G166" s="85"/>
      <c r="H166" s="67">
        <f>+'alt 5'!D281</f>
        <v>48713981.513657376</v>
      </c>
      <c r="I166" s="85"/>
      <c r="J166" s="167"/>
      <c r="K166" s="85"/>
      <c r="L166" s="67">
        <f>+'alt 6'!D281</f>
        <v>127818440.0494741</v>
      </c>
      <c r="M166" s="85"/>
      <c r="O166" s="11" t="s">
        <v>467</v>
      </c>
      <c r="P166" s="11"/>
      <c r="Q166" s="49"/>
      <c r="R166" s="37">
        <f>+'alt 4'!R281</f>
        <v>39711050.74766219</v>
      </c>
      <c r="S166" s="49"/>
      <c r="U166" s="49"/>
      <c r="V166" s="37">
        <f>+'alt 5'!R281</f>
        <v>37899142.16573807</v>
      </c>
      <c r="W166" s="49"/>
      <c r="X166" s="18"/>
      <c r="Y166" s="49"/>
      <c r="Z166" s="37">
        <f>+'alt 6'!R281</f>
        <v>105297517.96434398</v>
      </c>
      <c r="AA166" s="49"/>
      <c r="AC166" s="11" t="s">
        <v>467</v>
      </c>
      <c r="AD166" s="11"/>
      <c r="AE166" s="49"/>
      <c r="AF166" s="37">
        <f>+'alt 4'!AF281</f>
        <v>15869546.419786964</v>
      </c>
      <c r="AG166" s="49"/>
      <c r="AI166" s="49"/>
      <c r="AJ166" s="37">
        <f>+'alt 5'!AF281</f>
        <v>14864330.417499535</v>
      </c>
      <c r="AK166" s="49"/>
      <c r="AL166" s="18"/>
      <c r="AM166" s="49"/>
      <c r="AN166" s="37">
        <f>+'alt 6'!AF281</f>
        <v>40756463.53529687</v>
      </c>
      <c r="AO166" s="49"/>
    </row>
    <row r="167" spans="1:41" ht="12.75">
      <c r="A167" s="11" t="s">
        <v>650</v>
      </c>
      <c r="B167" s="11"/>
      <c r="C167" s="85"/>
      <c r="D167" s="67">
        <f>+'alt 4'!D282</f>
        <v>1375298.3622580976</v>
      </c>
      <c r="E167" s="85"/>
      <c r="F167" s="158"/>
      <c r="G167" s="85"/>
      <c r="H167" s="67">
        <f>+'alt 5'!D282</f>
        <v>1384872.891762619</v>
      </c>
      <c r="I167" s="85"/>
      <c r="J167" s="167"/>
      <c r="K167" s="85"/>
      <c r="L167" s="67">
        <f>+'alt 6'!D282</f>
        <v>4534970.357568689</v>
      </c>
      <c r="M167" s="85"/>
      <c r="O167" s="11" t="s">
        <v>466</v>
      </c>
      <c r="P167" s="11"/>
      <c r="Q167" s="49"/>
      <c r="R167" s="37">
        <f>+'alt 4'!R282</f>
        <v>2776911.670286404</v>
      </c>
      <c r="S167" s="49"/>
      <c r="U167" s="49"/>
      <c r="V167" s="37">
        <f>+'alt 5'!R282</f>
        <v>2796706.2031946275</v>
      </c>
      <c r="W167" s="49"/>
      <c r="X167" s="18"/>
      <c r="Y167" s="49"/>
      <c r="Z167" s="37">
        <f>+'alt 6'!R282</f>
        <v>9177628.604411671</v>
      </c>
      <c r="AA167" s="49"/>
      <c r="AC167" s="11" t="s">
        <v>466</v>
      </c>
      <c r="AD167" s="11"/>
      <c r="AE167" s="49"/>
      <c r="AF167" s="37">
        <f>+'alt 4'!AF282</f>
        <v>2226376.572671307</v>
      </c>
      <c r="AG167" s="49"/>
      <c r="AI167" s="49"/>
      <c r="AJ167" s="37">
        <f>+'alt 5'!AF282</f>
        <v>2240720.437097556</v>
      </c>
      <c r="AK167" s="49"/>
      <c r="AL167" s="18"/>
      <c r="AM167" s="49"/>
      <c r="AN167" s="37">
        <f>+'alt 6'!AF282</f>
        <v>7289064.206095416</v>
      </c>
      <c r="AO167" s="49"/>
    </row>
    <row r="168" spans="1:41" ht="12.75">
      <c r="A168" s="11"/>
      <c r="B168" s="11"/>
      <c r="C168" s="49"/>
      <c r="D168" s="37"/>
      <c r="E168" s="49"/>
      <c r="F168" s="144"/>
      <c r="G168" s="49"/>
      <c r="H168" s="37"/>
      <c r="I168" s="49"/>
      <c r="J168" s="144"/>
      <c r="K168" s="49"/>
      <c r="L168" s="37"/>
      <c r="M168" s="85"/>
      <c r="O168" s="11"/>
      <c r="P168" s="11"/>
      <c r="Q168" s="49"/>
      <c r="R168" s="37"/>
      <c r="S168" s="49"/>
      <c r="T168" s="49"/>
      <c r="U168" s="49"/>
      <c r="V168" s="37"/>
      <c r="W168" s="49"/>
      <c r="X168" s="49"/>
      <c r="Y168" s="49"/>
      <c r="Z168" s="37"/>
      <c r="AA168" s="49"/>
      <c r="AC168" s="11"/>
      <c r="AD168" s="11"/>
      <c r="AE168" s="49"/>
      <c r="AF168" s="37"/>
      <c r="AG168" s="49"/>
      <c r="AH168" s="49"/>
      <c r="AI168" s="49"/>
      <c r="AJ168" s="37"/>
      <c r="AK168" s="49"/>
      <c r="AL168" s="49"/>
      <c r="AM168" s="49"/>
      <c r="AN168" s="37"/>
      <c r="AO168" s="49"/>
    </row>
    <row r="169" spans="1:41" ht="12.75">
      <c r="A169" s="26" t="s">
        <v>475</v>
      </c>
      <c r="B169" s="11"/>
      <c r="C169" s="49"/>
      <c r="D169" s="37"/>
      <c r="E169" s="49"/>
      <c r="F169" s="144"/>
      <c r="G169" s="49"/>
      <c r="H169" s="37"/>
      <c r="I169" s="49"/>
      <c r="J169" s="144"/>
      <c r="K169" s="49"/>
      <c r="L169" s="37"/>
      <c r="M169" s="49"/>
      <c r="O169" s="26" t="s">
        <v>475</v>
      </c>
      <c r="P169" s="11"/>
      <c r="Q169" s="49"/>
      <c r="R169" s="37"/>
      <c r="S169" s="49"/>
      <c r="T169" s="49"/>
      <c r="U169" s="49"/>
      <c r="V169" s="37"/>
      <c r="W169" s="49"/>
      <c r="X169" s="49"/>
      <c r="Y169" s="49"/>
      <c r="Z169" s="37"/>
      <c r="AA169" s="49"/>
      <c r="AC169" s="26" t="s">
        <v>475</v>
      </c>
      <c r="AD169" s="11"/>
      <c r="AE169" s="49"/>
      <c r="AF169" s="37"/>
      <c r="AG169" s="49"/>
      <c r="AH169" s="49"/>
      <c r="AI169" s="49"/>
      <c r="AJ169" s="37"/>
      <c r="AK169" s="49"/>
      <c r="AL169" s="49"/>
      <c r="AM169" s="49"/>
      <c r="AN169" s="37"/>
      <c r="AO169" s="49"/>
    </row>
    <row r="170" spans="1:41" ht="12.75">
      <c r="A170" s="11" t="s">
        <v>440</v>
      </c>
      <c r="B170" s="11"/>
      <c r="C170" s="49"/>
      <c r="D170" s="14">
        <f>+G20-B20</f>
        <v>639.3497647306685</v>
      </c>
      <c r="E170" s="49"/>
      <c r="F170" s="144"/>
      <c r="G170" s="49"/>
      <c r="H170" s="14">
        <f>+H20-B20</f>
        <v>6863.074300079596</v>
      </c>
      <c r="I170" s="49"/>
      <c r="J170" s="144"/>
      <c r="K170" s="49"/>
      <c r="L170" s="14">
        <f>+I20-B20</f>
        <v>7331.345156621408</v>
      </c>
      <c r="M170" s="49"/>
      <c r="O170" s="11" t="s">
        <v>440</v>
      </c>
      <c r="P170" s="11"/>
      <c r="Q170" s="49"/>
      <c r="R170" s="14">
        <f>+U20-P20</f>
        <v>660.9008803957477</v>
      </c>
      <c r="S170" s="49"/>
      <c r="T170" s="49"/>
      <c r="U170" s="49"/>
      <c r="V170" s="14">
        <f>+V20-P20</f>
        <v>7094.413883228346</v>
      </c>
      <c r="W170" s="49"/>
      <c r="X170" s="49"/>
      <c r="Y170" s="49"/>
      <c r="Z170" s="14">
        <f>+W20-P20</f>
        <v>7578.469150664827</v>
      </c>
      <c r="AA170" s="49"/>
      <c r="AC170" s="11" t="s">
        <v>440</v>
      </c>
      <c r="AD170" s="11"/>
      <c r="AE170" s="49"/>
      <c r="AF170" s="14">
        <f>+AI20-AD20</f>
        <v>574.6964177354312</v>
      </c>
      <c r="AG170" s="49"/>
      <c r="AH170" s="49"/>
      <c r="AI170" s="49"/>
      <c r="AJ170" s="14">
        <f>+AJ20-AD20</f>
        <v>6169.055550633344</v>
      </c>
      <c r="AK170" s="49"/>
      <c r="AL170" s="49"/>
      <c r="AM170" s="49"/>
      <c r="AN170" s="14">
        <f>+AK20-AD20</f>
        <v>6589.973174491153</v>
      </c>
      <c r="AO170" s="49"/>
    </row>
    <row r="171" spans="1:41" ht="12.75">
      <c r="A171" s="11" t="s">
        <v>441</v>
      </c>
      <c r="B171" s="11"/>
      <c r="C171" s="49"/>
      <c r="D171" s="79">
        <f>+Inputs!E48</f>
        <v>0.5</v>
      </c>
      <c r="E171" s="49"/>
      <c r="F171" s="144"/>
      <c r="G171" s="49"/>
      <c r="H171" s="79">
        <f>+Inputs!F48</f>
        <v>0.5</v>
      </c>
      <c r="I171" s="49"/>
      <c r="J171" s="144"/>
      <c r="K171" s="49"/>
      <c r="L171" s="79">
        <f>+Inputs!G48</f>
        <v>0.5</v>
      </c>
      <c r="M171" s="49"/>
      <c r="O171" s="11" t="s">
        <v>441</v>
      </c>
      <c r="P171" s="11"/>
      <c r="Q171" s="49"/>
      <c r="R171" s="79">
        <v>0.5</v>
      </c>
      <c r="S171" s="49"/>
      <c r="T171" s="49"/>
      <c r="U171" s="49"/>
      <c r="V171" s="79">
        <f>+R171</f>
        <v>0.5</v>
      </c>
      <c r="W171" s="49"/>
      <c r="X171" s="49"/>
      <c r="Y171" s="49"/>
      <c r="Z171" s="79">
        <f>+R171</f>
        <v>0.5</v>
      </c>
      <c r="AA171" s="49"/>
      <c r="AC171" s="11" t="s">
        <v>441</v>
      </c>
      <c r="AD171" s="11"/>
      <c r="AE171" s="49"/>
      <c r="AF171" s="79">
        <v>0.5</v>
      </c>
      <c r="AG171" s="49"/>
      <c r="AH171" s="49"/>
      <c r="AI171" s="49"/>
      <c r="AJ171" s="79">
        <f>+AF171</f>
        <v>0.5</v>
      </c>
      <c r="AK171" s="49"/>
      <c r="AL171" s="49"/>
      <c r="AM171" s="49"/>
      <c r="AN171" s="79">
        <f>+AF171</f>
        <v>0.5</v>
      </c>
      <c r="AO171" s="49"/>
    </row>
    <row r="172" spans="1:41" ht="12.75">
      <c r="A172" s="11" t="s">
        <v>442</v>
      </c>
      <c r="B172" s="11"/>
      <c r="C172" s="49"/>
      <c r="D172" s="37">
        <f>+D170*D171*D165*D163</f>
        <v>719268.4853220021</v>
      </c>
      <c r="E172" s="49"/>
      <c r="F172" s="144"/>
      <c r="G172" s="49"/>
      <c r="H172" s="37">
        <f>+H170*H171*H165*H163</f>
        <v>7720958.587589545</v>
      </c>
      <c r="I172" s="49"/>
      <c r="J172" s="144"/>
      <c r="K172" s="49"/>
      <c r="L172" s="37">
        <f>+L170*L171*L165*L163</f>
        <v>8247763.301199084</v>
      </c>
      <c r="M172" s="49"/>
      <c r="O172" s="11" t="s">
        <v>442</v>
      </c>
      <c r="P172" s="11"/>
      <c r="Q172" s="49"/>
      <c r="R172" s="37">
        <f>+R170*R171*R165*R163</f>
        <v>495675.6602968108</v>
      </c>
      <c r="S172" s="49"/>
      <c r="T172" s="49"/>
      <c r="U172" s="49"/>
      <c r="V172" s="37">
        <f>+V170*V171*V165*V163</f>
        <v>5320810.412421259</v>
      </c>
      <c r="W172" s="49"/>
      <c r="X172" s="49"/>
      <c r="Y172" s="49"/>
      <c r="Z172" s="37">
        <f>+Z170*Z171*Z165*Z163</f>
        <v>5683851.86299862</v>
      </c>
      <c r="AA172" s="49"/>
      <c r="AC172" s="11" t="s">
        <v>442</v>
      </c>
      <c r="AD172" s="11"/>
      <c r="AE172" s="49"/>
      <c r="AF172" s="37">
        <f>+AF170*AF171*AF165*AF163</f>
        <v>359185.2610846445</v>
      </c>
      <c r="AG172" s="49"/>
      <c r="AH172" s="49"/>
      <c r="AI172" s="49"/>
      <c r="AJ172" s="37">
        <f>+AJ170*AJ171*AJ165*AJ163</f>
        <v>3855659.71914584</v>
      </c>
      <c r="AK172" s="49"/>
      <c r="AL172" s="49"/>
      <c r="AM172" s="49"/>
      <c r="AN172" s="37">
        <f>+AN170*AN171*AN165*AN163</f>
        <v>4118733.2340569706</v>
      </c>
      <c r="AO172" s="49"/>
    </row>
    <row r="173" spans="1:41" ht="12.75">
      <c r="A173" s="11" t="s">
        <v>512</v>
      </c>
      <c r="B173" s="11"/>
      <c r="C173" s="49"/>
      <c r="D173" s="79">
        <f>+Inputs!E49</f>
        <v>0</v>
      </c>
      <c r="E173" s="112"/>
      <c r="F173" s="157"/>
      <c r="G173" s="112"/>
      <c r="H173" s="79">
        <f>+Inputs!F49</f>
        <v>0</v>
      </c>
      <c r="I173" s="112"/>
      <c r="J173" s="157"/>
      <c r="K173" s="112"/>
      <c r="L173" s="79">
        <f>+Inputs!G49</f>
        <v>0.2</v>
      </c>
      <c r="M173" s="112"/>
      <c r="O173" s="11" t="s">
        <v>512</v>
      </c>
      <c r="P173" s="11"/>
      <c r="Q173" s="112"/>
      <c r="R173" s="79">
        <f>+Inputs!S49</f>
        <v>0</v>
      </c>
      <c r="S173" s="112"/>
      <c r="T173" s="112"/>
      <c r="U173" s="112"/>
      <c r="V173" s="79">
        <f>+Inputs!T49</f>
        <v>0</v>
      </c>
      <c r="W173" s="112"/>
      <c r="X173" s="112"/>
      <c r="Y173" s="112"/>
      <c r="Z173" s="79">
        <f>+Inputs!U49</f>
        <v>0.2</v>
      </c>
      <c r="AA173" s="112"/>
      <c r="AC173" s="11" t="s">
        <v>512</v>
      </c>
      <c r="AD173" s="11"/>
      <c r="AE173" s="112"/>
      <c r="AF173" s="79">
        <f>+Inputs!AG49</f>
        <v>0</v>
      </c>
      <c r="AG173" s="112"/>
      <c r="AH173" s="112"/>
      <c r="AI173" s="112"/>
      <c r="AJ173" s="79">
        <f>+Inputs!AH49</f>
        <v>0</v>
      </c>
      <c r="AK173" s="112"/>
      <c r="AL173" s="112"/>
      <c r="AM173" s="112"/>
      <c r="AN173" s="79">
        <f>+Inputs!AI49</f>
        <v>0.2</v>
      </c>
      <c r="AO173" s="49"/>
    </row>
    <row r="174" spans="1:41" ht="12.75">
      <c r="A174" s="11" t="s">
        <v>479</v>
      </c>
      <c r="B174" s="11"/>
      <c r="C174" s="49"/>
      <c r="D174" s="37">
        <v>0</v>
      </c>
      <c r="E174" s="49"/>
      <c r="F174" s="144"/>
      <c r="G174" s="49"/>
      <c r="H174" s="37">
        <f>+H173*H170*H165*H163</f>
        <v>0</v>
      </c>
      <c r="I174" s="49"/>
      <c r="J174" s="144"/>
      <c r="K174" s="49"/>
      <c r="L174" s="37">
        <f>+L173*L170*L165*L163</f>
        <v>3299105.320479634</v>
      </c>
      <c r="M174" s="49"/>
      <c r="O174" s="11" t="s">
        <v>479</v>
      </c>
      <c r="P174" s="11"/>
      <c r="Q174" s="49"/>
      <c r="R174" s="37">
        <v>0</v>
      </c>
      <c r="S174" s="49"/>
      <c r="T174" s="49"/>
      <c r="U174" s="49"/>
      <c r="V174" s="37">
        <f>+V173*V170*V165*V163</f>
        <v>0</v>
      </c>
      <c r="W174" s="49"/>
      <c r="X174" s="49"/>
      <c r="Y174" s="49"/>
      <c r="Z174" s="37">
        <f>+Z173*Z170*Z165*Z163</f>
        <v>2273540.7451994484</v>
      </c>
      <c r="AA174" s="49"/>
      <c r="AC174" s="11" t="s">
        <v>479</v>
      </c>
      <c r="AD174" s="11"/>
      <c r="AE174" s="49"/>
      <c r="AF174" s="37">
        <v>0</v>
      </c>
      <c r="AG174" s="49"/>
      <c r="AH174" s="49"/>
      <c r="AI174" s="49"/>
      <c r="AJ174" s="37">
        <f>+AJ173*AJ170*AJ165*AJ163</f>
        <v>0</v>
      </c>
      <c r="AK174" s="49"/>
      <c r="AL174" s="49"/>
      <c r="AM174" s="49"/>
      <c r="AN174" s="37">
        <f>+AN173*AN170*AN165*AN163</f>
        <v>1647493.2936227883</v>
      </c>
      <c r="AO174" s="49"/>
    </row>
    <row r="175" spans="1:41" ht="12.75">
      <c r="A175" s="11"/>
      <c r="B175" s="11"/>
      <c r="C175" s="49"/>
      <c r="D175" s="37"/>
      <c r="E175" s="49"/>
      <c r="F175" s="49"/>
      <c r="G175" s="49"/>
      <c r="H175" s="37"/>
      <c r="I175" s="49"/>
      <c r="J175" s="49"/>
      <c r="K175" s="49"/>
      <c r="L175" s="37"/>
      <c r="M175" s="49"/>
      <c r="O175" s="11"/>
      <c r="P175" s="11"/>
      <c r="Q175" s="49"/>
      <c r="R175" s="37"/>
      <c r="S175" s="49"/>
      <c r="T175" s="49"/>
      <c r="U175" s="49"/>
      <c r="V175" s="37"/>
      <c r="W175" s="49"/>
      <c r="X175" s="49"/>
      <c r="Y175" s="49"/>
      <c r="Z175" s="37"/>
      <c r="AA175" s="49"/>
      <c r="AC175" s="11"/>
      <c r="AD175" s="11"/>
      <c r="AE175" s="49"/>
      <c r="AF175" s="37"/>
      <c r="AG175" s="49"/>
      <c r="AH175" s="49"/>
      <c r="AI175" s="49"/>
      <c r="AJ175" s="37"/>
      <c r="AK175" s="49"/>
      <c r="AL175" s="49"/>
      <c r="AM175" s="49"/>
      <c r="AN175" s="37"/>
      <c r="AO175" s="49"/>
    </row>
    <row r="176" spans="1:41" ht="12.75">
      <c r="A176" s="20" t="s">
        <v>641</v>
      </c>
      <c r="B176" s="11"/>
      <c r="C176" s="49"/>
      <c r="D176" s="37"/>
      <c r="E176" s="49"/>
      <c r="F176" s="49"/>
      <c r="G176" s="49"/>
      <c r="H176" s="37"/>
      <c r="I176" s="49"/>
      <c r="J176" s="49"/>
      <c r="K176" s="49"/>
      <c r="L176" s="37"/>
      <c r="M176" s="49"/>
      <c r="O176" s="20" t="s">
        <v>568</v>
      </c>
      <c r="P176" s="11"/>
      <c r="Q176" s="49"/>
      <c r="R176" s="37"/>
      <c r="S176" s="49"/>
      <c r="T176" s="49"/>
      <c r="U176" s="49"/>
      <c r="V176" s="37"/>
      <c r="W176" s="49"/>
      <c r="X176" s="49"/>
      <c r="Y176" s="49"/>
      <c r="Z176" s="37"/>
      <c r="AA176" s="49"/>
      <c r="AC176" s="20" t="s">
        <v>568</v>
      </c>
      <c r="AD176" s="11"/>
      <c r="AE176" s="49"/>
      <c r="AF176" s="37"/>
      <c r="AG176" s="49"/>
      <c r="AH176" s="49"/>
      <c r="AI176" s="49"/>
      <c r="AJ176" s="37"/>
      <c r="AK176" s="49"/>
      <c r="AL176" s="49"/>
      <c r="AM176" s="49"/>
      <c r="AN176" s="37"/>
      <c r="AO176" s="49"/>
    </row>
    <row r="177" spans="1:41" ht="12.75">
      <c r="A177" s="20"/>
      <c r="B177" s="20"/>
      <c r="C177" s="177" t="s">
        <v>647</v>
      </c>
      <c r="D177" s="178"/>
      <c r="E177" s="178"/>
      <c r="F177" s="50"/>
      <c r="G177" s="175" t="s">
        <v>546</v>
      </c>
      <c r="H177" s="179"/>
      <c r="I177" s="179"/>
      <c r="J177" s="50"/>
      <c r="K177" s="175" t="s">
        <v>547</v>
      </c>
      <c r="L177" s="179"/>
      <c r="M177" s="179"/>
      <c r="O177" s="20"/>
      <c r="P177" s="20"/>
      <c r="Q177" s="175" t="s">
        <v>545</v>
      </c>
      <c r="R177" s="179"/>
      <c r="S177" s="179"/>
      <c r="T177" s="50"/>
      <c r="U177" s="175" t="s">
        <v>546</v>
      </c>
      <c r="V177" s="179"/>
      <c r="W177" s="179"/>
      <c r="X177" s="50"/>
      <c r="Y177" s="175" t="s">
        <v>547</v>
      </c>
      <c r="Z177" s="179"/>
      <c r="AA177" s="179"/>
      <c r="AC177" s="20"/>
      <c r="AD177" s="20"/>
      <c r="AE177" s="175" t="s">
        <v>545</v>
      </c>
      <c r="AF177" s="179"/>
      <c r="AG177" s="179"/>
      <c r="AH177" s="50"/>
      <c r="AI177" s="175" t="s">
        <v>546</v>
      </c>
      <c r="AJ177" s="179"/>
      <c r="AK177" s="179"/>
      <c r="AL177" s="50"/>
      <c r="AM177" s="175" t="s">
        <v>547</v>
      </c>
      <c r="AN177" s="179"/>
      <c r="AO177" s="179"/>
    </row>
    <row r="178" spans="1:49" ht="12.75">
      <c r="A178" s="11"/>
      <c r="B178" s="11"/>
      <c r="C178" s="87" t="s">
        <v>92</v>
      </c>
      <c r="D178" s="87" t="s">
        <v>551</v>
      </c>
      <c r="E178" s="87" t="s">
        <v>40</v>
      </c>
      <c r="F178" s="142"/>
      <c r="G178" s="87" t="s">
        <v>92</v>
      </c>
      <c r="H178" s="87" t="s">
        <v>551</v>
      </c>
      <c r="I178" s="87" t="s">
        <v>40</v>
      </c>
      <c r="J178" s="142"/>
      <c r="K178" s="87" t="s">
        <v>92</v>
      </c>
      <c r="L178" s="87" t="s">
        <v>551</v>
      </c>
      <c r="M178" s="87" t="s">
        <v>40</v>
      </c>
      <c r="O178" s="11"/>
      <c r="P178" s="11"/>
      <c r="Q178" s="87" t="s">
        <v>92</v>
      </c>
      <c r="R178" s="87" t="s">
        <v>551</v>
      </c>
      <c r="S178" s="87" t="s">
        <v>40</v>
      </c>
      <c r="T178" s="87"/>
      <c r="U178" s="87" t="s">
        <v>92</v>
      </c>
      <c r="V178" s="87" t="s">
        <v>551</v>
      </c>
      <c r="W178" s="87" t="s">
        <v>40</v>
      </c>
      <c r="X178" s="87"/>
      <c r="Y178" s="87" t="s">
        <v>92</v>
      </c>
      <c r="Z178" s="87" t="s">
        <v>551</v>
      </c>
      <c r="AA178" s="87" t="s">
        <v>40</v>
      </c>
      <c r="AC178" s="11"/>
      <c r="AD178" s="11"/>
      <c r="AE178" s="87" t="s">
        <v>92</v>
      </c>
      <c r="AF178" s="87" t="s">
        <v>551</v>
      </c>
      <c r="AG178" s="87" t="s">
        <v>40</v>
      </c>
      <c r="AH178" s="87"/>
      <c r="AI178" s="87" t="s">
        <v>92</v>
      </c>
      <c r="AJ178" s="87" t="s">
        <v>551</v>
      </c>
      <c r="AK178" s="87" t="s">
        <v>40</v>
      </c>
      <c r="AL178" s="87"/>
      <c r="AM178" s="87" t="s">
        <v>92</v>
      </c>
      <c r="AN178" s="87" t="s">
        <v>551</v>
      </c>
      <c r="AO178" s="87" t="s">
        <v>40</v>
      </c>
      <c r="AP178" s="87"/>
      <c r="AQ178" s="87" t="s">
        <v>92</v>
      </c>
      <c r="AR178" s="87" t="s">
        <v>551</v>
      </c>
      <c r="AS178" s="87" t="s">
        <v>40</v>
      </c>
      <c r="AT178" s="87"/>
      <c r="AU178" s="87" t="s">
        <v>92</v>
      </c>
      <c r="AV178" s="87" t="s">
        <v>551</v>
      </c>
      <c r="AW178" s="87" t="s">
        <v>40</v>
      </c>
    </row>
    <row r="179" spans="1:41" ht="12.75">
      <c r="A179" s="26" t="s">
        <v>481</v>
      </c>
      <c r="B179" s="11"/>
      <c r="C179" s="24"/>
      <c r="D179" s="24"/>
      <c r="E179" s="24"/>
      <c r="F179" s="168"/>
      <c r="G179" s="24"/>
      <c r="H179" s="24"/>
      <c r="I179" s="24"/>
      <c r="J179" s="168"/>
      <c r="K179" s="24"/>
      <c r="L179" s="24"/>
      <c r="M179" s="24"/>
      <c r="O179" s="26" t="s">
        <v>481</v>
      </c>
      <c r="P179" s="11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C179" s="26" t="s">
        <v>481</v>
      </c>
      <c r="AD179" s="11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 ht="12.75">
      <c r="A180" s="11" t="s">
        <v>435</v>
      </c>
      <c r="B180" s="11"/>
      <c r="C180" s="24"/>
      <c r="D180" s="24"/>
      <c r="E180" s="62">
        <f>(60/C83/1.5)-1</f>
        <v>0.7252610040047822</v>
      </c>
      <c r="F180" s="168"/>
      <c r="G180" s="24"/>
      <c r="H180" s="60"/>
      <c r="I180" s="62">
        <f>(60/G83/1.5)-1</f>
        <v>0.7252610040047822</v>
      </c>
      <c r="J180" s="168"/>
      <c r="K180" s="24"/>
      <c r="L180" s="24"/>
      <c r="M180" s="62">
        <f>(60/K83/1.5)-1</f>
        <v>0.7252610040047822</v>
      </c>
      <c r="O180" s="11" t="s">
        <v>435</v>
      </c>
      <c r="P180" s="11"/>
      <c r="Q180" s="24"/>
      <c r="R180" s="24"/>
      <c r="S180" s="62">
        <f>(60/Q83/1.5)-1</f>
        <v>0.8329370191847933</v>
      </c>
      <c r="T180" s="24"/>
      <c r="U180" s="24"/>
      <c r="V180" s="60"/>
      <c r="W180" s="62">
        <f>(60/U83/1.5)-1</f>
        <v>0.8329370191847933</v>
      </c>
      <c r="X180" s="24"/>
      <c r="Y180" s="24"/>
      <c r="Z180" s="24"/>
      <c r="AA180" s="62">
        <f>(60/Y83/1.5)-1</f>
        <v>0.8329370191847933</v>
      </c>
      <c r="AC180" s="11" t="s">
        <v>435</v>
      </c>
      <c r="AD180" s="11"/>
      <c r="AE180" s="24"/>
      <c r="AF180" s="24"/>
      <c r="AG180" s="62">
        <f>(60/AE83/1.5)-1</f>
        <v>0.3828209154425217</v>
      </c>
      <c r="AH180" s="24"/>
      <c r="AI180" s="24"/>
      <c r="AJ180" s="60"/>
      <c r="AK180" s="62">
        <f>(60/AI83/1.5)-1</f>
        <v>0.3828209154425217</v>
      </c>
      <c r="AL180" s="24"/>
      <c r="AM180" s="24"/>
      <c r="AN180" s="24"/>
      <c r="AO180" s="62">
        <f>(60/AM83/1.5)-1</f>
        <v>0.3828209154425217</v>
      </c>
    </row>
    <row r="181" spans="1:41" ht="12.75">
      <c r="A181" s="11" t="s">
        <v>432</v>
      </c>
      <c r="B181" s="11"/>
      <c r="C181" s="24"/>
      <c r="D181" s="24"/>
      <c r="E181" s="63">
        <f>+B26/1.5</f>
        <v>186866.0181818182</v>
      </c>
      <c r="F181" s="168"/>
      <c r="G181" s="24"/>
      <c r="H181" s="59"/>
      <c r="I181" s="63">
        <f>+B26/1.5</f>
        <v>186866.0181818182</v>
      </c>
      <c r="J181" s="168"/>
      <c r="K181" s="24"/>
      <c r="L181" s="24"/>
      <c r="M181" s="63">
        <f>+B26/1.5</f>
        <v>186866.0181818182</v>
      </c>
      <c r="O181" s="11" t="s">
        <v>432</v>
      </c>
      <c r="P181" s="11"/>
      <c r="Q181" s="24"/>
      <c r="R181" s="24"/>
      <c r="S181" s="63">
        <f>+P26/1.5</f>
        <v>193164.8727272727</v>
      </c>
      <c r="T181" s="24"/>
      <c r="U181" s="24"/>
      <c r="V181" s="59"/>
      <c r="W181" s="63">
        <f>+P26/1.5</f>
        <v>193164.8727272727</v>
      </c>
      <c r="X181" s="24"/>
      <c r="Y181" s="24"/>
      <c r="Z181" s="24"/>
      <c r="AA181" s="63">
        <f>+P26/1.5</f>
        <v>193164.8727272727</v>
      </c>
      <c r="AC181" s="11" t="s">
        <v>432</v>
      </c>
      <c r="AD181" s="11"/>
      <c r="AE181" s="24"/>
      <c r="AF181" s="24"/>
      <c r="AG181" s="63">
        <f>+AD26/1.5</f>
        <v>167969.45454545453</v>
      </c>
      <c r="AH181" s="24"/>
      <c r="AI181" s="24"/>
      <c r="AJ181" s="59"/>
      <c r="AK181" s="63">
        <f>+AD26/1.5</f>
        <v>167969.45454545453</v>
      </c>
      <c r="AL181" s="24"/>
      <c r="AM181" s="24"/>
      <c r="AN181" s="24"/>
      <c r="AO181" s="63">
        <f>+AD26/1.5</f>
        <v>167969.45454545453</v>
      </c>
    </row>
    <row r="182" spans="1:41" ht="12.75">
      <c r="A182" s="11" t="s">
        <v>433</v>
      </c>
      <c r="B182" s="11"/>
      <c r="C182" s="24"/>
      <c r="D182" s="24"/>
      <c r="E182" s="64">
        <v>1.33</v>
      </c>
      <c r="F182" s="168"/>
      <c r="G182" s="24"/>
      <c r="H182" s="58"/>
      <c r="I182" s="64">
        <v>1.33</v>
      </c>
      <c r="J182" s="168"/>
      <c r="K182" s="24"/>
      <c r="L182" s="24"/>
      <c r="M182" s="64">
        <v>1.33</v>
      </c>
      <c r="O182" s="11" t="s">
        <v>433</v>
      </c>
      <c r="P182" s="11"/>
      <c r="Q182" s="24"/>
      <c r="R182" s="24"/>
      <c r="S182" s="64">
        <v>1.33</v>
      </c>
      <c r="T182" s="24"/>
      <c r="U182" s="24"/>
      <c r="V182" s="58"/>
      <c r="W182" s="64">
        <v>1.33</v>
      </c>
      <c r="X182" s="24"/>
      <c r="Y182" s="24"/>
      <c r="Z182" s="24"/>
      <c r="AA182" s="64">
        <v>1.33</v>
      </c>
      <c r="AC182" s="11" t="s">
        <v>433</v>
      </c>
      <c r="AD182" s="11"/>
      <c r="AE182" s="24"/>
      <c r="AF182" s="24"/>
      <c r="AG182" s="64">
        <v>1.33</v>
      </c>
      <c r="AH182" s="24"/>
      <c r="AI182" s="24"/>
      <c r="AJ182" s="58"/>
      <c r="AK182" s="64">
        <v>1.33</v>
      </c>
      <c r="AL182" s="24"/>
      <c r="AM182" s="24"/>
      <c r="AN182" s="24"/>
      <c r="AO182" s="64">
        <v>1.33</v>
      </c>
    </row>
    <row r="183" spans="1:41" ht="12.75">
      <c r="A183" s="11" t="s">
        <v>434</v>
      </c>
      <c r="B183" s="11"/>
      <c r="C183" s="24"/>
      <c r="D183" s="24"/>
      <c r="E183" s="63">
        <f>+E181*E180/60</f>
        <v>2258.777266015356</v>
      </c>
      <c r="F183" s="168"/>
      <c r="G183" s="24"/>
      <c r="H183" s="59"/>
      <c r="I183" s="63">
        <f>+I181*I180/60</f>
        <v>2258.777266015356</v>
      </c>
      <c r="J183" s="168"/>
      <c r="K183" s="24"/>
      <c r="L183" s="24"/>
      <c r="M183" s="63">
        <f>+M181*M180/60</f>
        <v>2258.777266015356</v>
      </c>
      <c r="O183" s="11" t="s">
        <v>434</v>
      </c>
      <c r="P183" s="11"/>
      <c r="Q183" s="24"/>
      <c r="R183" s="24"/>
      <c r="S183" s="63">
        <f>+S181*S180/60</f>
        <v>2681.5695550110754</v>
      </c>
      <c r="T183" s="24"/>
      <c r="U183" s="24"/>
      <c r="V183" s="59"/>
      <c r="W183" s="63">
        <f>+W181*W180/60</f>
        <v>2681.5695550110754</v>
      </c>
      <c r="X183" s="24"/>
      <c r="Y183" s="24"/>
      <c r="Z183" s="24"/>
      <c r="AA183" s="63">
        <f>+AA181*AA180/60</f>
        <v>2681.5695550110754</v>
      </c>
      <c r="AC183" s="11" t="s">
        <v>434</v>
      </c>
      <c r="AD183" s="11"/>
      <c r="AE183" s="24"/>
      <c r="AF183" s="24"/>
      <c r="AG183" s="63">
        <f>+AG181*AG180/60</f>
        <v>1071.7036725911992</v>
      </c>
      <c r="AH183" s="24"/>
      <c r="AI183" s="24"/>
      <c r="AJ183" s="59"/>
      <c r="AK183" s="63">
        <f>+AK181*AK180/60</f>
        <v>1071.7036725911992</v>
      </c>
      <c r="AL183" s="24"/>
      <c r="AM183" s="24"/>
      <c r="AN183" s="24"/>
      <c r="AO183" s="63">
        <f>+AO181*AO180/60</f>
        <v>1071.7036725911992</v>
      </c>
    </row>
    <row r="184" spans="1:41" ht="12.75">
      <c r="A184" s="11" t="s">
        <v>427</v>
      </c>
      <c r="B184" s="11"/>
      <c r="C184" s="24"/>
      <c r="D184" s="24"/>
      <c r="E184" s="65">
        <f>+Inputs!B67</f>
        <v>1</v>
      </c>
      <c r="F184" s="168"/>
      <c r="G184" s="24"/>
      <c r="H184" s="61"/>
      <c r="I184" s="65">
        <f>+Inputs!C67</f>
        <v>1</v>
      </c>
      <c r="J184" s="168"/>
      <c r="K184" s="24"/>
      <c r="L184" s="24"/>
      <c r="M184" s="65">
        <f>+Inputs!D67</f>
        <v>1</v>
      </c>
      <c r="O184" s="11" t="s">
        <v>427</v>
      </c>
      <c r="P184" s="11"/>
      <c r="Q184" s="24"/>
      <c r="R184" s="24"/>
      <c r="S184" s="65">
        <f>+Inputs!P67</f>
        <v>1</v>
      </c>
      <c r="T184" s="24"/>
      <c r="U184" s="24"/>
      <c r="V184" s="61"/>
      <c r="W184" s="65">
        <f>+Inputs!Q67</f>
        <v>1</v>
      </c>
      <c r="X184" s="24"/>
      <c r="Y184" s="24"/>
      <c r="Z184" s="24"/>
      <c r="AA184" s="65">
        <f>+Inputs!R67</f>
        <v>1</v>
      </c>
      <c r="AC184" s="11" t="s">
        <v>427</v>
      </c>
      <c r="AD184" s="11"/>
      <c r="AE184" s="24"/>
      <c r="AF184" s="24"/>
      <c r="AG184" s="65">
        <f>+Inputs!AD67</f>
        <v>1</v>
      </c>
      <c r="AH184" s="24"/>
      <c r="AI184" s="24"/>
      <c r="AJ184" s="61"/>
      <c r="AK184" s="65">
        <f>+Inputs!AE67</f>
        <v>1</v>
      </c>
      <c r="AL184" s="24"/>
      <c r="AM184" s="24"/>
      <c r="AN184" s="24"/>
      <c r="AO184" s="65">
        <f>+Inputs!AF67</f>
        <v>1</v>
      </c>
    </row>
    <row r="185" spans="1:41" ht="12.75">
      <c r="A185" s="11" t="s">
        <v>428</v>
      </c>
      <c r="B185" s="11"/>
      <c r="C185" s="24"/>
      <c r="D185" s="24"/>
      <c r="E185" s="63">
        <f>+E183*E184</f>
        <v>2258.777266015356</v>
      </c>
      <c r="F185" s="168"/>
      <c r="G185" s="24"/>
      <c r="H185" s="59"/>
      <c r="I185" s="63">
        <f>+I183*I184</f>
        <v>2258.777266015356</v>
      </c>
      <c r="J185" s="168"/>
      <c r="K185" s="24"/>
      <c r="L185" s="24"/>
      <c r="M185" s="63">
        <f>+M183*M184</f>
        <v>2258.777266015356</v>
      </c>
      <c r="O185" s="11" t="s">
        <v>428</v>
      </c>
      <c r="P185" s="11"/>
      <c r="Q185" s="24"/>
      <c r="R185" s="24"/>
      <c r="S185" s="63">
        <f>+S183*S184</f>
        <v>2681.5695550110754</v>
      </c>
      <c r="T185" s="24"/>
      <c r="U185" s="24"/>
      <c r="V185" s="59"/>
      <c r="W185" s="63">
        <f>+W183*W184</f>
        <v>2681.5695550110754</v>
      </c>
      <c r="X185" s="24"/>
      <c r="Y185" s="24"/>
      <c r="Z185" s="24"/>
      <c r="AA185" s="63">
        <f>+AA183*AA184</f>
        <v>2681.5695550110754</v>
      </c>
      <c r="AC185" s="11" t="s">
        <v>428</v>
      </c>
      <c r="AD185" s="11"/>
      <c r="AE185" s="24"/>
      <c r="AF185" s="24"/>
      <c r="AG185" s="63">
        <f>+AG183*AG184</f>
        <v>1071.7036725911992</v>
      </c>
      <c r="AH185" s="24"/>
      <c r="AI185" s="24"/>
      <c r="AJ185" s="59"/>
      <c r="AK185" s="63">
        <f>+AK183*AK184</f>
        <v>1071.7036725911992</v>
      </c>
      <c r="AL185" s="24"/>
      <c r="AM185" s="24"/>
      <c r="AN185" s="24"/>
      <c r="AO185" s="63">
        <f>+AO183*AO184</f>
        <v>1071.7036725911992</v>
      </c>
    </row>
    <row r="186" spans="1:41" ht="12.75">
      <c r="A186" s="11" t="s">
        <v>429</v>
      </c>
      <c r="B186" s="11"/>
      <c r="C186" s="24"/>
      <c r="D186" s="24"/>
      <c r="E186" s="64">
        <f>+Inputs!B66</f>
        <v>250</v>
      </c>
      <c r="F186" s="168"/>
      <c r="G186" s="24"/>
      <c r="H186" s="58"/>
      <c r="I186" s="64">
        <f>+Inputs!C66</f>
        <v>250</v>
      </c>
      <c r="J186" s="168"/>
      <c r="K186" s="24"/>
      <c r="L186" s="24"/>
      <c r="M186" s="64">
        <f>+Inputs!D66</f>
        <v>250</v>
      </c>
      <c r="O186" s="11" t="s">
        <v>429</v>
      </c>
      <c r="P186" s="11"/>
      <c r="Q186" s="24"/>
      <c r="R186" s="24"/>
      <c r="S186" s="64">
        <f>+Inputs!P66</f>
        <v>250</v>
      </c>
      <c r="T186" s="24"/>
      <c r="U186" s="24"/>
      <c r="V186" s="58"/>
      <c r="W186" s="64">
        <f>+Inputs!Q66</f>
        <v>250</v>
      </c>
      <c r="X186" s="24"/>
      <c r="Y186" s="24"/>
      <c r="Z186" s="24"/>
      <c r="AA186" s="64">
        <f>+Inputs!R66</f>
        <v>250</v>
      </c>
      <c r="AC186" s="11" t="s">
        <v>429</v>
      </c>
      <c r="AD186" s="11"/>
      <c r="AE186" s="24"/>
      <c r="AF186" s="24"/>
      <c r="AG186" s="64">
        <f>+Inputs!AD66</f>
        <v>250</v>
      </c>
      <c r="AH186" s="24"/>
      <c r="AI186" s="24"/>
      <c r="AJ186" s="58"/>
      <c r="AK186" s="64">
        <f>+Inputs!AE66</f>
        <v>250</v>
      </c>
      <c r="AL186" s="24"/>
      <c r="AM186" s="24"/>
      <c r="AN186" s="24"/>
      <c r="AO186" s="64">
        <f>+Inputs!AF66</f>
        <v>250</v>
      </c>
    </row>
    <row r="187" spans="1:41" ht="12.75">
      <c r="A187" s="11" t="s">
        <v>436</v>
      </c>
      <c r="B187" s="11"/>
      <c r="C187" s="24"/>
      <c r="D187" s="24"/>
      <c r="E187" s="63">
        <f>+E185*E186</f>
        <v>564694.316503839</v>
      </c>
      <c r="F187" s="168"/>
      <c r="G187" s="24"/>
      <c r="H187" s="59"/>
      <c r="I187" s="63">
        <f>+I185*I186</f>
        <v>564694.316503839</v>
      </c>
      <c r="J187" s="168"/>
      <c r="K187" s="24"/>
      <c r="L187" s="24"/>
      <c r="M187" s="63">
        <f>+M185*M186</f>
        <v>564694.316503839</v>
      </c>
      <c r="O187" s="11" t="s">
        <v>436</v>
      </c>
      <c r="P187" s="11"/>
      <c r="Q187" s="24"/>
      <c r="R187" s="24"/>
      <c r="S187" s="63">
        <f>+S185*S186</f>
        <v>670392.3887527689</v>
      </c>
      <c r="T187" s="24"/>
      <c r="U187" s="24"/>
      <c r="V187" s="59"/>
      <c r="W187" s="63">
        <f>+W185*W186</f>
        <v>670392.3887527689</v>
      </c>
      <c r="X187" s="24"/>
      <c r="Y187" s="24"/>
      <c r="Z187" s="24"/>
      <c r="AA187" s="63">
        <f>+AA185*AA186</f>
        <v>670392.3887527689</v>
      </c>
      <c r="AC187" s="11" t="s">
        <v>436</v>
      </c>
      <c r="AD187" s="11"/>
      <c r="AE187" s="24"/>
      <c r="AF187" s="24"/>
      <c r="AG187" s="63">
        <f>+AG185*AG186</f>
        <v>267925.9181477998</v>
      </c>
      <c r="AH187" s="24"/>
      <c r="AI187" s="24"/>
      <c r="AJ187" s="59"/>
      <c r="AK187" s="63">
        <f>+AK185*AK186</f>
        <v>267925.9181477998</v>
      </c>
      <c r="AL187" s="24"/>
      <c r="AM187" s="24"/>
      <c r="AN187" s="24"/>
      <c r="AO187" s="63">
        <f>+AO185*AO186</f>
        <v>267925.9181477998</v>
      </c>
    </row>
    <row r="188" spans="1:41" ht="12.75">
      <c r="A188" s="11"/>
      <c r="B188" s="11"/>
      <c r="C188" s="24"/>
      <c r="D188" s="24"/>
      <c r="E188" s="24"/>
      <c r="F188" s="168"/>
      <c r="G188" s="24"/>
      <c r="H188" s="24"/>
      <c r="I188" s="24"/>
      <c r="J188" s="168"/>
      <c r="K188" s="24"/>
      <c r="L188" s="24"/>
      <c r="M188" s="24"/>
      <c r="O188" s="11"/>
      <c r="P188" s="11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C188" s="11"/>
      <c r="AD188" s="11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39" ht="12.75">
      <c r="A189" s="53" t="s">
        <v>482</v>
      </c>
      <c r="B189" s="18"/>
      <c r="C189" s="18"/>
      <c r="D189" s="18"/>
      <c r="E189" s="18"/>
      <c r="F189" s="143"/>
      <c r="G189" s="18"/>
      <c r="H189" s="18"/>
      <c r="I189" s="18"/>
      <c r="J189" s="143"/>
      <c r="K189" s="18"/>
      <c r="O189" s="53" t="s">
        <v>482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AC189" s="53" t="s">
        <v>482</v>
      </c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41" ht="12.75">
      <c r="A190" s="11" t="s">
        <v>425</v>
      </c>
      <c r="B190" s="11"/>
      <c r="C190" s="18"/>
      <c r="D190" s="18"/>
      <c r="E190" s="14">
        <f>+'alt 1'!E287</f>
        <v>23169.362379897677</v>
      </c>
      <c r="F190" s="169"/>
      <c r="G190" s="18"/>
      <c r="H190" s="18"/>
      <c r="I190" s="14">
        <f>+'alt 2'!E287</f>
        <v>4300.142264686583</v>
      </c>
      <c r="J190" s="143"/>
      <c r="K190" s="18"/>
      <c r="M190" s="14">
        <f>+'alt 3'!E287</f>
        <v>-47.294993574440014</v>
      </c>
      <c r="O190" s="11" t="s">
        <v>425</v>
      </c>
      <c r="P190" s="11"/>
      <c r="Q190" s="18"/>
      <c r="R190" s="18"/>
      <c r="S190" s="14">
        <f>+'alt 1'!S287</f>
        <v>23148.19046870072</v>
      </c>
      <c r="T190" s="14"/>
      <c r="U190" s="18"/>
      <c r="V190" s="18"/>
      <c r="W190" s="14">
        <f>+'alt 2'!S287</f>
        <v>3752.2261953769485</v>
      </c>
      <c r="X190" s="18"/>
      <c r="Y190" s="18"/>
      <c r="AA190" s="14">
        <f>+'alt 3'!S287</f>
        <v>-818.1381907177856</v>
      </c>
      <c r="AC190" s="11" t="s">
        <v>425</v>
      </c>
      <c r="AD190" s="11"/>
      <c r="AE190" s="18"/>
      <c r="AF190" s="18"/>
      <c r="AG190" s="14">
        <f>+'alt 1'!AG287</f>
        <v>20488.20233218302</v>
      </c>
      <c r="AH190" s="14"/>
      <c r="AI190" s="18"/>
      <c r="AJ190" s="18"/>
      <c r="AK190" s="14">
        <f>+'alt 2'!AG287</f>
        <v>5530.555069827649</v>
      </c>
      <c r="AL190" s="18"/>
      <c r="AM190" s="18"/>
      <c r="AO190" s="14">
        <f>+'alt 3'!AG287</f>
        <v>1679.339982247271</v>
      </c>
    </row>
    <row r="191" spans="1:41" ht="12.75">
      <c r="A191" s="19" t="s">
        <v>652</v>
      </c>
      <c r="B191" s="19"/>
      <c r="C191" s="18"/>
      <c r="D191" s="18"/>
      <c r="E191" s="19">
        <f>+'alt 1'!E288</f>
        <v>0.06</v>
      </c>
      <c r="F191" s="170"/>
      <c r="G191" s="18"/>
      <c r="H191" s="18"/>
      <c r="I191" s="19">
        <f>+'alt 2'!E288</f>
        <v>0.06</v>
      </c>
      <c r="J191" s="143"/>
      <c r="K191" s="18"/>
      <c r="M191" s="19">
        <f>+'alt 3'!E288</f>
        <v>0.06</v>
      </c>
      <c r="O191" s="19" t="s">
        <v>367</v>
      </c>
      <c r="P191" s="19"/>
      <c r="Q191" s="18"/>
      <c r="R191" s="18"/>
      <c r="S191" s="19">
        <f>+'alt 1'!S288</f>
        <v>0.06</v>
      </c>
      <c r="T191" s="19"/>
      <c r="U191" s="18"/>
      <c r="V191" s="18"/>
      <c r="W191" s="19">
        <f>+'alt 2'!S288</f>
        <v>0.06</v>
      </c>
      <c r="X191" s="18"/>
      <c r="Y191" s="18"/>
      <c r="AA191" s="19">
        <f>+'alt 3'!S288</f>
        <v>0.06</v>
      </c>
      <c r="AC191" s="19" t="s">
        <v>367</v>
      </c>
      <c r="AD191" s="19"/>
      <c r="AE191" s="18"/>
      <c r="AF191" s="18"/>
      <c r="AG191" s="19">
        <f>+'alt 1'!AG288</f>
        <v>0.06</v>
      </c>
      <c r="AH191" s="19"/>
      <c r="AI191" s="18"/>
      <c r="AJ191" s="18"/>
      <c r="AK191" s="19">
        <f>+'alt 2'!AG288</f>
        <v>0.06</v>
      </c>
      <c r="AL191" s="18"/>
      <c r="AM191" s="18"/>
      <c r="AO191" s="19">
        <f>+'alt 3'!AG288</f>
        <v>0.06</v>
      </c>
    </row>
    <row r="192" spans="1:41" ht="12.75">
      <c r="A192" s="11" t="s">
        <v>653</v>
      </c>
      <c r="B192" s="11"/>
      <c r="C192" s="18"/>
      <c r="D192" s="18"/>
      <c r="E192" s="37">
        <f>+'alt 1'!E291</f>
        <v>1390.1617427938606</v>
      </c>
      <c r="F192" s="154"/>
      <c r="G192" s="18"/>
      <c r="H192" s="18"/>
      <c r="I192" s="37">
        <f>+'alt 2'!E291</f>
        <v>258.008535881195</v>
      </c>
      <c r="J192" s="143"/>
      <c r="K192" s="18"/>
      <c r="M192" s="37">
        <f>+'alt 3'!E291</f>
        <v>-2.8376996144664006</v>
      </c>
      <c r="O192" s="11" t="s">
        <v>426</v>
      </c>
      <c r="P192" s="11"/>
      <c r="Q192" s="18"/>
      <c r="R192" s="18"/>
      <c r="S192" s="37">
        <f>+'alt 1'!S291</f>
        <v>1388.8914281220432</v>
      </c>
      <c r="T192" s="37"/>
      <c r="U192" s="18"/>
      <c r="V192" s="18"/>
      <c r="W192" s="37">
        <f>+'alt 2'!S291</f>
        <v>225.1335717226169</v>
      </c>
      <c r="X192" s="18"/>
      <c r="Y192" s="18"/>
      <c r="AA192" s="37">
        <f>+'alt 3'!S291</f>
        <v>-49.088291443067135</v>
      </c>
      <c r="AC192" s="11" t="s">
        <v>426</v>
      </c>
      <c r="AD192" s="11"/>
      <c r="AE192" s="18"/>
      <c r="AF192" s="18"/>
      <c r="AG192" s="37">
        <f>+'alt 1'!AG291</f>
        <v>1229.2921399309812</v>
      </c>
      <c r="AH192" s="37"/>
      <c r="AI192" s="18"/>
      <c r="AJ192" s="18"/>
      <c r="AK192" s="37">
        <f>+'alt 2'!AG291</f>
        <v>331.8333041896589</v>
      </c>
      <c r="AL192" s="18"/>
      <c r="AM192" s="18"/>
      <c r="AO192" s="37">
        <f>+'alt 3'!AG291</f>
        <v>100.76039893483626</v>
      </c>
    </row>
    <row r="193" spans="1:39" ht="12.75">
      <c r="A193" s="11"/>
      <c r="B193" s="11"/>
      <c r="C193" s="18"/>
      <c r="D193" s="18"/>
      <c r="E193" s="18"/>
      <c r="F193" s="143"/>
      <c r="G193" s="18"/>
      <c r="H193" s="18"/>
      <c r="I193" s="18"/>
      <c r="J193" s="143"/>
      <c r="K193" s="18"/>
      <c r="O193" s="11"/>
      <c r="P193" s="11"/>
      <c r="Q193" s="18"/>
      <c r="R193" s="18"/>
      <c r="S193" s="18"/>
      <c r="T193" s="18"/>
      <c r="U193" s="18"/>
      <c r="V193" s="18"/>
      <c r="W193" s="18"/>
      <c r="X193" s="18"/>
      <c r="Y193" s="18"/>
      <c r="AC193" s="11"/>
      <c r="AD193" s="11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ht="12.75">
      <c r="A194" s="26" t="s">
        <v>348</v>
      </c>
      <c r="B194" s="26"/>
      <c r="C194" s="18"/>
      <c r="D194" s="18"/>
      <c r="E194" s="18"/>
      <c r="F194" s="143"/>
      <c r="G194" s="18"/>
      <c r="H194" s="18"/>
      <c r="I194" s="18"/>
      <c r="J194" s="143"/>
      <c r="K194" s="18"/>
      <c r="O194" s="26" t="s">
        <v>348</v>
      </c>
      <c r="P194" s="26"/>
      <c r="Q194" s="18"/>
      <c r="R194" s="18"/>
      <c r="S194" s="18"/>
      <c r="T194" s="18"/>
      <c r="U194" s="18"/>
      <c r="V194" s="18"/>
      <c r="W194" s="18"/>
      <c r="X194" s="18"/>
      <c r="Y194" s="18"/>
      <c r="AC194" s="26" t="s">
        <v>348</v>
      </c>
      <c r="AD194" s="26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1:41" ht="12.75">
      <c r="A195" s="11" t="s">
        <v>349</v>
      </c>
      <c r="B195" s="11"/>
      <c r="C195" s="37">
        <f>+'alt 1'!C297</f>
        <v>49171.05261010346</v>
      </c>
      <c r="D195" s="37">
        <f>+'alt 1'!D297</f>
        <v>0</v>
      </c>
      <c r="E195" s="37">
        <f>+'alt 1'!E297</f>
        <v>49171.05261010346</v>
      </c>
      <c r="F195" s="154"/>
      <c r="G195" s="37">
        <f>+'alt 2'!C297</f>
        <v>17259.854118533876</v>
      </c>
      <c r="H195" s="37">
        <f>+'alt 2'!D297</f>
        <v>39009.14044806463</v>
      </c>
      <c r="I195" s="37">
        <f>+'alt 2'!E297</f>
        <v>56268.99456659851</v>
      </c>
      <c r="J195" s="143"/>
      <c r="K195" s="37">
        <f>+'alt 3'!C297</f>
        <v>21196.63465100814</v>
      </c>
      <c r="L195" s="37">
        <f>+'alt 3'!D297</f>
        <v>40295.109360355484</v>
      </c>
      <c r="M195" s="37">
        <f>+'alt 3'!E297</f>
        <v>61491.744011363626</v>
      </c>
      <c r="O195" s="11" t="s">
        <v>349</v>
      </c>
      <c r="P195" s="11"/>
      <c r="Q195" s="37">
        <f>+'alt 1'!Q297</f>
        <v>53589.59142544255</v>
      </c>
      <c r="R195" s="37">
        <f>+'alt 1'!R297</f>
        <v>0</v>
      </c>
      <c r="S195" s="37">
        <f>+'alt 1'!S297</f>
        <v>53589.59142544255</v>
      </c>
      <c r="T195" s="37"/>
      <c r="U195" s="37">
        <f>+'alt 2'!Q297</f>
        <v>17249.1093851762</v>
      </c>
      <c r="V195" s="37">
        <f>+'alt 2'!R297</f>
        <v>43941.64306975122</v>
      </c>
      <c r="W195" s="37">
        <f>+'alt 2'!S297</f>
        <v>61190.752454927424</v>
      </c>
      <c r="X195" s="18"/>
      <c r="Y195" s="37">
        <f>+'alt 3'!Q297</f>
        <v>21672.06258352459</v>
      </c>
      <c r="Z195" s="37">
        <f>+'alt 3'!R297</f>
        <v>45406.17202114571</v>
      </c>
      <c r="AA195" s="37">
        <f>+'alt 3'!S297</f>
        <v>67078.23460467029</v>
      </c>
      <c r="AC195" s="11" t="s">
        <v>349</v>
      </c>
      <c r="AD195" s="11"/>
      <c r="AE195" s="37">
        <f>+'alt 1'!AE297</f>
        <v>34765.83076421925</v>
      </c>
      <c r="AF195" s="37">
        <f>+'alt 1'!AF297</f>
        <v>0</v>
      </c>
      <c r="AG195" s="37">
        <f>+'alt 1'!AG297</f>
        <v>34765.83076421925</v>
      </c>
      <c r="AH195" s="37"/>
      <c r="AI195" s="37">
        <f>+'alt 2'!AE297</f>
        <v>15129.398707460692</v>
      </c>
      <c r="AJ195" s="37">
        <f>+'alt 2'!AF297</f>
        <v>24613.202526039997</v>
      </c>
      <c r="AK195" s="37">
        <f>+'alt 2'!AG297</f>
        <v>39742.60123350069</v>
      </c>
      <c r="AL195" s="18"/>
      <c r="AM195" s="37">
        <f>+'alt 3'!AE297</f>
        <v>17596.160816556996</v>
      </c>
      <c r="AN195" s="37">
        <f>+'alt 3'!AF297</f>
        <v>25395.203784452086</v>
      </c>
      <c r="AO195" s="37">
        <f>+'alt 3'!AG297</f>
        <v>42991.36460100908</v>
      </c>
    </row>
    <row r="196" spans="1:41" ht="12.75">
      <c r="A196" s="11" t="s">
        <v>651</v>
      </c>
      <c r="B196" s="11"/>
      <c r="C196" s="37">
        <f>+'alt 1'!C303</f>
        <v>19664.844960625953</v>
      </c>
      <c r="D196" s="37">
        <f>+'alt 1'!D303</f>
        <v>0</v>
      </c>
      <c r="E196" s="37">
        <f>+'alt 1'!E303</f>
        <v>19664.844960625953</v>
      </c>
      <c r="F196" s="154"/>
      <c r="G196" s="37">
        <f>+'alt 2'!C303</f>
        <v>6902.686382887173</v>
      </c>
      <c r="H196" s="37">
        <f>+'alt 2'!D303</f>
        <v>15600.819145385783</v>
      </c>
      <c r="I196" s="37">
        <f>+'alt 2'!E303</f>
        <v>22503.505528272955</v>
      </c>
      <c r="J196" s="143"/>
      <c r="K196" s="37">
        <f>+'alt 3'!C303</f>
        <v>8477.112284016035</v>
      </c>
      <c r="L196" s="37">
        <f>+'alt 3'!D303</f>
        <v>16115.11318511086</v>
      </c>
      <c r="M196" s="37">
        <f>+'alt 3'!E303</f>
        <v>24592.225469126897</v>
      </c>
      <c r="O196" s="11" t="s">
        <v>350</v>
      </c>
      <c r="P196" s="11"/>
      <c r="Q196" s="37">
        <f>+'alt 1'!Q303</f>
        <v>21431.939137867488</v>
      </c>
      <c r="R196" s="37">
        <f>+'alt 1'!R303</f>
        <v>0</v>
      </c>
      <c r="S196" s="37">
        <f>+'alt 1'!S303</f>
        <v>21431.939137867488</v>
      </c>
      <c r="T196" s="37"/>
      <c r="U196" s="37">
        <f>+'alt 2'!Q303</f>
        <v>6898.389270980756</v>
      </c>
      <c r="V196" s="37">
        <f>+'alt 2'!R303</f>
        <v>17573.461465908676</v>
      </c>
      <c r="W196" s="37">
        <f>+'alt 2'!S303</f>
        <v>24471.85073688943</v>
      </c>
      <c r="X196" s="18"/>
      <c r="Y196" s="37">
        <f>+'alt 3'!Q303</f>
        <v>8667.248880379359</v>
      </c>
      <c r="Z196" s="37">
        <f>+'alt 3'!R303</f>
        <v>18159.16653506563</v>
      </c>
      <c r="AA196" s="37">
        <f>+'alt 3'!S303</f>
        <v>26826.415415444986</v>
      </c>
      <c r="AC196" s="11" t="s">
        <v>350</v>
      </c>
      <c r="AD196" s="11"/>
      <c r="AE196" s="37">
        <f>+'alt 1'!AE303</f>
        <v>13903.803876780443</v>
      </c>
      <c r="AF196" s="37">
        <f>+'alt 1'!AF303</f>
        <v>0</v>
      </c>
      <c r="AG196" s="37">
        <f>+'alt 1'!AG303</f>
        <v>13903.803876780443</v>
      </c>
      <c r="AH196" s="37"/>
      <c r="AI196" s="37">
        <f>+'alt 2'!AE303</f>
        <v>6050.659160966926</v>
      </c>
      <c r="AJ196" s="37">
        <f>+'alt 2'!AF303</f>
        <v>9843.490955888348</v>
      </c>
      <c r="AK196" s="37">
        <f>+'alt 2'!AG303</f>
        <v>15894.150116855275</v>
      </c>
      <c r="AL196" s="18"/>
      <c r="AM196" s="37">
        <f>+'alt 3'!AE303</f>
        <v>7037.184603380541</v>
      </c>
      <c r="AN196" s="37">
        <f>+'alt 3'!AF303</f>
        <v>10156.23458632526</v>
      </c>
      <c r="AO196" s="37">
        <f>+'alt 3'!AG303</f>
        <v>17193.4191897058</v>
      </c>
    </row>
    <row r="197" spans="1:41" ht="12.75">
      <c r="A197" s="11" t="s">
        <v>351</v>
      </c>
      <c r="B197" s="11"/>
      <c r="C197" s="37">
        <f>+'alt 1'!C304</f>
        <v>68835.89757072942</v>
      </c>
      <c r="D197" s="37">
        <f>+'alt 1'!D304</f>
        <v>0</v>
      </c>
      <c r="E197" s="37">
        <f>+'alt 1'!E304</f>
        <v>68835.89757072942</v>
      </c>
      <c r="F197" s="154"/>
      <c r="G197" s="37">
        <f>+'alt 2'!C304</f>
        <v>24162.54050142105</v>
      </c>
      <c r="H197" s="37">
        <f>+'alt 2'!D304</f>
        <v>54609.95959345042</v>
      </c>
      <c r="I197" s="37">
        <f>+'alt 2'!E304</f>
        <v>78772.50009487147</v>
      </c>
      <c r="J197" s="143"/>
      <c r="K197" s="37">
        <f>+'alt 3'!C304</f>
        <v>29673.746935024174</v>
      </c>
      <c r="L197" s="37">
        <f>+'alt 3'!D304</f>
        <v>56410.22254546634</v>
      </c>
      <c r="M197" s="37">
        <f>+'alt 3'!E304</f>
        <v>86083.96948049052</v>
      </c>
      <c r="O197" s="11" t="s">
        <v>351</v>
      </c>
      <c r="P197" s="11"/>
      <c r="Q197" s="37">
        <f>+'alt 1'!Q304</f>
        <v>75021.53056331004</v>
      </c>
      <c r="R197" s="37">
        <f>+'alt 1'!R304</f>
        <v>0</v>
      </c>
      <c r="S197" s="37">
        <f>+'alt 1'!S304</f>
        <v>75021.53056331004</v>
      </c>
      <c r="T197" s="37"/>
      <c r="U197" s="37">
        <f>+'alt 2'!Q304</f>
        <v>24147.498656156957</v>
      </c>
      <c r="V197" s="37">
        <f>+'alt 2'!R304</f>
        <v>61515.10453565989</v>
      </c>
      <c r="W197" s="37">
        <f>+'alt 2'!S304</f>
        <v>85662.60319181684</v>
      </c>
      <c r="X197" s="18"/>
      <c r="Y197" s="37">
        <f>+'alt 3'!Q304</f>
        <v>30339.31146390395</v>
      </c>
      <c r="Z197" s="37">
        <f>+'alt 3'!R304</f>
        <v>63565.33855621134</v>
      </c>
      <c r="AA197" s="37">
        <f>+'alt 3'!S304</f>
        <v>93904.65002011528</v>
      </c>
      <c r="AC197" s="11" t="s">
        <v>351</v>
      </c>
      <c r="AD197" s="11"/>
      <c r="AE197" s="37">
        <f>+'alt 1'!AE304</f>
        <v>48669.63464099969</v>
      </c>
      <c r="AF197" s="37">
        <f>+'alt 1'!AF304</f>
        <v>0</v>
      </c>
      <c r="AG197" s="37">
        <f>+'alt 1'!AG304</f>
        <v>48669.63464099969</v>
      </c>
      <c r="AH197" s="37"/>
      <c r="AI197" s="37">
        <f>+'alt 2'!AE304</f>
        <v>21180.05786842762</v>
      </c>
      <c r="AJ197" s="37">
        <f>+'alt 2'!AF304</f>
        <v>34456.69348192835</v>
      </c>
      <c r="AK197" s="37">
        <f>+'alt 2'!AG304</f>
        <v>55636.75135035597</v>
      </c>
      <c r="AL197" s="18"/>
      <c r="AM197" s="37">
        <f>+'alt 3'!AE304</f>
        <v>24633.345419937537</v>
      </c>
      <c r="AN197" s="37">
        <f>+'alt 3'!AF304</f>
        <v>35551.438370777345</v>
      </c>
      <c r="AO197" s="37">
        <f>+'alt 3'!AG304</f>
        <v>60184.78379071488</v>
      </c>
    </row>
    <row r="198" spans="1:41" ht="12.75">
      <c r="A198" s="11"/>
      <c r="B198" s="11"/>
      <c r="C198" s="37"/>
      <c r="D198" s="37"/>
      <c r="E198" s="37"/>
      <c r="F198" s="154"/>
      <c r="G198" s="37"/>
      <c r="H198" s="37"/>
      <c r="I198" s="37"/>
      <c r="J198" s="143"/>
      <c r="K198" s="37"/>
      <c r="L198" s="37"/>
      <c r="M198" s="37"/>
      <c r="O198" s="11"/>
      <c r="P198" s="11"/>
      <c r="Q198" s="37"/>
      <c r="R198" s="37"/>
      <c r="S198" s="37"/>
      <c r="T198" s="37"/>
      <c r="U198" s="37"/>
      <c r="V198" s="37"/>
      <c r="W198" s="37"/>
      <c r="X198" s="18"/>
      <c r="Y198" s="37"/>
      <c r="Z198" s="37"/>
      <c r="AA198" s="37"/>
      <c r="AC198" s="11"/>
      <c r="AD198" s="11"/>
      <c r="AE198" s="37"/>
      <c r="AF198" s="37"/>
      <c r="AG198" s="37"/>
      <c r="AH198" s="37"/>
      <c r="AI198" s="37"/>
      <c r="AJ198" s="37"/>
      <c r="AK198" s="37"/>
      <c r="AL198" s="18"/>
      <c r="AM198" s="37"/>
      <c r="AN198" s="37"/>
      <c r="AO198" s="37"/>
    </row>
    <row r="199" spans="1:41" ht="12.75">
      <c r="A199" s="11" t="s">
        <v>352</v>
      </c>
      <c r="B199" s="11"/>
      <c r="C199" s="37"/>
      <c r="D199" s="37"/>
      <c r="E199" s="37">
        <f>+'alt 1'!E306</f>
        <v>1390.1617427938606</v>
      </c>
      <c r="F199" s="154"/>
      <c r="G199" s="37"/>
      <c r="H199" s="37"/>
      <c r="I199" s="37">
        <f>+'alt 2'!E306</f>
        <v>258.008535881195</v>
      </c>
      <c r="J199" s="143"/>
      <c r="K199" s="37"/>
      <c r="L199" s="37"/>
      <c r="M199" s="37">
        <f>+'alt 3'!E306</f>
        <v>-2.8376996144664006</v>
      </c>
      <c r="O199" s="11" t="s">
        <v>352</v>
      </c>
      <c r="P199" s="11"/>
      <c r="Q199" s="37"/>
      <c r="R199" s="37"/>
      <c r="S199" s="37">
        <f>+'alt 1'!S306</f>
        <v>1388.8914281220432</v>
      </c>
      <c r="T199" s="37"/>
      <c r="U199" s="37"/>
      <c r="V199" s="37"/>
      <c r="W199" s="37">
        <f>+'alt 2'!S306</f>
        <v>225.1335717226169</v>
      </c>
      <c r="X199" s="18"/>
      <c r="Y199" s="37"/>
      <c r="Z199" s="37"/>
      <c r="AA199" s="37">
        <f>+'alt 3'!S306</f>
        <v>-49.088291443067135</v>
      </c>
      <c r="AC199" s="11" t="s">
        <v>352</v>
      </c>
      <c r="AD199" s="11"/>
      <c r="AE199" s="37"/>
      <c r="AF199" s="37"/>
      <c r="AG199" s="37">
        <f>+'alt 1'!AG306</f>
        <v>1229.2921399309812</v>
      </c>
      <c r="AH199" s="37"/>
      <c r="AI199" s="37"/>
      <c r="AJ199" s="37"/>
      <c r="AK199" s="37">
        <f>+'alt 2'!AG306</f>
        <v>331.8333041896589</v>
      </c>
      <c r="AL199" s="18"/>
      <c r="AM199" s="37"/>
      <c r="AN199" s="37"/>
      <c r="AO199" s="37">
        <f>+'alt 3'!AG306</f>
        <v>100.76039893483626</v>
      </c>
    </row>
    <row r="200" spans="1:41" ht="12.75">
      <c r="A200" s="11"/>
      <c r="B200" s="11"/>
      <c r="C200" s="37"/>
      <c r="D200" s="37"/>
      <c r="E200" s="37"/>
      <c r="F200" s="154"/>
      <c r="G200" s="37"/>
      <c r="H200" s="37"/>
      <c r="I200" s="37"/>
      <c r="J200" s="143"/>
      <c r="K200" s="37"/>
      <c r="L200" s="37"/>
      <c r="M200" s="37"/>
      <c r="O200" s="11"/>
      <c r="P200" s="11"/>
      <c r="Q200" s="37"/>
      <c r="R200" s="37"/>
      <c r="S200" s="37"/>
      <c r="T200" s="37"/>
      <c r="U200" s="37"/>
      <c r="V200" s="37"/>
      <c r="W200" s="37"/>
      <c r="X200" s="18"/>
      <c r="Y200" s="37"/>
      <c r="Z200" s="37"/>
      <c r="AA200" s="37"/>
      <c r="AC200" s="11"/>
      <c r="AD200" s="11"/>
      <c r="AE200" s="37"/>
      <c r="AF200" s="37"/>
      <c r="AG200" s="37"/>
      <c r="AH200" s="37"/>
      <c r="AI200" s="37"/>
      <c r="AJ200" s="37"/>
      <c r="AK200" s="37"/>
      <c r="AL200" s="18"/>
      <c r="AM200" s="37"/>
      <c r="AN200" s="37"/>
      <c r="AO200" s="37"/>
    </row>
    <row r="201" spans="1:41" ht="12.75">
      <c r="A201" s="11" t="s">
        <v>353</v>
      </c>
      <c r="B201" s="11"/>
      <c r="C201" s="37">
        <f>+'alt 1'!C308</f>
        <v>68835.89757072942</v>
      </c>
      <c r="D201" s="37">
        <f>+'alt 1'!D308</f>
        <v>0</v>
      </c>
      <c r="E201" s="37">
        <f>+'alt 1'!E308</f>
        <v>67445.73582793555</v>
      </c>
      <c r="F201" s="154"/>
      <c r="G201" s="37">
        <f>+'alt 2'!C308</f>
        <v>24162.54050142105</v>
      </c>
      <c r="H201" s="37">
        <f>+'alt 2'!D308</f>
        <v>54609.95959345042</v>
      </c>
      <c r="I201" s="37">
        <f>+'alt 2'!E308</f>
        <v>78514.49155899028</v>
      </c>
      <c r="J201" s="143"/>
      <c r="K201" s="37">
        <f>+'alt 3'!C308</f>
        <v>29673.746935024174</v>
      </c>
      <c r="L201" s="37">
        <f>+'alt 3'!D308</f>
        <v>56410.22254546634</v>
      </c>
      <c r="M201" s="37">
        <f>+'alt 3'!E308</f>
        <v>86086.80718010498</v>
      </c>
      <c r="O201" s="11" t="s">
        <v>353</v>
      </c>
      <c r="P201" s="11"/>
      <c r="Q201" s="37">
        <f>+'alt 1'!Q308</f>
        <v>75021.53056331004</v>
      </c>
      <c r="R201" s="37">
        <f>+'alt 1'!R308</f>
        <v>0</v>
      </c>
      <c r="S201" s="37">
        <f>+'alt 1'!S308</f>
        <v>73632.63913518799</v>
      </c>
      <c r="T201" s="37"/>
      <c r="U201" s="37">
        <f>+'alt 2'!Q308</f>
        <v>24147.498656156957</v>
      </c>
      <c r="V201" s="37">
        <f>+'alt 2'!R308</f>
        <v>61515.10453565989</v>
      </c>
      <c r="W201" s="37">
        <f>+'alt 2'!S308</f>
        <v>85437.46962009423</v>
      </c>
      <c r="X201" s="18"/>
      <c r="Y201" s="37">
        <f>+'alt 3'!Q308</f>
        <v>30339.31146390395</v>
      </c>
      <c r="Z201" s="37">
        <f>+'alt 3'!R308</f>
        <v>63565.33855621134</v>
      </c>
      <c r="AA201" s="37">
        <f>+'alt 3'!S308</f>
        <v>93953.73831155835</v>
      </c>
      <c r="AC201" s="11" t="s">
        <v>353</v>
      </c>
      <c r="AD201" s="11"/>
      <c r="AE201" s="37">
        <f>+'alt 1'!AE308</f>
        <v>48669.63464099969</v>
      </c>
      <c r="AF201" s="37">
        <f>+'alt 1'!AF308</f>
        <v>0</v>
      </c>
      <c r="AG201" s="37">
        <f>+'alt 1'!AG308</f>
        <v>47440.34250106871</v>
      </c>
      <c r="AH201" s="37"/>
      <c r="AI201" s="37">
        <f>+'alt 2'!AE308</f>
        <v>21180.05786842762</v>
      </c>
      <c r="AJ201" s="37">
        <f>+'alt 2'!AF308</f>
        <v>34456.69348192835</v>
      </c>
      <c r="AK201" s="37">
        <f>+'alt 2'!AG308</f>
        <v>55304.918046166305</v>
      </c>
      <c r="AL201" s="18"/>
      <c r="AM201" s="37">
        <f>+'alt 3'!AE308</f>
        <v>24633.345419937537</v>
      </c>
      <c r="AN201" s="37">
        <f>+'alt 3'!AF308</f>
        <v>35551.438370777345</v>
      </c>
      <c r="AO201" s="37">
        <f>+'alt 3'!AG308</f>
        <v>60084.02339178004</v>
      </c>
    </row>
    <row r="202" spans="1:41" ht="12.75">
      <c r="A202" s="11" t="s">
        <v>354</v>
      </c>
      <c r="B202" s="11"/>
      <c r="C202" s="14">
        <f>+'alt 1'!C309</f>
        <v>250</v>
      </c>
      <c r="D202" s="14">
        <f>+'alt 1'!D309</f>
        <v>250</v>
      </c>
      <c r="E202" s="14">
        <f>+'alt 1'!E309</f>
        <v>250</v>
      </c>
      <c r="F202" s="154"/>
      <c r="G202" s="14">
        <f>+'alt 2'!C309</f>
        <v>250</v>
      </c>
      <c r="H202" s="14">
        <f>+'alt 2'!D309</f>
        <v>250</v>
      </c>
      <c r="I202" s="14">
        <f>+'alt 2'!E309</f>
        <v>250</v>
      </c>
      <c r="J202" s="143"/>
      <c r="K202" s="14">
        <f>+'alt 3'!C309</f>
        <v>250</v>
      </c>
      <c r="L202" s="14">
        <f>+'alt 3'!D309</f>
        <v>250</v>
      </c>
      <c r="M202" s="14">
        <f>+'alt 3'!E309</f>
        <v>250</v>
      </c>
      <c r="O202" s="11" t="s">
        <v>354</v>
      </c>
      <c r="P202" s="11"/>
      <c r="Q202" s="14">
        <f>+'alt 1'!Q309</f>
        <v>250</v>
      </c>
      <c r="R202" s="14">
        <f>+'alt 1'!R309</f>
        <v>250</v>
      </c>
      <c r="S202" s="14">
        <f>+'alt 1'!S309</f>
        <v>250</v>
      </c>
      <c r="T202" s="37"/>
      <c r="U202" s="14">
        <f>+'alt 2'!Q309</f>
        <v>250</v>
      </c>
      <c r="V202" s="14">
        <f>+'alt 2'!R309</f>
        <v>250</v>
      </c>
      <c r="W202" s="14">
        <f>+'alt 2'!S309</f>
        <v>250</v>
      </c>
      <c r="X202" s="18"/>
      <c r="Y202" s="14">
        <f>+'alt 3'!Q309</f>
        <v>250</v>
      </c>
      <c r="Z202" s="14">
        <f>+'alt 3'!R309</f>
        <v>250</v>
      </c>
      <c r="AA202" s="14">
        <f>+'alt 3'!S309</f>
        <v>250</v>
      </c>
      <c r="AC202" s="11" t="s">
        <v>354</v>
      </c>
      <c r="AD202" s="11"/>
      <c r="AE202" s="14">
        <f>+'alt 1'!AE309</f>
        <v>250</v>
      </c>
      <c r="AF202" s="14">
        <f>+'alt 1'!AF309</f>
        <v>250</v>
      </c>
      <c r="AG202" s="14">
        <f>+'alt 1'!AG309</f>
        <v>250</v>
      </c>
      <c r="AH202" s="37"/>
      <c r="AI202" s="14">
        <f>+'alt 2'!AE309</f>
        <v>250</v>
      </c>
      <c r="AJ202" s="14">
        <f>+'alt 2'!AF309</f>
        <v>250</v>
      </c>
      <c r="AK202" s="14">
        <f>+'alt 2'!AG309</f>
        <v>250</v>
      </c>
      <c r="AL202" s="18"/>
      <c r="AM202" s="14">
        <f>+'alt 3'!AE309</f>
        <v>250</v>
      </c>
      <c r="AN202" s="14">
        <f>+'alt 3'!AF309</f>
        <v>250</v>
      </c>
      <c r="AO202" s="14">
        <f>+'alt 3'!AG309</f>
        <v>250</v>
      </c>
    </row>
    <row r="203" spans="1:41" ht="12.75">
      <c r="A203" s="11" t="s">
        <v>483</v>
      </c>
      <c r="B203" s="11"/>
      <c r="C203" s="38">
        <f>+'alt 1'!C310/1000000</f>
        <v>17.208974392682354</v>
      </c>
      <c r="D203" s="38">
        <f>+'alt 1'!D310/1000000</f>
        <v>0</v>
      </c>
      <c r="E203" s="38">
        <f>+'alt 1'!E310/1000000</f>
        <v>16.861433956983888</v>
      </c>
      <c r="F203" s="154"/>
      <c r="G203" s="38">
        <f>+'alt 2'!C310/1000000</f>
        <v>6.040635125355262</v>
      </c>
      <c r="H203" s="38">
        <f>+'alt 2'!D310/1000000</f>
        <v>13.652489898362605</v>
      </c>
      <c r="I203" s="38">
        <f>+'alt 2'!E310/1000000</f>
        <v>19.62862288974757</v>
      </c>
      <c r="J203" s="154"/>
      <c r="K203" s="38">
        <f>+'alt 3'!C310/1000000</f>
        <v>7.418436733756043</v>
      </c>
      <c r="L203" s="38">
        <f>+'alt 3'!D310/1000000</f>
        <v>14.102555636366585</v>
      </c>
      <c r="M203" s="38">
        <f>+'alt 3'!E310/1000000</f>
        <v>21.521701795026246</v>
      </c>
      <c r="O203" s="11" t="s">
        <v>483</v>
      </c>
      <c r="P203" s="11"/>
      <c r="Q203" s="37">
        <f>+'alt 1'!Q310</f>
        <v>18755382.64082751</v>
      </c>
      <c r="R203" s="37">
        <f>+'alt 1'!R310</f>
        <v>0</v>
      </c>
      <c r="S203" s="37">
        <f>+'alt 1'!S310</f>
        <v>18408159.783796996</v>
      </c>
      <c r="T203" s="37"/>
      <c r="U203" s="54">
        <f>+'alt 2'!Q310</f>
        <v>6036874.664039239</v>
      </c>
      <c r="V203" s="54">
        <f>+'alt 2'!R310</f>
        <v>15378776.133914974</v>
      </c>
      <c r="W203" s="56">
        <f>+'alt 2'!S310</f>
        <v>21359367.405023556</v>
      </c>
      <c r="X203" s="37"/>
      <c r="Y203" s="54">
        <f>+'alt 3'!Q310</f>
        <v>7584827.865975987</v>
      </c>
      <c r="Z203" s="56">
        <f>+'alt 3'!R310</f>
        <v>15891334.639052834</v>
      </c>
      <c r="AA203" s="56">
        <f>+'alt 3'!S310</f>
        <v>23488434.577889588</v>
      </c>
      <c r="AC203" s="11" t="s">
        <v>483</v>
      </c>
      <c r="AD203" s="11"/>
      <c r="AE203" s="37">
        <f>+'alt 1'!AE310</f>
        <v>12167408.660249922</v>
      </c>
      <c r="AF203" s="37">
        <f>+'alt 1'!AF310</f>
        <v>0</v>
      </c>
      <c r="AG203" s="37">
        <f>+'alt 1'!AG310</f>
        <v>11860085.625267178</v>
      </c>
      <c r="AH203" s="37"/>
      <c r="AI203" s="54">
        <f>+'alt 2'!AE310</f>
        <v>5295014.467106905</v>
      </c>
      <c r="AJ203" s="54">
        <f>+'alt 2'!AF310</f>
        <v>8614173.370482087</v>
      </c>
      <c r="AK203" s="56">
        <f>+'alt 2'!AG310</f>
        <v>13826229.511541577</v>
      </c>
      <c r="AL203" s="37"/>
      <c r="AM203" s="54">
        <f>+'alt 3'!AE310</f>
        <v>6158336.354984384</v>
      </c>
      <c r="AN203" s="56">
        <f>+'alt 3'!AF310</f>
        <v>8887859.592694337</v>
      </c>
      <c r="AO203" s="56">
        <f>+'alt 3'!AG310</f>
        <v>15021005.84794501</v>
      </c>
    </row>
    <row r="204" spans="1:41" ht="12.75">
      <c r="A204" s="11" t="s">
        <v>504</v>
      </c>
      <c r="B204" s="11"/>
      <c r="C204" s="47">
        <f>+Inputs!B61</f>
        <v>12.409</v>
      </c>
      <c r="D204" s="47">
        <f>+C204</f>
        <v>12.409</v>
      </c>
      <c r="E204" s="47">
        <f>+C204</f>
        <v>12.409</v>
      </c>
      <c r="F204" s="171"/>
      <c r="G204" s="47">
        <f>+C204</f>
        <v>12.409</v>
      </c>
      <c r="H204" s="47">
        <f>+C204</f>
        <v>12.409</v>
      </c>
      <c r="I204" s="47">
        <f>+C204</f>
        <v>12.409</v>
      </c>
      <c r="J204" s="171"/>
      <c r="K204" s="47">
        <f>+C204</f>
        <v>12.409</v>
      </c>
      <c r="L204" s="47">
        <f>+C204</f>
        <v>12.409</v>
      </c>
      <c r="M204" s="47">
        <f>+C204</f>
        <v>12.409</v>
      </c>
      <c r="O204" s="11" t="s">
        <v>504</v>
      </c>
      <c r="P204" s="11"/>
      <c r="Q204" s="47">
        <f>+Inputs!P61</f>
        <v>12.409</v>
      </c>
      <c r="R204" s="47">
        <f>+Q204</f>
        <v>12.409</v>
      </c>
      <c r="S204" s="47">
        <f>+Q204</f>
        <v>12.409</v>
      </c>
      <c r="T204" s="47"/>
      <c r="U204" s="47">
        <f>+Q204</f>
        <v>12.409</v>
      </c>
      <c r="V204" s="47">
        <f>+Q204</f>
        <v>12.409</v>
      </c>
      <c r="W204" s="47">
        <f>+Q204</f>
        <v>12.409</v>
      </c>
      <c r="X204" s="47"/>
      <c r="Y204" s="47">
        <f>+Q204</f>
        <v>12.409</v>
      </c>
      <c r="Z204" s="47">
        <f>+Q204</f>
        <v>12.409</v>
      </c>
      <c r="AA204" s="47">
        <f>+Q204</f>
        <v>12.409</v>
      </c>
      <c r="AC204" s="11" t="s">
        <v>504</v>
      </c>
      <c r="AD204" s="11"/>
      <c r="AE204" s="47">
        <f>+Inputs!AD61</f>
        <v>12.409</v>
      </c>
      <c r="AF204" s="47">
        <f>+AE204</f>
        <v>12.409</v>
      </c>
      <c r="AG204" s="47">
        <f>+AE204</f>
        <v>12.409</v>
      </c>
      <c r="AH204" s="47"/>
      <c r="AI204" s="47">
        <f>+AE204</f>
        <v>12.409</v>
      </c>
      <c r="AJ204" s="47">
        <f>+AE204</f>
        <v>12.409</v>
      </c>
      <c r="AK204" s="47">
        <f>+AE204</f>
        <v>12.409</v>
      </c>
      <c r="AL204" s="47"/>
      <c r="AM204" s="47">
        <f>+AE204</f>
        <v>12.409</v>
      </c>
      <c r="AN204" s="47">
        <f>+AE204</f>
        <v>12.409</v>
      </c>
      <c r="AO204" s="47">
        <f>+AE204</f>
        <v>12.409</v>
      </c>
    </row>
    <row r="205" spans="1:41" ht="12.75">
      <c r="A205" s="11" t="s">
        <v>505</v>
      </c>
      <c r="B205" s="11"/>
      <c r="C205" s="38">
        <f>+'alt 1'!C312</f>
        <v>213.54616323879534</v>
      </c>
      <c r="D205" s="38">
        <f>+'alt 1'!D312</f>
        <v>0</v>
      </c>
      <c r="E205" s="38">
        <f>SUM(C205:D205)</f>
        <v>213.54616323879534</v>
      </c>
      <c r="F205" s="154"/>
      <c r="G205" s="38">
        <f>+'alt 2'!C312</f>
        <v>74.95824127053346</v>
      </c>
      <c r="H205" s="38">
        <f>+'alt 2'!D312</f>
        <v>169.41374714878157</v>
      </c>
      <c r="I205" s="38">
        <f>SUM(G205:H205)</f>
        <v>244.37198841931502</v>
      </c>
      <c r="J205" s="143"/>
      <c r="K205" s="38">
        <f>+'alt 3'!C312</f>
        <v>92.05538142917874</v>
      </c>
      <c r="L205" s="38">
        <f>+'alt 3'!D312</f>
        <v>174.99861289167296</v>
      </c>
      <c r="M205" s="38">
        <f>SUM(K205:L205)</f>
        <v>267.0539943208517</v>
      </c>
      <c r="O205" s="11" t="s">
        <v>505</v>
      </c>
      <c r="P205" s="11"/>
      <c r="Q205" s="38">
        <f>+'alt 1'!Q312</f>
        <v>232.73554319002858</v>
      </c>
      <c r="R205" s="38">
        <f>+'alt 1'!R312</f>
        <v>0</v>
      </c>
      <c r="S205" s="38">
        <f>SUM(Q205:R205)</f>
        <v>232.73554319002858</v>
      </c>
      <c r="T205" s="37"/>
      <c r="U205" s="38">
        <f>+'alt 2'!Q312</f>
        <v>74.91157770606293</v>
      </c>
      <c r="V205" s="38">
        <f>+'alt 2'!R312</f>
        <v>190.83523304575093</v>
      </c>
      <c r="W205" s="38">
        <f>SUM(U205:V205)</f>
        <v>265.7468107518139</v>
      </c>
      <c r="X205" s="18"/>
      <c r="Y205" s="38">
        <f>+'alt 3'!Q312</f>
        <v>94.12012898889603</v>
      </c>
      <c r="Z205" s="38">
        <f>+'alt 3'!R312</f>
        <v>197.19557153600664</v>
      </c>
      <c r="AA205" s="38">
        <f>SUM(Y205:Z205)</f>
        <v>291.3157005249027</v>
      </c>
      <c r="AC205" s="11" t="s">
        <v>505</v>
      </c>
      <c r="AD205" s="11"/>
      <c r="AE205" s="38">
        <f>+'alt 1'!AE312</f>
        <v>150.9853740650413</v>
      </c>
      <c r="AF205" s="38">
        <f>+'alt 1'!AF312</f>
        <v>0</v>
      </c>
      <c r="AG205" s="38">
        <f>SUM(AE205:AF205)</f>
        <v>150.9853740650413</v>
      </c>
      <c r="AH205" s="37"/>
      <c r="AI205" s="38">
        <f>+'alt 2'!AE312</f>
        <v>65.70583452232958</v>
      </c>
      <c r="AJ205" s="38">
        <f>+'alt 2'!AF312</f>
        <v>106.89327735431223</v>
      </c>
      <c r="AK205" s="38">
        <f>SUM(AI205:AJ205)</f>
        <v>172.5991118766418</v>
      </c>
      <c r="AL205" s="18"/>
      <c r="AM205" s="38">
        <f>+'alt 3'!AE312</f>
        <v>76.41879582900123</v>
      </c>
      <c r="AN205" s="38">
        <f>+'alt 3'!AF312</f>
        <v>110.28944968574403</v>
      </c>
      <c r="AO205" s="38">
        <f>SUM(AM205:AN205)</f>
        <v>186.70824551474527</v>
      </c>
    </row>
    <row r="206" spans="1:41" ht="12.75">
      <c r="A206" s="11"/>
      <c r="B206" s="11"/>
      <c r="C206" s="37"/>
      <c r="D206" s="37"/>
      <c r="E206" s="37"/>
      <c r="F206" s="154"/>
      <c r="G206" s="37"/>
      <c r="H206" s="37"/>
      <c r="I206" s="37"/>
      <c r="J206" s="143"/>
      <c r="K206" s="37"/>
      <c r="L206" s="37"/>
      <c r="M206" s="37"/>
      <c r="O206" s="11"/>
      <c r="P206" s="11"/>
      <c r="Q206" s="37"/>
      <c r="R206" s="37"/>
      <c r="S206" s="37"/>
      <c r="T206" s="37"/>
      <c r="U206" s="37"/>
      <c r="V206" s="37"/>
      <c r="W206" s="37"/>
      <c r="X206" s="18"/>
      <c r="Y206" s="37"/>
      <c r="Z206" s="37"/>
      <c r="AA206" s="37"/>
      <c r="AC206" s="11"/>
      <c r="AD206" s="11"/>
      <c r="AE206" s="37"/>
      <c r="AF206" s="37"/>
      <c r="AG206" s="37"/>
      <c r="AH206" s="37"/>
      <c r="AI206" s="37"/>
      <c r="AJ206" s="37"/>
      <c r="AK206" s="37"/>
      <c r="AL206" s="18"/>
      <c r="AM206" s="37"/>
      <c r="AN206" s="37"/>
      <c r="AO206" s="37"/>
    </row>
    <row r="207" spans="1:41" ht="12.75">
      <c r="A207" s="26" t="s">
        <v>357</v>
      </c>
      <c r="B207" s="26"/>
      <c r="C207" s="37"/>
      <c r="D207" s="37"/>
      <c r="E207" s="37"/>
      <c r="F207" s="154"/>
      <c r="G207" s="37"/>
      <c r="H207" s="37"/>
      <c r="I207" s="37"/>
      <c r="J207" s="143"/>
      <c r="K207" s="37"/>
      <c r="L207" s="37"/>
      <c r="M207" s="37"/>
      <c r="O207" s="26" t="s">
        <v>357</v>
      </c>
      <c r="P207" s="26"/>
      <c r="Q207" s="37"/>
      <c r="R207" s="37"/>
      <c r="S207" s="37"/>
      <c r="T207" s="37"/>
      <c r="U207" s="37"/>
      <c r="V207" s="37"/>
      <c r="W207" s="37"/>
      <c r="X207" s="18"/>
      <c r="Y207" s="37"/>
      <c r="Z207" s="37"/>
      <c r="AA207" s="37"/>
      <c r="AC207" s="26" t="s">
        <v>357</v>
      </c>
      <c r="AD207" s="26"/>
      <c r="AE207" s="37"/>
      <c r="AF207" s="37"/>
      <c r="AG207" s="37"/>
      <c r="AH207" s="37"/>
      <c r="AI207" s="37"/>
      <c r="AJ207" s="37"/>
      <c r="AK207" s="37"/>
      <c r="AL207" s="18"/>
      <c r="AM207" s="37"/>
      <c r="AN207" s="37"/>
      <c r="AO207" s="37"/>
    </row>
    <row r="208" spans="1:41" ht="12.75">
      <c r="A208" s="11" t="s">
        <v>358</v>
      </c>
      <c r="B208" s="11"/>
      <c r="C208" s="54">
        <f>+'Tables 2-7'!D114</f>
        <v>9</v>
      </c>
      <c r="D208" s="54">
        <f>+C208</f>
        <v>9</v>
      </c>
      <c r="E208" s="54">
        <f>+D208</f>
        <v>9</v>
      </c>
      <c r="F208" s="154"/>
      <c r="G208" s="54">
        <f>+C208</f>
        <v>9</v>
      </c>
      <c r="H208" s="54">
        <f>+G208</f>
        <v>9</v>
      </c>
      <c r="I208" s="54">
        <f>+H208</f>
        <v>9</v>
      </c>
      <c r="J208" s="172"/>
      <c r="K208" s="54">
        <f>+C208</f>
        <v>9</v>
      </c>
      <c r="L208" s="54">
        <f>+K208</f>
        <v>9</v>
      </c>
      <c r="M208" s="54">
        <f>+L208</f>
        <v>9</v>
      </c>
      <c r="O208" s="11" t="s">
        <v>358</v>
      </c>
      <c r="P208" s="11"/>
      <c r="Q208" s="54">
        <f>+'Tables 2-7'!R114</f>
        <v>6</v>
      </c>
      <c r="R208" s="54">
        <f>+Q208</f>
        <v>6</v>
      </c>
      <c r="S208" s="54">
        <f>+R208</f>
        <v>6</v>
      </c>
      <c r="T208" s="37"/>
      <c r="U208" s="54">
        <f>+Q208</f>
        <v>6</v>
      </c>
      <c r="V208" s="54">
        <f>+U208</f>
        <v>6</v>
      </c>
      <c r="W208" s="54">
        <f>+V208</f>
        <v>6</v>
      </c>
      <c r="X208" s="55"/>
      <c r="Y208" s="54">
        <f>+Q208</f>
        <v>6</v>
      </c>
      <c r="Z208" s="54">
        <f>+Y208</f>
        <v>6</v>
      </c>
      <c r="AA208" s="56">
        <f>+Z208</f>
        <v>6</v>
      </c>
      <c r="AC208" s="11" t="s">
        <v>358</v>
      </c>
      <c r="AD208" s="11"/>
      <c r="AE208" s="54">
        <f>+'Tables 2-7'!AF114</f>
        <v>5</v>
      </c>
      <c r="AF208" s="54">
        <f>+AE208</f>
        <v>5</v>
      </c>
      <c r="AG208" s="54">
        <f>+AF208</f>
        <v>5</v>
      </c>
      <c r="AH208" s="37"/>
      <c r="AI208" s="54">
        <f>+AE208</f>
        <v>5</v>
      </c>
      <c r="AJ208" s="54">
        <f>+AI208</f>
        <v>5</v>
      </c>
      <c r="AK208" s="54">
        <f>+AJ208</f>
        <v>5</v>
      </c>
      <c r="AL208" s="55"/>
      <c r="AM208" s="54">
        <f>+AE208</f>
        <v>5</v>
      </c>
      <c r="AN208" s="54">
        <f>+AM208</f>
        <v>5</v>
      </c>
      <c r="AO208" s="56">
        <f>+AN208</f>
        <v>5</v>
      </c>
    </row>
    <row r="209" spans="1:41" ht="12.75">
      <c r="A209" s="11" t="s">
        <v>505</v>
      </c>
      <c r="B209" s="11"/>
      <c r="C209" s="37">
        <f>+C205*C208</f>
        <v>1921.915469149158</v>
      </c>
      <c r="D209" s="37">
        <f>+D205*D208</f>
        <v>0</v>
      </c>
      <c r="E209" s="37">
        <f>+E205*E208</f>
        <v>1921.915469149158</v>
      </c>
      <c r="F209" s="154"/>
      <c r="G209" s="37">
        <f>+G205*G208</f>
        <v>674.6241714348012</v>
      </c>
      <c r="H209" s="37">
        <f>+H205*H208</f>
        <v>1524.723724339034</v>
      </c>
      <c r="I209" s="37">
        <f>+I205*I208</f>
        <v>2199.3478957738353</v>
      </c>
      <c r="J209" s="143"/>
      <c r="K209" s="37">
        <f>+K205*K208</f>
        <v>828.4984328626086</v>
      </c>
      <c r="L209" s="37">
        <f>+L205*L208</f>
        <v>1574.9875160250567</v>
      </c>
      <c r="M209" s="37">
        <f>+M205*M208</f>
        <v>2403.4859488876655</v>
      </c>
      <c r="O209" s="11" t="s">
        <v>505</v>
      </c>
      <c r="P209" s="11"/>
      <c r="Q209" s="37">
        <f>+Q205*Q208</f>
        <v>1396.4132591401715</v>
      </c>
      <c r="R209" s="37">
        <f>+R205*R208</f>
        <v>0</v>
      </c>
      <c r="S209" s="37">
        <f>+S205*S208</f>
        <v>1396.4132591401715</v>
      </c>
      <c r="T209" s="37"/>
      <c r="U209" s="37">
        <f>+U205*U208</f>
        <v>449.46946623637757</v>
      </c>
      <c r="V209" s="37">
        <f>+V205*V208</f>
        <v>1145.0113982745056</v>
      </c>
      <c r="W209" s="37">
        <f>+W205*W208</f>
        <v>1594.4808645108833</v>
      </c>
      <c r="X209" s="18"/>
      <c r="Y209" s="37">
        <f>+Y205*Y208</f>
        <v>564.7207739333762</v>
      </c>
      <c r="Z209" s="37">
        <f>+Z205*Z208</f>
        <v>1183.17342921604</v>
      </c>
      <c r="AA209" s="37">
        <f>+AA205*AA208</f>
        <v>1747.8942031494162</v>
      </c>
      <c r="AC209" s="11" t="s">
        <v>505</v>
      </c>
      <c r="AD209" s="11"/>
      <c r="AE209" s="37">
        <f>+AE205*AE208</f>
        <v>754.9268703252064</v>
      </c>
      <c r="AF209" s="37">
        <f>+AF205*AF208</f>
        <v>0</v>
      </c>
      <c r="AG209" s="37">
        <f>+AG205*AG208</f>
        <v>754.9268703252064</v>
      </c>
      <c r="AH209" s="37"/>
      <c r="AI209" s="37">
        <f>+AI205*AI208</f>
        <v>328.52917261164794</v>
      </c>
      <c r="AJ209" s="37">
        <f>+AJ205*AJ208</f>
        <v>534.4663867715611</v>
      </c>
      <c r="AK209" s="37">
        <f>+AK205*AK208</f>
        <v>862.9955593832091</v>
      </c>
      <c r="AL209" s="18"/>
      <c r="AM209" s="37">
        <f>+AM205*AM208</f>
        <v>382.09397914500613</v>
      </c>
      <c r="AN209" s="37">
        <f>+AN205*AN208</f>
        <v>551.4472484287202</v>
      </c>
      <c r="AO209" s="37">
        <f>+AO205*AO208</f>
        <v>933.5412275737264</v>
      </c>
    </row>
    <row r="210" spans="1:41" ht="12.75">
      <c r="A210" s="11" t="s">
        <v>430</v>
      </c>
      <c r="B210" s="11"/>
      <c r="C210" s="38"/>
      <c r="D210" s="38"/>
      <c r="E210" s="37">
        <f>+E187*E208*'Sensitivity Anal'!B5/1000000</f>
        <v>45.740239636810955</v>
      </c>
      <c r="F210" s="154"/>
      <c r="G210" s="37"/>
      <c r="H210" s="37"/>
      <c r="I210" s="37">
        <f>+I187*I208*'Sensitivity Anal'!B5/1000000</f>
        <v>45.740239636810955</v>
      </c>
      <c r="J210" s="143"/>
      <c r="K210" s="37"/>
      <c r="L210" s="37"/>
      <c r="M210" s="37">
        <f>+M187*M208*'Sensitivity Anal'!B5/1000000</f>
        <v>45.740239636810955</v>
      </c>
      <c r="O210" s="11" t="s">
        <v>430</v>
      </c>
      <c r="P210" s="11"/>
      <c r="Q210" s="38"/>
      <c r="R210" s="38"/>
      <c r="S210" s="37">
        <f>+S187*S208*'Sensitivity Anal'!B5/1000000</f>
        <v>36.20118899264952</v>
      </c>
      <c r="T210" s="154"/>
      <c r="U210" s="37"/>
      <c r="V210" s="37"/>
      <c r="W210" s="37">
        <f>+W187*W208*'Sensitivity Anal'!B5/1000000</f>
        <v>36.20118899264952</v>
      </c>
      <c r="X210" s="143"/>
      <c r="Y210" s="37"/>
      <c r="Z210" s="37"/>
      <c r="AA210" s="37">
        <f>+AA187*AA208*'Sensitivity Anal'!B5/1000000</f>
        <v>36.20118899264952</v>
      </c>
      <c r="AC210" s="11" t="s">
        <v>430</v>
      </c>
      <c r="AD210" s="11"/>
      <c r="AE210" s="38"/>
      <c r="AF210" s="38"/>
      <c r="AG210" s="37">
        <f>+AG187*AG208*'Sensitivity Anal'!B5/1000000</f>
        <v>12.05666631665099</v>
      </c>
      <c r="AH210" s="154"/>
      <c r="AI210" s="37"/>
      <c r="AJ210" s="37"/>
      <c r="AK210" s="37">
        <f>+AK187*AK208*'Sensitivity Anal'!B5/1000000</f>
        <v>12.05666631665099</v>
      </c>
      <c r="AL210" s="143"/>
      <c r="AM210" s="37"/>
      <c r="AN210" s="37"/>
      <c r="AO210" s="37">
        <f>+AO187*AO208*'Sensitivity Anal'!B5/1000000</f>
        <v>12.05666631665099</v>
      </c>
    </row>
    <row r="211" spans="1:41" ht="12.75">
      <c r="A211" s="11" t="s">
        <v>431</v>
      </c>
      <c r="B211" s="26"/>
      <c r="C211" s="38"/>
      <c r="D211" s="38"/>
      <c r="E211" s="37">
        <f>+E209-E210</f>
        <v>1876.1752295123472</v>
      </c>
      <c r="F211" s="154"/>
      <c r="G211" s="37"/>
      <c r="H211" s="37"/>
      <c r="I211" s="37">
        <f>+I209-I210</f>
        <v>2153.607656137024</v>
      </c>
      <c r="J211" s="143"/>
      <c r="K211" s="37"/>
      <c r="L211" s="37"/>
      <c r="M211" s="37">
        <f>+M209-M210</f>
        <v>2357.7457092508544</v>
      </c>
      <c r="O211" s="11" t="s">
        <v>431</v>
      </c>
      <c r="P211" s="26"/>
      <c r="Q211" s="38"/>
      <c r="R211" s="38"/>
      <c r="S211" s="37">
        <f>+S209-S210</f>
        <v>1360.212070147522</v>
      </c>
      <c r="T211" s="37"/>
      <c r="U211" s="37"/>
      <c r="V211" s="37"/>
      <c r="W211" s="37">
        <f>+W209-W210</f>
        <v>1558.2796755182337</v>
      </c>
      <c r="X211" s="18"/>
      <c r="Y211" s="37"/>
      <c r="Z211" s="37"/>
      <c r="AA211" s="37">
        <f>+AA209-AA210</f>
        <v>1711.6930141567666</v>
      </c>
      <c r="AC211" s="11" t="s">
        <v>431</v>
      </c>
      <c r="AD211" s="26"/>
      <c r="AE211" s="38"/>
      <c r="AF211" s="38"/>
      <c r="AG211" s="37">
        <f>+AG209-AG210</f>
        <v>742.8702040085554</v>
      </c>
      <c r="AH211" s="37"/>
      <c r="AI211" s="37"/>
      <c r="AJ211" s="37"/>
      <c r="AK211" s="37">
        <f>+AK209-AK210</f>
        <v>850.9388930665581</v>
      </c>
      <c r="AL211" s="18"/>
      <c r="AM211" s="37"/>
      <c r="AN211" s="37"/>
      <c r="AO211" s="37">
        <f>+AO209-AO210</f>
        <v>921.4845612570754</v>
      </c>
    </row>
    <row r="213" spans="1:41" ht="12.75">
      <c r="A213" s="20" t="s">
        <v>569</v>
      </c>
      <c r="B213" s="17"/>
      <c r="C213" s="49"/>
      <c r="D213" s="49"/>
      <c r="E213" s="49"/>
      <c r="G213" s="49"/>
      <c r="H213" s="49"/>
      <c r="I213" s="49"/>
      <c r="K213" s="49"/>
      <c r="L213" s="49"/>
      <c r="M213" s="49"/>
      <c r="O213" s="20" t="s">
        <v>569</v>
      </c>
      <c r="P213" s="17"/>
      <c r="Q213" s="49"/>
      <c r="R213" s="49"/>
      <c r="S213" s="49"/>
      <c r="U213" s="49"/>
      <c r="V213" s="49"/>
      <c r="W213" s="49"/>
      <c r="Y213" s="49"/>
      <c r="Z213" s="49"/>
      <c r="AA213" s="49"/>
      <c r="AC213" s="20" t="s">
        <v>569</v>
      </c>
      <c r="AD213" s="17"/>
      <c r="AE213" s="49"/>
      <c r="AF213" s="49"/>
      <c r="AG213" s="49"/>
      <c r="AI213" s="49"/>
      <c r="AJ213" s="49"/>
      <c r="AK213" s="49"/>
      <c r="AM213" s="49"/>
      <c r="AN213" s="49"/>
      <c r="AO213" s="49"/>
    </row>
    <row r="215" spans="4:41" ht="12.75">
      <c r="D215" s="39" t="s">
        <v>548</v>
      </c>
      <c r="E215" s="39"/>
      <c r="F215" s="146"/>
      <c r="G215" s="88"/>
      <c r="H215" s="39" t="s">
        <v>549</v>
      </c>
      <c r="I215" s="78"/>
      <c r="J215" s="146"/>
      <c r="K215" s="88"/>
      <c r="L215" s="39" t="s">
        <v>550</v>
      </c>
      <c r="M215" s="78"/>
      <c r="R215" s="39" t="s">
        <v>548</v>
      </c>
      <c r="S215" s="39"/>
      <c r="T215" s="88"/>
      <c r="U215" s="88"/>
      <c r="V215" s="39" t="s">
        <v>549</v>
      </c>
      <c r="W215" s="78"/>
      <c r="X215" s="88"/>
      <c r="Y215" s="88"/>
      <c r="Z215" s="39" t="s">
        <v>550</v>
      </c>
      <c r="AA215" s="78"/>
      <c r="AF215" s="39" t="s">
        <v>548</v>
      </c>
      <c r="AG215" s="39"/>
      <c r="AH215" s="88"/>
      <c r="AI215" s="88"/>
      <c r="AJ215" s="39" t="s">
        <v>549</v>
      </c>
      <c r="AK215" s="78"/>
      <c r="AL215" s="88"/>
      <c r="AM215" s="88"/>
      <c r="AN215" s="39" t="s">
        <v>550</v>
      </c>
      <c r="AO215" s="78"/>
    </row>
    <row r="216" spans="3:41" ht="12.75">
      <c r="C216" s="87" t="s">
        <v>92</v>
      </c>
      <c r="D216" s="87" t="s">
        <v>551</v>
      </c>
      <c r="E216" s="87" t="s">
        <v>40</v>
      </c>
      <c r="F216" s="142"/>
      <c r="G216" s="87" t="s">
        <v>92</v>
      </c>
      <c r="H216" s="87" t="s">
        <v>551</v>
      </c>
      <c r="I216" s="87" t="s">
        <v>40</v>
      </c>
      <c r="J216" s="142"/>
      <c r="K216" s="87" t="s">
        <v>92</v>
      </c>
      <c r="L216" s="87" t="s">
        <v>551</v>
      </c>
      <c r="M216" s="87" t="s">
        <v>40</v>
      </c>
      <c r="Q216" s="87" t="s">
        <v>92</v>
      </c>
      <c r="R216" s="87" t="s">
        <v>551</v>
      </c>
      <c r="S216" s="87" t="s">
        <v>40</v>
      </c>
      <c r="T216" s="87"/>
      <c r="U216" s="87" t="s">
        <v>92</v>
      </c>
      <c r="V216" s="87" t="s">
        <v>551</v>
      </c>
      <c r="W216" s="87" t="s">
        <v>40</v>
      </c>
      <c r="X216" s="87"/>
      <c r="Y216" s="87" t="s">
        <v>92</v>
      </c>
      <c r="Z216" s="87" t="s">
        <v>551</v>
      </c>
      <c r="AA216" s="87" t="s">
        <v>40</v>
      </c>
      <c r="AE216" s="87" t="s">
        <v>92</v>
      </c>
      <c r="AF216" s="87" t="s">
        <v>551</v>
      </c>
      <c r="AG216" s="87" t="s">
        <v>40</v>
      </c>
      <c r="AH216" s="87"/>
      <c r="AI216" s="87" t="s">
        <v>92</v>
      </c>
      <c r="AJ216" s="87" t="s">
        <v>551</v>
      </c>
      <c r="AK216" s="87" t="s">
        <v>40</v>
      </c>
      <c r="AL216" s="87"/>
      <c r="AM216" s="87" t="s">
        <v>92</v>
      </c>
      <c r="AN216" s="87" t="s">
        <v>551</v>
      </c>
      <c r="AO216" s="87" t="s">
        <v>40</v>
      </c>
    </row>
    <row r="217" spans="1:41" ht="12.75">
      <c r="A217" s="26" t="s">
        <v>481</v>
      </c>
      <c r="B217" s="11"/>
      <c r="C217" s="24"/>
      <c r="D217" s="24"/>
      <c r="E217" s="24"/>
      <c r="F217" s="168"/>
      <c r="G217" s="24"/>
      <c r="H217" s="24"/>
      <c r="I217" s="24"/>
      <c r="J217" s="168"/>
      <c r="K217" s="24"/>
      <c r="L217" s="24"/>
      <c r="M217" s="24"/>
      <c r="O217" s="26" t="s">
        <v>481</v>
      </c>
      <c r="P217" s="11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C217" s="26" t="s">
        <v>481</v>
      </c>
      <c r="AD217" s="11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12.75">
      <c r="A218" s="11" t="s">
        <v>435</v>
      </c>
      <c r="B218" s="11"/>
      <c r="C218" s="24"/>
      <c r="D218" s="24"/>
      <c r="E218" s="62">
        <f>(60/C83/1.5)-1</f>
        <v>0.7252610040047822</v>
      </c>
      <c r="F218" s="168"/>
      <c r="G218" s="24"/>
      <c r="H218" s="60"/>
      <c r="I218" s="62">
        <f>(60/C83/1.5)-1</f>
        <v>0.7252610040047822</v>
      </c>
      <c r="J218" s="168"/>
      <c r="K218" s="24"/>
      <c r="L218" s="24"/>
      <c r="M218" s="62">
        <f>(60/C83/1.5)-1</f>
        <v>0.7252610040047822</v>
      </c>
      <c r="O218" s="11" t="s">
        <v>435</v>
      </c>
      <c r="P218" s="11"/>
      <c r="Q218" s="24"/>
      <c r="R218" s="24"/>
      <c r="S218" s="62">
        <f>(60/Q83/1.5)-1</f>
        <v>0.8329370191847933</v>
      </c>
      <c r="T218" s="24"/>
      <c r="U218" s="24"/>
      <c r="V218" s="60"/>
      <c r="W218" s="62">
        <f>(60/Q83/1.5)-1</f>
        <v>0.8329370191847933</v>
      </c>
      <c r="X218" s="24"/>
      <c r="Y218" s="24"/>
      <c r="Z218" s="24"/>
      <c r="AA218" s="62">
        <f>(60/Q83/1.5)-1</f>
        <v>0.8329370191847933</v>
      </c>
      <c r="AC218" s="11" t="s">
        <v>435</v>
      </c>
      <c r="AD218" s="11"/>
      <c r="AE218" s="24"/>
      <c r="AF218" s="24"/>
      <c r="AG218" s="62">
        <f>(60/AE83/1.5)-1</f>
        <v>0.3828209154425217</v>
      </c>
      <c r="AH218" s="24"/>
      <c r="AI218" s="24"/>
      <c r="AJ218" s="60"/>
      <c r="AK218" s="62">
        <f>(60/AE83/1.5)-1</f>
        <v>0.3828209154425217</v>
      </c>
      <c r="AL218" s="24"/>
      <c r="AM218" s="24"/>
      <c r="AN218" s="24"/>
      <c r="AO218" s="62">
        <f>(60/AE83/1.5)-1</f>
        <v>0.3828209154425217</v>
      </c>
    </row>
    <row r="219" spans="1:41" ht="12.75">
      <c r="A219" s="11" t="s">
        <v>432</v>
      </c>
      <c r="B219" s="11"/>
      <c r="C219" s="24"/>
      <c r="D219" s="24"/>
      <c r="E219" s="63">
        <f>+B26/1.5</f>
        <v>186866.0181818182</v>
      </c>
      <c r="F219" s="168"/>
      <c r="G219" s="24"/>
      <c r="H219" s="59"/>
      <c r="I219" s="63">
        <f>+B26/1.5</f>
        <v>186866.0181818182</v>
      </c>
      <c r="J219" s="168"/>
      <c r="K219" s="24"/>
      <c r="L219" s="24"/>
      <c r="M219" s="63">
        <f>+B26/1.5</f>
        <v>186866.0181818182</v>
      </c>
      <c r="O219" s="11" t="s">
        <v>432</v>
      </c>
      <c r="P219" s="11"/>
      <c r="Q219" s="24"/>
      <c r="R219" s="24"/>
      <c r="S219" s="63">
        <f>+P26/1.5</f>
        <v>193164.8727272727</v>
      </c>
      <c r="T219" s="24"/>
      <c r="U219" s="24"/>
      <c r="V219" s="59"/>
      <c r="W219" s="63">
        <f>+P26/1.5</f>
        <v>193164.8727272727</v>
      </c>
      <c r="X219" s="24"/>
      <c r="Y219" s="24"/>
      <c r="Z219" s="24"/>
      <c r="AA219" s="63">
        <f>+P26/1.5</f>
        <v>193164.8727272727</v>
      </c>
      <c r="AC219" s="11" t="s">
        <v>432</v>
      </c>
      <c r="AD219" s="11"/>
      <c r="AE219" s="24"/>
      <c r="AF219" s="24"/>
      <c r="AG219" s="63">
        <f>+AD26/1.5</f>
        <v>167969.45454545453</v>
      </c>
      <c r="AH219" s="24"/>
      <c r="AI219" s="24"/>
      <c r="AJ219" s="59"/>
      <c r="AK219" s="63">
        <f>+AD26/1.5</f>
        <v>167969.45454545453</v>
      </c>
      <c r="AL219" s="24"/>
      <c r="AM219" s="24"/>
      <c r="AN219" s="24"/>
      <c r="AO219" s="63">
        <f>+AD26/1.5</f>
        <v>167969.45454545453</v>
      </c>
    </row>
    <row r="220" spans="1:41" ht="12.75">
      <c r="A220" s="11" t="s">
        <v>433</v>
      </c>
      <c r="B220" s="11"/>
      <c r="C220" s="24"/>
      <c r="D220" s="24"/>
      <c r="E220" s="64">
        <v>1.33</v>
      </c>
      <c r="F220" s="168"/>
      <c r="G220" s="24"/>
      <c r="H220" s="58"/>
      <c r="I220" s="64">
        <v>1.33</v>
      </c>
      <c r="J220" s="168"/>
      <c r="K220" s="24"/>
      <c r="L220" s="24"/>
      <c r="M220" s="64">
        <v>1.33</v>
      </c>
      <c r="O220" s="11" t="s">
        <v>433</v>
      </c>
      <c r="P220" s="11"/>
      <c r="Q220" s="24"/>
      <c r="R220" s="24"/>
      <c r="S220" s="64">
        <v>1.33</v>
      </c>
      <c r="T220" s="24"/>
      <c r="U220" s="24"/>
      <c r="V220" s="58"/>
      <c r="W220" s="64">
        <v>1.33</v>
      </c>
      <c r="X220" s="24"/>
      <c r="Y220" s="24"/>
      <c r="Z220" s="24"/>
      <c r="AA220" s="64">
        <v>1.33</v>
      </c>
      <c r="AC220" s="11" t="s">
        <v>433</v>
      </c>
      <c r="AD220" s="11"/>
      <c r="AE220" s="24"/>
      <c r="AF220" s="24"/>
      <c r="AG220" s="64">
        <v>1.33</v>
      </c>
      <c r="AH220" s="24"/>
      <c r="AI220" s="24"/>
      <c r="AJ220" s="58"/>
      <c r="AK220" s="64">
        <v>1.33</v>
      </c>
      <c r="AL220" s="24"/>
      <c r="AM220" s="24"/>
      <c r="AN220" s="24"/>
      <c r="AO220" s="64">
        <v>1.33</v>
      </c>
    </row>
    <row r="221" spans="1:41" ht="12.75">
      <c r="A221" s="11" t="s">
        <v>434</v>
      </c>
      <c r="B221" s="11"/>
      <c r="C221" s="24"/>
      <c r="D221" s="24"/>
      <c r="E221" s="63">
        <f>+E219*E218/60</f>
        <v>2258.777266015356</v>
      </c>
      <c r="F221" s="168"/>
      <c r="G221" s="24"/>
      <c r="H221" s="59"/>
      <c r="I221" s="63">
        <f>+I219*I218/60</f>
        <v>2258.777266015356</v>
      </c>
      <c r="J221" s="168"/>
      <c r="K221" s="24"/>
      <c r="L221" s="24"/>
      <c r="M221" s="63">
        <f>+M219*M218/60</f>
        <v>2258.777266015356</v>
      </c>
      <c r="O221" s="11" t="s">
        <v>434</v>
      </c>
      <c r="P221" s="11"/>
      <c r="Q221" s="24"/>
      <c r="R221" s="24"/>
      <c r="S221" s="63">
        <f>+S219*S218/60</f>
        <v>2681.5695550110754</v>
      </c>
      <c r="T221" s="24"/>
      <c r="U221" s="24"/>
      <c r="V221" s="59"/>
      <c r="W221" s="63">
        <f>+W219*W218/60</f>
        <v>2681.5695550110754</v>
      </c>
      <c r="X221" s="24"/>
      <c r="Y221" s="24"/>
      <c r="Z221" s="24"/>
      <c r="AA221" s="63">
        <f>+AA219*AA218/60</f>
        <v>2681.5695550110754</v>
      </c>
      <c r="AC221" s="11" t="s">
        <v>434</v>
      </c>
      <c r="AD221" s="11"/>
      <c r="AE221" s="24"/>
      <c r="AF221" s="24"/>
      <c r="AG221" s="63">
        <f>+AG219*AG218/60</f>
        <v>1071.7036725911992</v>
      </c>
      <c r="AH221" s="24"/>
      <c r="AI221" s="24"/>
      <c r="AJ221" s="59"/>
      <c r="AK221" s="63">
        <f>+AK219*AK218/60</f>
        <v>1071.7036725911992</v>
      </c>
      <c r="AL221" s="24"/>
      <c r="AM221" s="24"/>
      <c r="AN221" s="24"/>
      <c r="AO221" s="63">
        <f>+AO219*AO218/60</f>
        <v>1071.7036725911992</v>
      </c>
    </row>
    <row r="222" spans="1:41" ht="12.75">
      <c r="A222" s="11" t="s">
        <v>427</v>
      </c>
      <c r="B222" s="11"/>
      <c r="C222" s="24"/>
      <c r="D222" s="24"/>
      <c r="E222" s="65">
        <f>+Inputs!B67</f>
        <v>1</v>
      </c>
      <c r="F222" s="168"/>
      <c r="G222" s="24"/>
      <c r="H222" s="61"/>
      <c r="I222" s="65">
        <f>+Inputs!F67</f>
        <v>1</v>
      </c>
      <c r="J222" s="168"/>
      <c r="K222" s="24"/>
      <c r="L222" s="24"/>
      <c r="M222" s="65">
        <f>+Inputs!G67</f>
        <v>1</v>
      </c>
      <c r="O222" s="11" t="s">
        <v>427</v>
      </c>
      <c r="P222" s="11"/>
      <c r="Q222" s="24"/>
      <c r="R222" s="24"/>
      <c r="S222" s="65">
        <f>+Inputs!P67</f>
        <v>1</v>
      </c>
      <c r="T222" s="24"/>
      <c r="U222" s="24"/>
      <c r="V222" s="61"/>
      <c r="W222" s="65">
        <f>+Inputs!T67</f>
        <v>1</v>
      </c>
      <c r="X222" s="24"/>
      <c r="Y222" s="24"/>
      <c r="Z222" s="24"/>
      <c r="AA222" s="65">
        <f>+Inputs!U67</f>
        <v>1</v>
      </c>
      <c r="AC222" s="11" t="s">
        <v>427</v>
      </c>
      <c r="AD222" s="11"/>
      <c r="AE222" s="24"/>
      <c r="AF222" s="24"/>
      <c r="AG222" s="65">
        <f>+Inputs!AD67</f>
        <v>1</v>
      </c>
      <c r="AH222" s="24"/>
      <c r="AI222" s="24"/>
      <c r="AJ222" s="61"/>
      <c r="AK222" s="65">
        <f>+Inputs!AH67</f>
        <v>1</v>
      </c>
      <c r="AL222" s="24"/>
      <c r="AM222" s="24"/>
      <c r="AN222" s="24"/>
      <c r="AO222" s="65">
        <f>+Inputs!AI67</f>
        <v>1</v>
      </c>
    </row>
    <row r="223" spans="1:41" ht="12.75">
      <c r="A223" s="11" t="s">
        <v>428</v>
      </c>
      <c r="B223" s="11"/>
      <c r="C223" s="24"/>
      <c r="D223" s="24"/>
      <c r="E223" s="63">
        <f>+E221*E222</f>
        <v>2258.777266015356</v>
      </c>
      <c r="F223" s="168"/>
      <c r="G223" s="24"/>
      <c r="H223" s="59"/>
      <c r="I223" s="63">
        <f>+I221*I222</f>
        <v>2258.777266015356</v>
      </c>
      <c r="J223" s="168"/>
      <c r="K223" s="24"/>
      <c r="L223" s="24"/>
      <c r="M223" s="63">
        <f>+M221*M222</f>
        <v>2258.777266015356</v>
      </c>
      <c r="O223" s="11" t="s">
        <v>428</v>
      </c>
      <c r="P223" s="11"/>
      <c r="Q223" s="24"/>
      <c r="R223" s="24"/>
      <c r="S223" s="63">
        <f>+S221*S222</f>
        <v>2681.5695550110754</v>
      </c>
      <c r="T223" s="24"/>
      <c r="U223" s="24"/>
      <c r="V223" s="59"/>
      <c r="W223" s="63">
        <f>+W221*W222</f>
        <v>2681.5695550110754</v>
      </c>
      <c r="X223" s="24"/>
      <c r="Y223" s="24"/>
      <c r="Z223" s="24"/>
      <c r="AA223" s="63">
        <f>+AA221*AA222</f>
        <v>2681.5695550110754</v>
      </c>
      <c r="AC223" s="11" t="s">
        <v>428</v>
      </c>
      <c r="AD223" s="11"/>
      <c r="AE223" s="24"/>
      <c r="AF223" s="24"/>
      <c r="AG223" s="63">
        <f>+AG221*AG222</f>
        <v>1071.7036725911992</v>
      </c>
      <c r="AH223" s="24"/>
      <c r="AI223" s="24"/>
      <c r="AJ223" s="59"/>
      <c r="AK223" s="63">
        <f>+AK221*AK222</f>
        <v>1071.7036725911992</v>
      </c>
      <c r="AL223" s="24"/>
      <c r="AM223" s="24"/>
      <c r="AN223" s="24"/>
      <c r="AO223" s="63">
        <f>+AO221*AO222</f>
        <v>1071.7036725911992</v>
      </c>
    </row>
    <row r="224" spans="1:41" ht="12.75">
      <c r="A224" s="11" t="s">
        <v>429</v>
      </c>
      <c r="B224" s="11"/>
      <c r="C224" s="24"/>
      <c r="D224" s="24"/>
      <c r="E224" s="64">
        <f>+Inputs!E66</f>
        <v>250</v>
      </c>
      <c r="F224" s="168"/>
      <c r="G224" s="24"/>
      <c r="H224" s="58"/>
      <c r="I224" s="64">
        <f>+Inputs!F66</f>
        <v>250</v>
      </c>
      <c r="J224" s="168"/>
      <c r="K224" s="24"/>
      <c r="L224" s="24"/>
      <c r="M224" s="64">
        <f>+Inputs!G66</f>
        <v>250</v>
      </c>
      <c r="O224" s="11" t="s">
        <v>429</v>
      </c>
      <c r="P224" s="11"/>
      <c r="Q224" s="24"/>
      <c r="R224" s="24"/>
      <c r="S224" s="64">
        <f>+Inputs!S66</f>
        <v>250</v>
      </c>
      <c r="T224" s="24"/>
      <c r="U224" s="24"/>
      <c r="V224" s="58"/>
      <c r="W224" s="64">
        <f>+Inputs!T66</f>
        <v>250</v>
      </c>
      <c r="X224" s="24"/>
      <c r="Y224" s="24"/>
      <c r="Z224" s="24"/>
      <c r="AA224" s="64">
        <f>+Inputs!U66</f>
        <v>250</v>
      </c>
      <c r="AC224" s="11" t="s">
        <v>429</v>
      </c>
      <c r="AD224" s="11"/>
      <c r="AE224" s="24"/>
      <c r="AF224" s="24"/>
      <c r="AG224" s="64">
        <f>+Inputs!AG66</f>
        <v>250</v>
      </c>
      <c r="AH224" s="24"/>
      <c r="AI224" s="24"/>
      <c r="AJ224" s="58"/>
      <c r="AK224" s="64">
        <f>+Inputs!AH66</f>
        <v>250</v>
      </c>
      <c r="AL224" s="24"/>
      <c r="AM224" s="24"/>
      <c r="AN224" s="24"/>
      <c r="AO224" s="64">
        <f>+Inputs!AI66</f>
        <v>250</v>
      </c>
    </row>
    <row r="225" spans="1:41" ht="12.75">
      <c r="A225" s="11" t="s">
        <v>436</v>
      </c>
      <c r="B225" s="11"/>
      <c r="C225" s="24"/>
      <c r="D225" s="24"/>
      <c r="E225" s="63">
        <f>+E223*E224</f>
        <v>564694.316503839</v>
      </c>
      <c r="F225" s="168"/>
      <c r="G225" s="24"/>
      <c r="H225" s="59"/>
      <c r="I225" s="63">
        <f>+I223*I224</f>
        <v>564694.316503839</v>
      </c>
      <c r="J225" s="168"/>
      <c r="K225" s="24"/>
      <c r="L225" s="24"/>
      <c r="M225" s="63">
        <f>+M223*M224</f>
        <v>564694.316503839</v>
      </c>
      <c r="O225" s="11" t="s">
        <v>436</v>
      </c>
      <c r="P225" s="11"/>
      <c r="Q225" s="24"/>
      <c r="R225" s="24"/>
      <c r="S225" s="63">
        <f>+S223*S224</f>
        <v>670392.3887527689</v>
      </c>
      <c r="T225" s="24"/>
      <c r="U225" s="24"/>
      <c r="V225" s="59"/>
      <c r="W225" s="63">
        <f>+W223*W224</f>
        <v>670392.3887527689</v>
      </c>
      <c r="X225" s="24"/>
      <c r="Y225" s="24"/>
      <c r="Z225" s="24"/>
      <c r="AA225" s="63">
        <f>+AA223*AA224</f>
        <v>670392.3887527689</v>
      </c>
      <c r="AC225" s="11" t="s">
        <v>436</v>
      </c>
      <c r="AD225" s="11"/>
      <c r="AE225" s="24"/>
      <c r="AF225" s="24"/>
      <c r="AG225" s="63">
        <f>+AG223*AG224</f>
        <v>267925.9181477998</v>
      </c>
      <c r="AH225" s="24"/>
      <c r="AI225" s="24"/>
      <c r="AJ225" s="59"/>
      <c r="AK225" s="63">
        <f>+AK223*AK224</f>
        <v>267925.9181477998</v>
      </c>
      <c r="AL225" s="24"/>
      <c r="AM225" s="24"/>
      <c r="AN225" s="24"/>
      <c r="AO225" s="63">
        <f>+AO223*AO224</f>
        <v>267925.9181477998</v>
      </c>
    </row>
    <row r="226" spans="1:41" ht="12.75">
      <c r="A226" s="11"/>
      <c r="B226" s="11"/>
      <c r="C226" s="24"/>
      <c r="D226" s="24"/>
      <c r="E226" s="24"/>
      <c r="F226" s="168"/>
      <c r="G226" s="24"/>
      <c r="H226" s="24"/>
      <c r="I226" s="24"/>
      <c r="J226" s="168"/>
      <c r="K226" s="24"/>
      <c r="L226" s="24"/>
      <c r="M226" s="24"/>
      <c r="O226" s="11"/>
      <c r="P226" s="11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C226" s="11"/>
      <c r="AD226" s="11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39" ht="12.75">
      <c r="A227" s="53" t="s">
        <v>482</v>
      </c>
      <c r="B227" s="18"/>
      <c r="C227" s="18"/>
      <c r="D227" s="18"/>
      <c r="E227" s="18"/>
      <c r="F227" s="143"/>
      <c r="G227" s="18"/>
      <c r="H227" s="18"/>
      <c r="I227" s="18"/>
      <c r="J227" s="143"/>
      <c r="K227" s="18"/>
      <c r="O227" s="53" t="s">
        <v>482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AC227" s="53" t="s">
        <v>482</v>
      </c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</row>
    <row r="228" spans="1:41" ht="12.75">
      <c r="A228" s="11" t="s">
        <v>425</v>
      </c>
      <c r="B228" s="11"/>
      <c r="C228" s="18"/>
      <c r="D228" s="18"/>
      <c r="E228" s="14">
        <f>+'alt 4'!E287</f>
        <v>-1023.9816582732019</v>
      </c>
      <c r="F228" s="147"/>
      <c r="I228" s="14">
        <f>+'alt 5'!E287</f>
        <v>-4558.685797756771</v>
      </c>
      <c r="J228" s="147"/>
      <c r="L228" s="14"/>
      <c r="M228" s="14">
        <f>+'alt 6'!E287</f>
        <v>-9936.195561336295</v>
      </c>
      <c r="O228" s="11" t="s">
        <v>425</v>
      </c>
      <c r="P228" s="11"/>
      <c r="Q228" s="18"/>
      <c r="R228" s="18"/>
      <c r="S228" s="14">
        <f>+'alt 4'!S287</f>
        <v>-1844.8538403880666</v>
      </c>
      <c r="W228" s="14">
        <f>+'alt 5'!S287</f>
        <v>-5560.140218662622</v>
      </c>
      <c r="Z228" s="14"/>
      <c r="AA228" s="14">
        <f>+'alt 6'!S287</f>
        <v>-16428.30601386208</v>
      </c>
      <c r="AC228" s="11" t="s">
        <v>425</v>
      </c>
      <c r="AD228" s="11"/>
      <c r="AE228" s="18"/>
      <c r="AF228" s="18"/>
      <c r="AG228" s="14">
        <f>+'alt 4'!AG287</f>
        <v>810.7696285260026</v>
      </c>
      <c r="AK228" s="14">
        <f>+'alt 5'!AG287</f>
        <v>-2346.331732064951</v>
      </c>
      <c r="AN228" s="14"/>
      <c r="AO228" s="14">
        <f>+'alt 6'!AG287</f>
        <v>9213.64713388792</v>
      </c>
    </row>
    <row r="229" spans="1:41" ht="12.75">
      <c r="A229" s="19" t="s">
        <v>652</v>
      </c>
      <c r="B229" s="19"/>
      <c r="C229" s="18"/>
      <c r="D229" s="18"/>
      <c r="E229" s="31">
        <f>+'alt 4'!E288</f>
        <v>0.06</v>
      </c>
      <c r="F229" s="147"/>
      <c r="I229" s="31">
        <f>+'alt 5'!E288</f>
        <v>0.06</v>
      </c>
      <c r="J229" s="147"/>
      <c r="L229" s="31"/>
      <c r="M229" s="31">
        <f>+'alt 6'!E288</f>
        <v>0.06</v>
      </c>
      <c r="O229" s="19" t="s">
        <v>367</v>
      </c>
      <c r="P229" s="19"/>
      <c r="Q229" s="18"/>
      <c r="R229" s="18"/>
      <c r="S229" s="31">
        <f>+'alt 4'!S288</f>
        <v>0.06</v>
      </c>
      <c r="W229" s="31">
        <f>+'alt 5'!S288</f>
        <v>0.06</v>
      </c>
      <c r="Z229" s="31"/>
      <c r="AA229" s="31">
        <f>+'alt 6'!S288</f>
        <v>0.06</v>
      </c>
      <c r="AC229" s="19" t="s">
        <v>367</v>
      </c>
      <c r="AD229" s="19"/>
      <c r="AE229" s="18"/>
      <c r="AF229" s="18"/>
      <c r="AG229" s="31">
        <f>+'alt 4'!AG288</f>
        <v>0.06</v>
      </c>
      <c r="AK229" s="31">
        <f>+'alt 5'!AG288</f>
        <v>0.06</v>
      </c>
      <c r="AN229" s="31"/>
      <c r="AO229" s="31">
        <f>+'alt 6'!AG288</f>
        <v>0.06</v>
      </c>
    </row>
    <row r="230" spans="1:41" ht="12.75">
      <c r="A230" s="11" t="s">
        <v>653</v>
      </c>
      <c r="B230" s="11"/>
      <c r="C230" s="18"/>
      <c r="D230" s="18"/>
      <c r="E230" s="57">
        <f>+'alt 4'!E291</f>
        <v>-61.43889949639211</v>
      </c>
      <c r="F230" s="147"/>
      <c r="I230" s="14">
        <f>+'alt 5'!E291</f>
        <v>-273.52114786540625</v>
      </c>
      <c r="J230" s="147"/>
      <c r="L230" s="57"/>
      <c r="M230" s="57">
        <f>+'alt 6'!E291</f>
        <v>-596.1717336801777</v>
      </c>
      <c r="O230" s="11" t="s">
        <v>426</v>
      </c>
      <c r="P230" s="11"/>
      <c r="Q230" s="18"/>
      <c r="R230" s="18"/>
      <c r="S230" s="57">
        <f>+'alt 4'!S291</f>
        <v>-110.691230423284</v>
      </c>
      <c r="W230" s="14">
        <f>+'alt 5'!S291</f>
        <v>-333.6084131197573</v>
      </c>
      <c r="Z230" s="57"/>
      <c r="AA230" s="57">
        <f>+'alt 6'!S291</f>
        <v>-985.6983608317247</v>
      </c>
      <c r="AC230" s="11" t="s">
        <v>426</v>
      </c>
      <c r="AD230" s="11"/>
      <c r="AE230" s="18"/>
      <c r="AF230" s="18"/>
      <c r="AG230" s="57">
        <f>+'alt 4'!AG291</f>
        <v>48.646177711560156</v>
      </c>
      <c r="AK230" s="14">
        <f>+'alt 5'!AG291</f>
        <v>-140.77990392389708</v>
      </c>
      <c r="AN230" s="57"/>
      <c r="AO230" s="57">
        <f>+'alt 6'!AG291</f>
        <v>552.8188280332752</v>
      </c>
    </row>
    <row r="231" spans="1:33" ht="12.75">
      <c r="A231" s="11"/>
      <c r="B231" s="11"/>
      <c r="C231" s="18"/>
      <c r="D231" s="18"/>
      <c r="E231" s="37"/>
      <c r="F231" s="147"/>
      <c r="J231" s="147"/>
      <c r="O231" s="11"/>
      <c r="P231" s="11"/>
      <c r="Q231" s="18"/>
      <c r="R231" s="18"/>
      <c r="S231" s="37"/>
      <c r="AC231" s="11"/>
      <c r="AD231" s="11"/>
      <c r="AE231" s="18"/>
      <c r="AF231" s="18"/>
      <c r="AG231" s="37"/>
    </row>
    <row r="232" spans="1:33" ht="12.75">
      <c r="A232" s="26" t="s">
        <v>348</v>
      </c>
      <c r="B232" s="26"/>
      <c r="C232" s="18"/>
      <c r="D232" s="18"/>
      <c r="E232" s="18"/>
      <c r="F232" s="147"/>
      <c r="J232" s="147"/>
      <c r="O232" s="26" t="s">
        <v>348</v>
      </c>
      <c r="P232" s="26"/>
      <c r="Q232" s="18"/>
      <c r="R232" s="18"/>
      <c r="S232" s="18"/>
      <c r="AC232" s="26" t="s">
        <v>348</v>
      </c>
      <c r="AD232" s="26"/>
      <c r="AE232" s="18"/>
      <c r="AF232" s="18"/>
      <c r="AG232" s="18"/>
    </row>
    <row r="233" spans="1:41" ht="12.75">
      <c r="A233" s="11" t="s">
        <v>349</v>
      </c>
      <c r="B233" s="11"/>
      <c r="C233" s="37">
        <f>+'alt 4'!C297</f>
        <v>23240.74074548134</v>
      </c>
      <c r="D233" s="37">
        <f>+'alt 4'!D297</f>
        <v>37072.15494925522</v>
      </c>
      <c r="E233" s="37">
        <f>+'alt 4'!E297</f>
        <v>60312.895694736566</v>
      </c>
      <c r="F233" s="147"/>
      <c r="G233" s="37">
        <f>+'alt 5'!C297</f>
        <v>26413.05802821633</v>
      </c>
      <c r="H233" s="37">
        <f>+'alt 5'!D297</f>
        <v>38239.44878208013</v>
      </c>
      <c r="I233" s="37">
        <f>+'alt 5'!E297</f>
        <v>64652.50681029646</v>
      </c>
      <c r="J233" s="147"/>
      <c r="K233" s="37">
        <f>+'alt 6'!C297</f>
        <v>-1240.8556429106595</v>
      </c>
      <c r="L233" s="37">
        <f>+'alt 6'!D297</f>
        <v>88326.37541906937</v>
      </c>
      <c r="M233" s="37">
        <f>+'alt 6'!E297</f>
        <v>87085.51977615872</v>
      </c>
      <c r="O233" s="11" t="s">
        <v>349</v>
      </c>
      <c r="P233" s="11"/>
      <c r="Q233" s="37">
        <f>+'alt 4'!Q297</f>
        <v>23852.02678093567</v>
      </c>
      <c r="R233" s="37">
        <f>+'alt 4'!R297</f>
        <v>41735.70223064945</v>
      </c>
      <c r="S233" s="37">
        <f>+'alt 4'!S297</f>
        <v>65587.72901158512</v>
      </c>
      <c r="U233" s="37">
        <f>+'alt 5'!Q297</f>
        <v>27456.209741074385</v>
      </c>
      <c r="V233" s="37">
        <f>+'alt 5'!R297</f>
        <v>43065.07776734957</v>
      </c>
      <c r="W233" s="37">
        <f>+'alt 5'!S297</f>
        <v>70521.28750842395</v>
      </c>
      <c r="Y233" s="37">
        <f>+'alt 6'!Q297</f>
        <v>-10132.87793625853</v>
      </c>
      <c r="Z233" s="37">
        <f>+'alt 6'!R297</f>
        <v>98149.28506771938</v>
      </c>
      <c r="AA233" s="37">
        <f>+'alt 6'!S297</f>
        <v>88016.40713146084</v>
      </c>
      <c r="AC233" s="11" t="s">
        <v>349</v>
      </c>
      <c r="AD233" s="11"/>
      <c r="AE233" s="37">
        <f>+'alt 4'!AE297</f>
        <v>19125.132476018556</v>
      </c>
      <c r="AF233" s="37">
        <f>+'alt 4'!AF297</f>
        <v>23435.3162776885</v>
      </c>
      <c r="AG233" s="37">
        <f>+'alt 4'!AG297</f>
        <v>42560.44875370705</v>
      </c>
      <c r="AI233" s="37">
        <f>+'alt 5'!AE297</f>
        <v>21076.11454208024</v>
      </c>
      <c r="AJ233" s="37">
        <f>+'alt 5'!AF297</f>
        <v>24145.150891481477</v>
      </c>
      <c r="AK233" s="37">
        <f>+'alt 5'!AG297</f>
        <v>45221.26543356171</v>
      </c>
      <c r="AM233" s="37">
        <f>+'alt 6'!AE297</f>
        <v>6275.912423191806</v>
      </c>
      <c r="AN233" s="37">
        <f>+'alt 6'!AF297</f>
        <v>58167.33130900141</v>
      </c>
      <c r="AO233" s="37">
        <f>+'alt 6'!AG297</f>
        <v>64443.243732193216</v>
      </c>
    </row>
    <row r="234" spans="1:41" ht="12.75">
      <c r="A234" s="11" t="s">
        <v>651</v>
      </c>
      <c r="B234" s="11"/>
      <c r="C234" s="37">
        <f>+'alt 4'!C303</f>
        <v>9294.606059258638</v>
      </c>
      <c r="D234" s="37">
        <f>+'alt 4'!D303</f>
        <v>14826.165817804973</v>
      </c>
      <c r="E234" s="37">
        <f>+'alt 4'!E303</f>
        <v>24120.771877063613</v>
      </c>
      <c r="F234" s="147"/>
      <c r="G234" s="37">
        <f>+'alt 5'!C303</f>
        <v>10563.302257925729</v>
      </c>
      <c r="H234" s="37">
        <f>+'alt 5'!D303</f>
        <v>15292.998456675105</v>
      </c>
      <c r="I234" s="37">
        <f>+'alt 5'!E303</f>
        <v>25856.30071460083</v>
      </c>
      <c r="J234" s="147"/>
      <c r="K234" s="37">
        <f>+'alt 6'!C303</f>
        <v>-496.25201294434146</v>
      </c>
      <c r="L234" s="37">
        <f>+'alt 6'!D303</f>
        <v>35324.12641890742</v>
      </c>
      <c r="M234" s="37">
        <f>+'alt 6'!E303</f>
        <v>34827.87440596308</v>
      </c>
      <c r="O234" s="11" t="s">
        <v>350</v>
      </c>
      <c r="P234" s="11"/>
      <c r="Q234" s="37">
        <f>+'alt 4'!Q303</f>
        <v>9539.076016188848</v>
      </c>
      <c r="R234" s="37">
        <f>+'alt 4'!R303</f>
        <v>16691.24556263684</v>
      </c>
      <c r="S234" s="37">
        <f>+'alt 4'!S303</f>
        <v>26230.321578825686</v>
      </c>
      <c r="U234" s="37">
        <f>+'alt 5'!Q303</f>
        <v>10980.487077344258</v>
      </c>
      <c r="V234" s="37">
        <f>+'alt 5'!R303</f>
        <v>17222.899095274155</v>
      </c>
      <c r="W234" s="37">
        <f>+'alt 5'!S303</f>
        <v>28203.38617261841</v>
      </c>
      <c r="Y234" s="37">
        <f>+'alt 6'!Q303</f>
        <v>-4052.414236512155</v>
      </c>
      <c r="Z234" s="37">
        <f>+'alt 6'!R303</f>
        <v>39252.57588356761</v>
      </c>
      <c r="AA234" s="37">
        <f>+'alt 6'!S303</f>
        <v>35200.16164705546</v>
      </c>
      <c r="AC234" s="11" t="s">
        <v>350</v>
      </c>
      <c r="AD234" s="11"/>
      <c r="AE234" s="37">
        <f>+'alt 4'!AE303</f>
        <v>7648.662069012923</v>
      </c>
      <c r="AF234" s="37">
        <f>+'alt 4'!AF303</f>
        <v>9372.422121166552</v>
      </c>
      <c r="AG234" s="37">
        <f>+'alt 4'!AG303</f>
        <v>17021.084190179474</v>
      </c>
      <c r="AI234" s="37">
        <f>+'alt 5'!AE303</f>
        <v>8428.913005560526</v>
      </c>
      <c r="AJ234" s="37">
        <f>+'alt 5'!AF303</f>
        <v>9656.304342249136</v>
      </c>
      <c r="AK234" s="37">
        <f>+'alt 5'!AG303</f>
        <v>18085.21734780966</v>
      </c>
      <c r="AM234" s="37">
        <f>+'alt 6'!AE303</f>
        <v>2509.9085384064856</v>
      </c>
      <c r="AN234" s="37">
        <f>+'alt 6'!AF303</f>
        <v>23262.702164115206</v>
      </c>
      <c r="AO234" s="37">
        <f>+'alt 6'!AG303</f>
        <v>25772.61070252169</v>
      </c>
    </row>
    <row r="235" spans="1:41" ht="12.75">
      <c r="A235" s="11" t="s">
        <v>351</v>
      </c>
      <c r="B235" s="11"/>
      <c r="C235" s="37">
        <f>+'alt 4'!C304</f>
        <v>32535.34680473998</v>
      </c>
      <c r="D235" s="37">
        <f>+'alt 4'!D304</f>
        <v>51898.3207670602</v>
      </c>
      <c r="E235" s="37">
        <f>+'alt 4'!E304</f>
        <v>84433.66757180018</v>
      </c>
      <c r="F235" s="147"/>
      <c r="G235" s="37">
        <f>+'alt 5'!C304</f>
        <v>36976.36028614206</v>
      </c>
      <c r="H235" s="37">
        <f>+'alt 5'!D304</f>
        <v>53532.44723875524</v>
      </c>
      <c r="I235" s="37">
        <f>+'alt 5'!E304</f>
        <v>90508.8075248973</v>
      </c>
      <c r="J235" s="147"/>
      <c r="K235" s="37">
        <f>+'alt 6'!C304</f>
        <v>-1737.107655855001</v>
      </c>
      <c r="L235" s="37">
        <f>+'alt 6'!D304</f>
        <v>123650.5018379768</v>
      </c>
      <c r="M235" s="37">
        <f>+'alt 6'!E304</f>
        <v>121913.3941821218</v>
      </c>
      <c r="O235" s="11" t="s">
        <v>351</v>
      </c>
      <c r="P235" s="11"/>
      <c r="Q235" s="37">
        <f>+'alt 4'!Q304</f>
        <v>33391.10279712452</v>
      </c>
      <c r="R235" s="37">
        <f>+'alt 4'!R304</f>
        <v>58426.94779328629</v>
      </c>
      <c r="S235" s="37">
        <f>+'alt 4'!S304</f>
        <v>91818.0505904108</v>
      </c>
      <c r="U235" s="37">
        <f>+'alt 5'!Q304</f>
        <v>38436.69681841864</v>
      </c>
      <c r="V235" s="37">
        <f>+'alt 5'!R304</f>
        <v>60287.97686262372</v>
      </c>
      <c r="W235" s="37">
        <f>+'alt 5'!S304</f>
        <v>98724.67368104236</v>
      </c>
      <c r="Y235" s="37">
        <f>+'alt 6'!Q304</f>
        <v>-14185.292172770685</v>
      </c>
      <c r="Z235" s="37">
        <f>+'alt 6'!R304</f>
        <v>137401.86095128697</v>
      </c>
      <c r="AA235" s="37">
        <f>+'alt 6'!S304</f>
        <v>123216.56877851629</v>
      </c>
      <c r="AC235" s="11" t="s">
        <v>351</v>
      </c>
      <c r="AD235" s="11"/>
      <c r="AE235" s="37">
        <f>+'alt 4'!AE304</f>
        <v>26773.79454503148</v>
      </c>
      <c r="AF235" s="37">
        <f>+'alt 4'!AF304</f>
        <v>32807.73839885505</v>
      </c>
      <c r="AG235" s="37">
        <f>+'alt 4'!AG304</f>
        <v>59581.53294388653</v>
      </c>
      <c r="AI235" s="37">
        <f>+'alt 5'!AE304</f>
        <v>29505.027547640762</v>
      </c>
      <c r="AJ235" s="37">
        <f>+'alt 5'!AF304</f>
        <v>33801.45523373061</v>
      </c>
      <c r="AK235" s="37">
        <f>+'alt 5'!AG304</f>
        <v>63306.48278137137</v>
      </c>
      <c r="AM235" s="37">
        <f>+'alt 6'!AE304</f>
        <v>8785.820961598292</v>
      </c>
      <c r="AN235" s="37">
        <f>+'alt 6'!AF304</f>
        <v>81430.03347311662</v>
      </c>
      <c r="AO235" s="37">
        <f>+'alt 6'!AG304</f>
        <v>90215.85443471491</v>
      </c>
    </row>
    <row r="236" spans="1:41" ht="12.75">
      <c r="A236" s="11"/>
      <c r="B236" s="11"/>
      <c r="C236" s="37"/>
      <c r="D236" s="37"/>
      <c r="E236" s="37"/>
      <c r="F236" s="147"/>
      <c r="G236" s="37"/>
      <c r="H236" s="37"/>
      <c r="I236" s="37"/>
      <c r="J236" s="147"/>
      <c r="K236" s="37"/>
      <c r="L236" s="37"/>
      <c r="M236" s="37"/>
      <c r="O236" s="11"/>
      <c r="P236" s="11"/>
      <c r="Q236" s="37"/>
      <c r="R236" s="37"/>
      <c r="S236" s="37"/>
      <c r="U236" s="37"/>
      <c r="V236" s="37"/>
      <c r="W236" s="37"/>
      <c r="Y236" s="37"/>
      <c r="Z236" s="37"/>
      <c r="AA236" s="37"/>
      <c r="AC236" s="11"/>
      <c r="AD236" s="11"/>
      <c r="AE236" s="37"/>
      <c r="AF236" s="37"/>
      <c r="AG236" s="37"/>
      <c r="AI236" s="37"/>
      <c r="AJ236" s="37"/>
      <c r="AK236" s="37"/>
      <c r="AM236" s="37"/>
      <c r="AN236" s="37"/>
      <c r="AO236" s="37"/>
    </row>
    <row r="237" spans="1:41" ht="12.75">
      <c r="A237" s="11" t="s">
        <v>352</v>
      </c>
      <c r="B237" s="11"/>
      <c r="C237" s="37"/>
      <c r="D237" s="37"/>
      <c r="E237" s="37">
        <f>+'alt 4'!E306</f>
        <v>-61.43889949639211</v>
      </c>
      <c r="F237" s="147"/>
      <c r="G237" s="37"/>
      <c r="H237" s="37"/>
      <c r="I237" s="37">
        <f>+'alt 5'!E306</f>
        <v>-273.52114786540625</v>
      </c>
      <c r="J237" s="147"/>
      <c r="K237" s="37"/>
      <c r="L237" s="37"/>
      <c r="M237" s="37">
        <f>+'alt 6'!E306</f>
        <v>-596.1717336801777</v>
      </c>
      <c r="O237" s="11" t="s">
        <v>352</v>
      </c>
      <c r="P237" s="11"/>
      <c r="Q237" s="37"/>
      <c r="R237" s="37"/>
      <c r="S237" s="37">
        <f>+'alt 4'!S306</f>
        <v>-110.691230423284</v>
      </c>
      <c r="U237" s="37"/>
      <c r="V237" s="37"/>
      <c r="W237" s="37">
        <f>+'alt 5'!S306</f>
        <v>-333.6084131197573</v>
      </c>
      <c r="Y237" s="37"/>
      <c r="Z237" s="37"/>
      <c r="AA237" s="37">
        <f>+'alt 6'!S306</f>
        <v>-985.6983608317247</v>
      </c>
      <c r="AC237" s="11" t="s">
        <v>352</v>
      </c>
      <c r="AD237" s="11"/>
      <c r="AE237" s="37"/>
      <c r="AF237" s="37"/>
      <c r="AG237" s="37">
        <f>+'alt 4'!AG306</f>
        <v>48.646177711560156</v>
      </c>
      <c r="AI237" s="37"/>
      <c r="AJ237" s="37"/>
      <c r="AK237" s="37">
        <f>+'alt 5'!AG306</f>
        <v>-140.77990392389708</v>
      </c>
      <c r="AM237" s="37"/>
      <c r="AN237" s="37"/>
      <c r="AO237" s="37">
        <f>+'alt 6'!AG306</f>
        <v>552.8188280332752</v>
      </c>
    </row>
    <row r="238" spans="1:41" ht="12.75">
      <c r="A238" s="11"/>
      <c r="B238" s="11"/>
      <c r="C238" s="37"/>
      <c r="D238" s="37"/>
      <c r="E238" s="37"/>
      <c r="F238" s="147"/>
      <c r="G238" s="37"/>
      <c r="H238" s="37"/>
      <c r="I238" s="37"/>
      <c r="J238" s="147"/>
      <c r="K238" s="37"/>
      <c r="L238" s="37"/>
      <c r="M238" s="37"/>
      <c r="O238" s="11"/>
      <c r="P238" s="11"/>
      <c r="Q238" s="37"/>
      <c r="R238" s="37"/>
      <c r="S238" s="37"/>
      <c r="U238" s="37"/>
      <c r="V238" s="37"/>
      <c r="W238" s="37"/>
      <c r="Y238" s="37"/>
      <c r="Z238" s="37"/>
      <c r="AA238" s="37"/>
      <c r="AC238" s="11"/>
      <c r="AD238" s="11"/>
      <c r="AE238" s="37"/>
      <c r="AF238" s="37"/>
      <c r="AG238" s="37"/>
      <c r="AI238" s="37"/>
      <c r="AJ238" s="37"/>
      <c r="AK238" s="37"/>
      <c r="AM238" s="37"/>
      <c r="AN238" s="37"/>
      <c r="AO238" s="37"/>
    </row>
    <row r="239" spans="1:41" ht="12.75">
      <c r="A239" s="11" t="s">
        <v>353</v>
      </c>
      <c r="B239" s="11"/>
      <c r="C239" s="37">
        <f>+'alt 4'!C308</f>
        <v>32535.34680473998</v>
      </c>
      <c r="D239" s="37">
        <f>+'alt 4'!D308</f>
        <v>51898.3207670602</v>
      </c>
      <c r="E239" s="37">
        <f>+'alt 4'!E308</f>
        <v>84495.10647129657</v>
      </c>
      <c r="F239" s="147"/>
      <c r="G239" s="37">
        <f>+'alt 5'!C308</f>
        <v>36976.36028614206</v>
      </c>
      <c r="H239" s="37">
        <f>+'alt 5'!D308</f>
        <v>53532.44723875524</v>
      </c>
      <c r="I239" s="37">
        <f>+'alt 5'!E308</f>
        <v>90782.32867276271</v>
      </c>
      <c r="J239" s="147"/>
      <c r="K239" s="37">
        <f>+'alt 6'!C308</f>
        <v>-1737.107655855001</v>
      </c>
      <c r="L239" s="37">
        <f>+'alt 6'!D308</f>
        <v>123650.5018379768</v>
      </c>
      <c r="M239" s="37">
        <f>+'alt 6'!E308</f>
        <v>122509.56591580198</v>
      </c>
      <c r="O239" s="11" t="s">
        <v>353</v>
      </c>
      <c r="P239" s="11"/>
      <c r="Q239" s="37">
        <f>+'alt 4'!Q308</f>
        <v>33391.10279712452</v>
      </c>
      <c r="R239" s="37">
        <f>+'alt 4'!R308</f>
        <v>58426.94779328629</v>
      </c>
      <c r="S239" s="37">
        <f>+'alt 4'!S308</f>
        <v>91928.74182083408</v>
      </c>
      <c r="U239" s="37">
        <f>+'alt 5'!Q308</f>
        <v>38436.69681841864</v>
      </c>
      <c r="V239" s="37">
        <f>+'alt 5'!R308</f>
        <v>60287.97686262372</v>
      </c>
      <c r="W239" s="37">
        <f>+'alt 5'!S308</f>
        <v>99058.28209416212</v>
      </c>
      <c r="Y239" s="37">
        <f>+'alt 6'!Q308</f>
        <v>-14185.292172770685</v>
      </c>
      <c r="Z239" s="37">
        <f>+'alt 6'!R308</f>
        <v>137401.86095128697</v>
      </c>
      <c r="AA239" s="37">
        <f>+'alt 6'!S308</f>
        <v>124202.26713934801</v>
      </c>
      <c r="AC239" s="11" t="s">
        <v>353</v>
      </c>
      <c r="AD239" s="11"/>
      <c r="AE239" s="37">
        <f>+'alt 4'!AE308</f>
        <v>26773.79454503148</v>
      </c>
      <c r="AF239" s="37">
        <f>+'alt 4'!AF308</f>
        <v>32807.73839885505</v>
      </c>
      <c r="AG239" s="37">
        <f>+'alt 4'!AG308</f>
        <v>59532.88676617497</v>
      </c>
      <c r="AI239" s="37">
        <f>+'alt 5'!AE308</f>
        <v>29505.027547640762</v>
      </c>
      <c r="AJ239" s="37">
        <f>+'alt 5'!AF308</f>
        <v>33801.45523373061</v>
      </c>
      <c r="AK239" s="37">
        <f>+'alt 5'!AG308</f>
        <v>63447.26268529527</v>
      </c>
      <c r="AM239" s="37">
        <f>+'alt 6'!AE308</f>
        <v>8785.820961598292</v>
      </c>
      <c r="AN239" s="37">
        <f>+'alt 6'!AF308</f>
        <v>81430.03347311662</v>
      </c>
      <c r="AO239" s="37">
        <f>+'alt 6'!AG308</f>
        <v>89663.03560668165</v>
      </c>
    </row>
    <row r="240" spans="1:41" ht="12.75">
      <c r="A240" s="11" t="s">
        <v>354</v>
      </c>
      <c r="B240" s="11"/>
      <c r="C240" s="14">
        <f>+'alt 4'!C309</f>
        <v>250</v>
      </c>
      <c r="D240" s="14">
        <f>+'alt 4'!D309</f>
        <v>250</v>
      </c>
      <c r="E240" s="14">
        <f>+'alt 4'!E309</f>
        <v>250</v>
      </c>
      <c r="F240" s="147"/>
      <c r="G240" s="14">
        <f>+'alt 5'!C309</f>
        <v>250</v>
      </c>
      <c r="H240" s="14">
        <f>+'alt 5'!D309</f>
        <v>250</v>
      </c>
      <c r="I240" s="14">
        <f>+'alt 5'!E309</f>
        <v>250</v>
      </c>
      <c r="J240" s="147"/>
      <c r="K240" s="14">
        <f>+'alt 6'!C309</f>
        <v>250</v>
      </c>
      <c r="L240" s="14">
        <f>+'alt 6'!D309</f>
        <v>250</v>
      </c>
      <c r="M240" s="14">
        <f>+'alt 6'!E309</f>
        <v>250</v>
      </c>
      <c r="O240" s="11" t="s">
        <v>354</v>
      </c>
      <c r="P240" s="11"/>
      <c r="Q240" s="14">
        <f>+'alt 4'!Q309</f>
        <v>250</v>
      </c>
      <c r="R240" s="14">
        <f>+'alt 4'!R309</f>
        <v>250</v>
      </c>
      <c r="S240" s="14">
        <f>+'alt 4'!S309</f>
        <v>250</v>
      </c>
      <c r="U240" s="14">
        <f>+'alt 5'!Q309</f>
        <v>250</v>
      </c>
      <c r="V240" s="14">
        <f>+'alt 5'!R309</f>
        <v>250</v>
      </c>
      <c r="W240" s="14">
        <f>+'alt 5'!S309</f>
        <v>250</v>
      </c>
      <c r="Y240" s="14">
        <f>+'alt 6'!Q309</f>
        <v>250</v>
      </c>
      <c r="Z240" s="14">
        <f>+'alt 6'!R309</f>
        <v>250</v>
      </c>
      <c r="AA240" s="14">
        <f>+'alt 6'!S309</f>
        <v>250</v>
      </c>
      <c r="AC240" s="11" t="s">
        <v>354</v>
      </c>
      <c r="AD240" s="11"/>
      <c r="AE240" s="14">
        <f>+'alt 4'!AE309</f>
        <v>250</v>
      </c>
      <c r="AF240" s="14">
        <f>+'alt 4'!AF309</f>
        <v>250</v>
      </c>
      <c r="AG240" s="14">
        <f>+'alt 4'!AG309</f>
        <v>250</v>
      </c>
      <c r="AI240" s="14">
        <f>+'alt 5'!AE309</f>
        <v>250</v>
      </c>
      <c r="AJ240" s="14">
        <f>+'alt 5'!AF309</f>
        <v>250</v>
      </c>
      <c r="AK240" s="14">
        <f>+'alt 5'!AG309</f>
        <v>250</v>
      </c>
      <c r="AM240" s="14">
        <f>+'alt 6'!AE309</f>
        <v>250</v>
      </c>
      <c r="AN240" s="14">
        <f>+'alt 6'!AF309</f>
        <v>250</v>
      </c>
      <c r="AO240" s="14">
        <f>+'alt 6'!AG309</f>
        <v>250</v>
      </c>
    </row>
    <row r="241" spans="1:41" ht="12.75">
      <c r="A241" s="11" t="s">
        <v>483</v>
      </c>
      <c r="B241" s="11"/>
      <c r="C241" s="38">
        <f>+'alt 4'!C310/1000000</f>
        <v>8.133836701184995</v>
      </c>
      <c r="D241" s="38">
        <f>+'alt 4'!D310/1000000</f>
        <v>12.97458019176505</v>
      </c>
      <c r="E241" s="38">
        <f>+'alt 4'!E310/1000000</f>
        <v>21.123776617824145</v>
      </c>
      <c r="F241" s="147"/>
      <c r="G241" s="38">
        <f>+'alt 5'!C310/1000000</f>
        <v>9.244090071535515</v>
      </c>
      <c r="H241" s="38">
        <f>+'alt 5'!D310/1000000</f>
        <v>13.38311180968881</v>
      </c>
      <c r="I241" s="38">
        <f>+'alt 5'!E310/1000000</f>
        <v>22.695582168190676</v>
      </c>
      <c r="J241" s="147"/>
      <c r="K241" s="38">
        <f>+'alt 6'!C310/1000000</f>
        <v>-0.43427691396375023</v>
      </c>
      <c r="L241" s="38">
        <f>+'alt 6'!D310/1000000</f>
        <v>30.9126254594942</v>
      </c>
      <c r="M241" s="38">
        <f>+'alt 6'!E310/1000000</f>
        <v>30.627391478950496</v>
      </c>
      <c r="O241" s="11" t="s">
        <v>483</v>
      </c>
      <c r="P241" s="11"/>
      <c r="Q241" s="37">
        <f>+'alt 4'!Q310</f>
        <v>8347775.69928113</v>
      </c>
      <c r="R241" s="37">
        <f>+'alt 4'!R310</f>
        <v>14606736.948321572</v>
      </c>
      <c r="S241" s="37">
        <f>+'alt 4'!S310</f>
        <v>22982185.45520852</v>
      </c>
      <c r="U241" s="37">
        <f>+'alt 5'!Q310</f>
        <v>9609174.204604661</v>
      </c>
      <c r="V241" s="37">
        <f>+'alt 5'!R310</f>
        <v>15071994.21565593</v>
      </c>
      <c r="W241" s="37">
        <f>+'alt 5'!S310</f>
        <v>24764570.52354053</v>
      </c>
      <c r="Y241" s="37">
        <f>+'alt 6'!Q310</f>
        <v>-3546323.043192671</v>
      </c>
      <c r="Z241" s="37">
        <f>+'alt 6'!R310</f>
        <v>34350465.23782174</v>
      </c>
      <c r="AA241" s="37">
        <f>+'alt 6'!S310</f>
        <v>31050566.784837004</v>
      </c>
      <c r="AC241" s="11" t="s">
        <v>483</v>
      </c>
      <c r="AD241" s="11"/>
      <c r="AE241" s="37">
        <f>+'alt 4'!AE310</f>
        <v>6693448.63625787</v>
      </c>
      <c r="AF241" s="37">
        <f>+'alt 4'!AF310</f>
        <v>8201934.599713762</v>
      </c>
      <c r="AG241" s="37">
        <f>+'alt 4'!AG310</f>
        <v>14883221.691543741</v>
      </c>
      <c r="AI241" s="37">
        <f>+'alt 5'!AE310</f>
        <v>7376256.886910191</v>
      </c>
      <c r="AJ241" s="37">
        <f>+'alt 5'!AF310</f>
        <v>8450363.808432652</v>
      </c>
      <c r="AK241" s="37">
        <f>+'alt 5'!AG310</f>
        <v>15861815.671323817</v>
      </c>
      <c r="AM241" s="37">
        <f>+'alt 6'!AE310</f>
        <v>2196455.240399573</v>
      </c>
      <c r="AN241" s="37">
        <f>+'alt 6'!AF310</f>
        <v>20357508.368279155</v>
      </c>
      <c r="AO241" s="37">
        <f>+'alt 6'!AG310</f>
        <v>22415758.90167041</v>
      </c>
    </row>
    <row r="242" spans="1:41" ht="12.75">
      <c r="A242" s="11" t="s">
        <v>504</v>
      </c>
      <c r="B242" s="11"/>
      <c r="C242" s="47">
        <f>+Inputs!B61</f>
        <v>12.409</v>
      </c>
      <c r="D242" s="47">
        <f>+C242</f>
        <v>12.409</v>
      </c>
      <c r="E242" s="47">
        <f>+C242</f>
        <v>12.409</v>
      </c>
      <c r="F242" s="171"/>
      <c r="G242" s="47">
        <f>+C242</f>
        <v>12.409</v>
      </c>
      <c r="H242" s="47">
        <f>+C242</f>
        <v>12.409</v>
      </c>
      <c r="I242" s="47">
        <f>+C242</f>
        <v>12.409</v>
      </c>
      <c r="J242" s="171"/>
      <c r="K242" s="47">
        <f>+C242</f>
        <v>12.409</v>
      </c>
      <c r="L242" s="47">
        <f>+C242</f>
        <v>12.409</v>
      </c>
      <c r="M242" s="47">
        <f>+C242</f>
        <v>12.409</v>
      </c>
      <c r="O242" s="11" t="s">
        <v>504</v>
      </c>
      <c r="P242" s="11"/>
      <c r="Q242" s="47">
        <f>+Inputs!P61</f>
        <v>12.409</v>
      </c>
      <c r="R242" s="47">
        <f>+Q242</f>
        <v>12.409</v>
      </c>
      <c r="S242" s="47">
        <f>+Q242</f>
        <v>12.409</v>
      </c>
      <c r="T242" s="47"/>
      <c r="U242" s="47">
        <f>+Q242</f>
        <v>12.409</v>
      </c>
      <c r="V242" s="47">
        <f>+Q242</f>
        <v>12.409</v>
      </c>
      <c r="W242" s="47">
        <f>+Q242</f>
        <v>12.409</v>
      </c>
      <c r="X242" s="47"/>
      <c r="Y242" s="47">
        <f>+Q242</f>
        <v>12.409</v>
      </c>
      <c r="Z242" s="47">
        <f>+Q242</f>
        <v>12.409</v>
      </c>
      <c r="AA242" s="47">
        <f>+Q242</f>
        <v>12.409</v>
      </c>
      <c r="AC242" s="11" t="s">
        <v>504</v>
      </c>
      <c r="AD242" s="11"/>
      <c r="AE242" s="47">
        <f>+Inputs!AD61</f>
        <v>12.409</v>
      </c>
      <c r="AF242" s="47">
        <f>+AE242</f>
        <v>12.409</v>
      </c>
      <c r="AG242" s="47">
        <f>+AE242</f>
        <v>12.409</v>
      </c>
      <c r="AH242" s="47"/>
      <c r="AI242" s="47">
        <f>+AE242</f>
        <v>12.409</v>
      </c>
      <c r="AJ242" s="47">
        <f>+AE242</f>
        <v>12.409</v>
      </c>
      <c r="AK242" s="47">
        <f>+AE242</f>
        <v>12.409</v>
      </c>
      <c r="AL242" s="47"/>
      <c r="AM242" s="47">
        <f>+AE242</f>
        <v>12.409</v>
      </c>
      <c r="AN242" s="47">
        <f>+AE242</f>
        <v>12.409</v>
      </c>
      <c r="AO242" s="47">
        <f>+AE242</f>
        <v>12.409</v>
      </c>
    </row>
    <row r="243" spans="1:41" ht="12.75">
      <c r="A243" s="11" t="s">
        <v>505</v>
      </c>
      <c r="B243" s="11"/>
      <c r="C243" s="38">
        <f>+'alt 4'!C312</f>
        <v>100.93277962500461</v>
      </c>
      <c r="D243" s="38">
        <f>+'alt 4'!D312</f>
        <v>161.0015655996125</v>
      </c>
      <c r="E243" s="38">
        <f>SUM(C243:D243)</f>
        <v>261.9343452246171</v>
      </c>
      <c r="F243" s="147"/>
      <c r="G243" s="38">
        <f>+'alt 5'!C312</f>
        <v>114.70991369768421</v>
      </c>
      <c r="H243" s="38">
        <f>+'alt 5'!D312</f>
        <v>166.07103444642846</v>
      </c>
      <c r="I243" s="38">
        <f>SUM(G243:H243)</f>
        <v>280.7809481441127</v>
      </c>
      <c r="J243" s="147"/>
      <c r="K243" s="38">
        <f>+'alt 6'!C312</f>
        <v>-5.3889422253761765</v>
      </c>
      <c r="L243" s="38">
        <f>+'alt 6'!D312</f>
        <v>383.5947693268635</v>
      </c>
      <c r="M243" s="38">
        <f>SUM(K243:L243)</f>
        <v>378.20582710148733</v>
      </c>
      <c r="O243" s="11" t="s">
        <v>505</v>
      </c>
      <c r="P243" s="11"/>
      <c r="Q243" s="38">
        <f>+'alt 4'!Q312</f>
        <v>103.58754865237954</v>
      </c>
      <c r="R243" s="38">
        <f>+'alt 4'!R312</f>
        <v>181.2549987917224</v>
      </c>
      <c r="S243" s="38">
        <f>SUM(Q243:R243)</f>
        <v>284.8425474441019</v>
      </c>
      <c r="U243" s="38">
        <f>+'alt 5'!Q312</f>
        <v>119.24024270493925</v>
      </c>
      <c r="V243" s="38">
        <f>+'alt 5'!R312</f>
        <v>187.02837622207446</v>
      </c>
      <c r="W243" s="38">
        <f>SUM(U243:V243)</f>
        <v>306.2686189270137</v>
      </c>
      <c r="Y243" s="38">
        <f>+'alt 6'!Q312</f>
        <v>-44.00632264297786</v>
      </c>
      <c r="Z243" s="38">
        <f>+'alt 6'!R312</f>
        <v>426.25492313613006</v>
      </c>
      <c r="AA243" s="38">
        <f>SUM(Y243:Z243)</f>
        <v>382.2486004931522</v>
      </c>
      <c r="AC243" s="11" t="s">
        <v>505</v>
      </c>
      <c r="AD243" s="11"/>
      <c r="AE243" s="38">
        <f>+'alt 4'!AE312</f>
        <v>83.05900412732392</v>
      </c>
      <c r="AF243" s="38">
        <f>+'alt 4'!AF312</f>
        <v>101.77780644784808</v>
      </c>
      <c r="AG243" s="38">
        <f>SUM(AE243:AF243)</f>
        <v>184.836810575172</v>
      </c>
      <c r="AI243" s="38">
        <f>+'alt 5'!AE312</f>
        <v>91.53197170966857</v>
      </c>
      <c r="AJ243" s="38">
        <f>+'alt 5'!AF312</f>
        <v>104.86056449884077</v>
      </c>
      <c r="AK243" s="38">
        <f>SUM(AI243:AJ243)</f>
        <v>196.39253620850934</v>
      </c>
      <c r="AM243" s="38">
        <f>+'alt 6'!AE312</f>
        <v>27.2558130781183</v>
      </c>
      <c r="AN243" s="38">
        <f>+'alt 6'!AF312</f>
        <v>252.61632134197603</v>
      </c>
      <c r="AO243" s="38">
        <f>SUM(AM243:AN243)</f>
        <v>279.8721344200943</v>
      </c>
    </row>
    <row r="244" spans="1:41" ht="12.75">
      <c r="A244" s="11"/>
      <c r="B244" s="11"/>
      <c r="C244" s="37"/>
      <c r="D244" s="37"/>
      <c r="E244" s="37"/>
      <c r="F244" s="147"/>
      <c r="G244" s="37"/>
      <c r="H244" s="37"/>
      <c r="I244" s="37"/>
      <c r="J244" s="147"/>
      <c r="K244" s="37"/>
      <c r="L244" s="37"/>
      <c r="M244" s="37"/>
      <c r="O244" s="11"/>
      <c r="P244" s="11"/>
      <c r="Q244" s="37"/>
      <c r="R244" s="37"/>
      <c r="S244" s="37"/>
      <c r="U244" s="37"/>
      <c r="V244" s="37"/>
      <c r="W244" s="37"/>
      <c r="Y244" s="37"/>
      <c r="Z244" s="37"/>
      <c r="AA244" s="37"/>
      <c r="AC244" s="11"/>
      <c r="AD244" s="11"/>
      <c r="AE244" s="37"/>
      <c r="AF244" s="37"/>
      <c r="AG244" s="37"/>
      <c r="AI244" s="37"/>
      <c r="AJ244" s="37"/>
      <c r="AK244" s="37"/>
      <c r="AM244" s="37"/>
      <c r="AN244" s="37"/>
      <c r="AO244" s="37"/>
    </row>
    <row r="245" spans="1:41" ht="12.75">
      <c r="A245" s="26" t="s">
        <v>357</v>
      </c>
      <c r="B245" s="26"/>
      <c r="C245" s="37"/>
      <c r="D245" s="37"/>
      <c r="E245" s="37"/>
      <c r="F245" s="147"/>
      <c r="G245" s="37"/>
      <c r="H245" s="37"/>
      <c r="I245" s="37"/>
      <c r="J245" s="147"/>
      <c r="K245" s="37"/>
      <c r="L245" s="37"/>
      <c r="M245" s="37"/>
      <c r="O245" s="26" t="s">
        <v>357</v>
      </c>
      <c r="P245" s="26"/>
      <c r="Q245" s="37"/>
      <c r="R245" s="37"/>
      <c r="S245" s="37"/>
      <c r="U245" s="37"/>
      <c r="V245" s="37"/>
      <c r="W245" s="37"/>
      <c r="Y245" s="37"/>
      <c r="Z245" s="37"/>
      <c r="AA245" s="37"/>
      <c r="AC245" s="26" t="s">
        <v>357</v>
      </c>
      <c r="AD245" s="26"/>
      <c r="AE245" s="37"/>
      <c r="AF245" s="37"/>
      <c r="AG245" s="37"/>
      <c r="AI245" s="37"/>
      <c r="AJ245" s="37"/>
      <c r="AK245" s="37"/>
      <c r="AM245" s="37"/>
      <c r="AN245" s="37"/>
      <c r="AO245" s="37"/>
    </row>
    <row r="246" spans="1:41" ht="12.75">
      <c r="A246" s="11" t="s">
        <v>358</v>
      </c>
      <c r="B246" s="11"/>
      <c r="C246" s="54">
        <f>+D163</f>
        <v>9</v>
      </c>
      <c r="D246" s="54">
        <f>+C246</f>
        <v>9</v>
      </c>
      <c r="E246" s="54">
        <f>+D246</f>
        <v>9</v>
      </c>
      <c r="F246" s="154"/>
      <c r="G246" s="54">
        <f>+C246</f>
        <v>9</v>
      </c>
      <c r="H246" s="54">
        <f>+G246</f>
        <v>9</v>
      </c>
      <c r="I246" s="54">
        <f>+H246</f>
        <v>9</v>
      </c>
      <c r="J246" s="172"/>
      <c r="K246" s="54">
        <f>+C246</f>
        <v>9</v>
      </c>
      <c r="L246" s="54">
        <f>+K246</f>
        <v>9</v>
      </c>
      <c r="M246" s="54">
        <f>+L246</f>
        <v>9</v>
      </c>
      <c r="N246" s="18"/>
      <c r="O246" s="11" t="s">
        <v>358</v>
      </c>
      <c r="P246" s="11"/>
      <c r="Q246" s="54">
        <f>+R163</f>
        <v>6</v>
      </c>
      <c r="R246" s="54">
        <f>+Q246</f>
        <v>6</v>
      </c>
      <c r="S246" s="54">
        <f>+R246</f>
        <v>6</v>
      </c>
      <c r="T246" s="37"/>
      <c r="U246" s="54">
        <f>+Q246</f>
        <v>6</v>
      </c>
      <c r="V246" s="54">
        <f>+U246</f>
        <v>6</v>
      </c>
      <c r="W246" s="54">
        <f>+V246</f>
        <v>6</v>
      </c>
      <c r="X246" s="55"/>
      <c r="Y246" s="54">
        <f>+Q246</f>
        <v>6</v>
      </c>
      <c r="Z246" s="54">
        <f>+Y246</f>
        <v>6</v>
      </c>
      <c r="AA246" s="54">
        <f>+Z246</f>
        <v>6</v>
      </c>
      <c r="AC246" s="11" t="s">
        <v>358</v>
      </c>
      <c r="AD246" s="11"/>
      <c r="AE246" s="54">
        <f>+AF163</f>
        <v>5</v>
      </c>
      <c r="AF246" s="54">
        <f>+AE246</f>
        <v>5</v>
      </c>
      <c r="AG246" s="54">
        <f>+AF246</f>
        <v>5</v>
      </c>
      <c r="AH246" s="37"/>
      <c r="AI246" s="54">
        <f>+AE246</f>
        <v>5</v>
      </c>
      <c r="AJ246" s="54">
        <f>+AI246</f>
        <v>5</v>
      </c>
      <c r="AK246" s="54">
        <f>+AJ246</f>
        <v>5</v>
      </c>
      <c r="AL246" s="55"/>
      <c r="AM246" s="54">
        <f>+AE246</f>
        <v>5</v>
      </c>
      <c r="AN246" s="54">
        <f>+AM246</f>
        <v>5</v>
      </c>
      <c r="AO246" s="54">
        <f>+AN246</f>
        <v>5</v>
      </c>
    </row>
    <row r="247" spans="1:41" ht="12.75">
      <c r="A247" s="11" t="s">
        <v>505</v>
      </c>
      <c r="B247" s="11"/>
      <c r="C247" s="37">
        <f>+C243*C246</f>
        <v>908.3950166250415</v>
      </c>
      <c r="D247" s="37">
        <f>+D243*D246</f>
        <v>1449.0140903965125</v>
      </c>
      <c r="E247" s="37">
        <f>+E243*E246</f>
        <v>2357.409107021554</v>
      </c>
      <c r="F247" s="154"/>
      <c r="G247" s="37">
        <f>+G243*G246</f>
        <v>1032.389223279158</v>
      </c>
      <c r="H247" s="37">
        <f>+H243*H246</f>
        <v>1494.6393100178561</v>
      </c>
      <c r="I247" s="37">
        <f>+I243*I246</f>
        <v>2527.0285332970143</v>
      </c>
      <c r="J247" s="143"/>
      <c r="K247" s="37">
        <f>+K243*K246</f>
        <v>-48.50048002838559</v>
      </c>
      <c r="L247" s="37">
        <f>+L243*L246</f>
        <v>3452.3529239417717</v>
      </c>
      <c r="M247" s="37">
        <f>+M243*M246</f>
        <v>3403.852443913386</v>
      </c>
      <c r="O247" s="11" t="s">
        <v>505</v>
      </c>
      <c r="P247" s="11"/>
      <c r="Q247" s="37">
        <f>+Q243*Q246</f>
        <v>621.5252919142772</v>
      </c>
      <c r="R247" s="37">
        <f>+R243*R246</f>
        <v>1087.5299927503343</v>
      </c>
      <c r="S247" s="37">
        <f>+S243*S246</f>
        <v>1709.0552846646115</v>
      </c>
      <c r="T247" s="37"/>
      <c r="U247" s="37">
        <f>+U243*U246</f>
        <v>715.4414562296355</v>
      </c>
      <c r="V247" s="37">
        <f>+V243*V246</f>
        <v>1122.1702573324467</v>
      </c>
      <c r="W247" s="37">
        <f>+W243*W246</f>
        <v>1837.611713562082</v>
      </c>
      <c r="X247" s="18"/>
      <c r="Y247" s="37">
        <f>+Y243*Y246</f>
        <v>-264.0379358578671</v>
      </c>
      <c r="Z247" s="37">
        <f>+Z243*Z246</f>
        <v>2557.5295388167806</v>
      </c>
      <c r="AA247" s="37">
        <f>+AA243*AA246</f>
        <v>2293.491602958913</v>
      </c>
      <c r="AC247" s="11" t="s">
        <v>505</v>
      </c>
      <c r="AD247" s="11"/>
      <c r="AE247" s="37">
        <f>+AE243*AE246</f>
        <v>415.2950206366196</v>
      </c>
      <c r="AF247" s="37">
        <f>+AF243*AF246</f>
        <v>508.8890322392404</v>
      </c>
      <c r="AG247" s="37">
        <f>+AG243*AG246</f>
        <v>924.18405287586</v>
      </c>
      <c r="AH247" s="37"/>
      <c r="AI247" s="37">
        <f>+AI243*AI246</f>
        <v>457.65985854834287</v>
      </c>
      <c r="AJ247" s="37">
        <f>+AJ243*AJ246</f>
        <v>524.3028224942038</v>
      </c>
      <c r="AK247" s="37">
        <f>+AK243*AK246</f>
        <v>981.9626810425467</v>
      </c>
      <c r="AL247" s="18"/>
      <c r="AM247" s="37">
        <f>+AM243*AM246</f>
        <v>136.2790653905915</v>
      </c>
      <c r="AN247" s="37">
        <f>+AN243*AN246</f>
        <v>1263.0816067098801</v>
      </c>
      <c r="AO247" s="37">
        <f>+AO243*AO246</f>
        <v>1399.3606721004717</v>
      </c>
    </row>
    <row r="248" spans="1:41" ht="12.75">
      <c r="A248" s="11" t="s">
        <v>430</v>
      </c>
      <c r="B248" s="11"/>
      <c r="C248" s="38"/>
      <c r="D248" s="38"/>
      <c r="E248" s="37">
        <f>+E225*E246*'Sensitivity Anal'!B5/1000000</f>
        <v>45.740239636810955</v>
      </c>
      <c r="F248" s="154"/>
      <c r="G248" s="37"/>
      <c r="H248" s="37"/>
      <c r="I248" s="37">
        <f>+I225*I246*'Sensitivity Anal'!B5/1000000</f>
        <v>45.740239636810955</v>
      </c>
      <c r="J248" s="143"/>
      <c r="K248" s="37"/>
      <c r="L248" s="37"/>
      <c r="M248" s="37">
        <f>+M225*M246*'Sensitivity Anal'!B5/1000000</f>
        <v>45.740239636810955</v>
      </c>
      <c r="O248" s="11" t="s">
        <v>430</v>
      </c>
      <c r="P248" s="11"/>
      <c r="Q248" s="38"/>
      <c r="R248" s="38"/>
      <c r="S248" s="37">
        <f>+S225*S246*'Sensitivity Anal'!B5/1000000</f>
        <v>36.20118899264952</v>
      </c>
      <c r="T248" s="154"/>
      <c r="U248" s="37"/>
      <c r="V248" s="37"/>
      <c r="W248" s="37">
        <f>+W225*W246*'Sensitivity Anal'!B5/1000000</f>
        <v>36.20118899264952</v>
      </c>
      <c r="X248" s="143"/>
      <c r="Y248" s="37"/>
      <c r="Z248" s="37"/>
      <c r="AA248" s="37">
        <f>+AA225*AA246*'Sensitivity Anal'!B5/1000000</f>
        <v>36.20118899264952</v>
      </c>
      <c r="AC248" s="11" t="s">
        <v>430</v>
      </c>
      <c r="AD248" s="11"/>
      <c r="AE248" s="38"/>
      <c r="AF248" s="38"/>
      <c r="AG248" s="37">
        <f>+AG225*AG246*'Sensitivity Anal'!B5/1000000</f>
        <v>12.05666631665099</v>
      </c>
      <c r="AH248" s="154"/>
      <c r="AI248" s="37"/>
      <c r="AJ248" s="37"/>
      <c r="AK248" s="37">
        <f>+AK225*AK246*'Sensitivity Anal'!B5/1000000</f>
        <v>12.05666631665099</v>
      </c>
      <c r="AL248" s="143"/>
      <c r="AM248" s="37"/>
      <c r="AN248" s="37"/>
      <c r="AO248" s="37">
        <f>+AO225*AO246*'Sensitivity Anal'!B5/1000000</f>
        <v>12.05666631665099</v>
      </c>
    </row>
    <row r="249" spans="1:41" ht="12.75">
      <c r="A249" s="11" t="s">
        <v>431</v>
      </c>
      <c r="B249" s="26"/>
      <c r="C249" s="38"/>
      <c r="D249" s="38"/>
      <c r="E249" s="37">
        <f>+E247-E248</f>
        <v>2311.668867384743</v>
      </c>
      <c r="F249" s="154"/>
      <c r="G249" s="37"/>
      <c r="H249" s="37"/>
      <c r="I249" s="37">
        <f>+I247-I248</f>
        <v>2481.288293660203</v>
      </c>
      <c r="J249" s="143"/>
      <c r="K249" s="37"/>
      <c r="L249" s="37"/>
      <c r="M249" s="37">
        <f>+M247-M248</f>
        <v>3358.112204276575</v>
      </c>
      <c r="O249" s="11" t="s">
        <v>431</v>
      </c>
      <c r="P249" s="26"/>
      <c r="Q249" s="38"/>
      <c r="R249" s="38"/>
      <c r="S249" s="37">
        <f>+S247-S248</f>
        <v>1672.8540956719619</v>
      </c>
      <c r="T249" s="37"/>
      <c r="U249" s="37"/>
      <c r="V249" s="37"/>
      <c r="W249" s="37">
        <f>+W247-W248</f>
        <v>1801.4105245694325</v>
      </c>
      <c r="X249" s="18"/>
      <c r="Y249" s="37"/>
      <c r="Z249" s="37"/>
      <c r="AA249" s="37">
        <f>+AA247-AA248</f>
        <v>2257.2904139662637</v>
      </c>
      <c r="AC249" s="11" t="s">
        <v>431</v>
      </c>
      <c r="AD249" s="26"/>
      <c r="AE249" s="38"/>
      <c r="AF249" s="38"/>
      <c r="AG249" s="37">
        <f>+AG247-AG248</f>
        <v>912.127386559209</v>
      </c>
      <c r="AH249" s="37"/>
      <c r="AI249" s="37"/>
      <c r="AJ249" s="37"/>
      <c r="AK249" s="37">
        <f>+AK247-AK248</f>
        <v>969.9060147258957</v>
      </c>
      <c r="AL249" s="18"/>
      <c r="AM249" s="37"/>
      <c r="AN249" s="37"/>
      <c r="AO249" s="37">
        <f>+AO247-AO248</f>
        <v>1387.3040057838207</v>
      </c>
    </row>
    <row r="250" spans="1:41" ht="12.75">
      <c r="A250" s="11"/>
      <c r="B250" s="11"/>
      <c r="C250" s="31"/>
      <c r="D250" s="31"/>
      <c r="E250" s="31"/>
      <c r="G250" s="31"/>
      <c r="H250" s="31"/>
      <c r="I250" s="31"/>
      <c r="K250" s="31"/>
      <c r="L250" s="31"/>
      <c r="M250" s="31"/>
      <c r="O250" s="11"/>
      <c r="P250" s="11"/>
      <c r="Q250" s="31"/>
      <c r="R250" s="31"/>
      <c r="S250" s="31"/>
      <c r="U250" s="31"/>
      <c r="V250" s="31"/>
      <c r="W250" s="31"/>
      <c r="Y250" s="31"/>
      <c r="Z250" s="31"/>
      <c r="AA250" s="31"/>
      <c r="AC250" s="11"/>
      <c r="AD250" s="11"/>
      <c r="AE250" s="31"/>
      <c r="AF250" s="31"/>
      <c r="AG250" s="31"/>
      <c r="AI250" s="31"/>
      <c r="AJ250" s="31"/>
      <c r="AK250" s="31"/>
      <c r="AM250" s="31"/>
      <c r="AN250" s="31"/>
      <c r="AO250" s="31"/>
    </row>
  </sheetData>
  <mergeCells count="33">
    <mergeCell ref="AI177:AK177"/>
    <mergeCell ref="AM177:AO177"/>
    <mergeCell ref="Q177:S177"/>
    <mergeCell ref="U177:W177"/>
    <mergeCell ref="Y177:AA177"/>
    <mergeCell ref="AE177:AG177"/>
    <mergeCell ref="AM32:AO32"/>
    <mergeCell ref="Q80:S80"/>
    <mergeCell ref="U80:W80"/>
    <mergeCell ref="Y80:AA80"/>
    <mergeCell ref="AE80:AG80"/>
    <mergeCell ref="AI80:AK80"/>
    <mergeCell ref="AM80:AO80"/>
    <mergeCell ref="Q32:S32"/>
    <mergeCell ref="U32:W32"/>
    <mergeCell ref="Y32:AA32"/>
    <mergeCell ref="AE32:AG32"/>
    <mergeCell ref="AE4:AG4"/>
    <mergeCell ref="AI4:AK4"/>
    <mergeCell ref="AI32:AK32"/>
    <mergeCell ref="C4:E4"/>
    <mergeCell ref="G4:I4"/>
    <mergeCell ref="Q4:S4"/>
    <mergeCell ref="U4:W4"/>
    <mergeCell ref="C177:E177"/>
    <mergeCell ref="G177:I177"/>
    <mergeCell ref="K177:M177"/>
    <mergeCell ref="C32:E32"/>
    <mergeCell ref="G32:I32"/>
    <mergeCell ref="K32:M32"/>
    <mergeCell ref="C80:E80"/>
    <mergeCell ref="G80:I80"/>
    <mergeCell ref="K80:M80"/>
  </mergeCells>
  <printOptions/>
  <pageMargins left="0.75" right="0.75" top="1" bottom="1" header="0.5" footer="0.5"/>
  <pageSetup fitToHeight="0" fitToWidth="1" horizontalDpi="600" verticalDpi="600" orientation="landscape" scale="73" r:id="rId1"/>
  <rowBreaks count="5" manualBreakCount="5">
    <brk id="28" max="12" man="1"/>
    <brk id="77" max="12" man="1"/>
    <brk id="126" max="12" man="1"/>
    <brk id="175" max="12" man="1"/>
    <brk id="21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4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2" width="11.421875" style="0" customWidth="1"/>
    <col min="3" max="5" width="12.00390625" style="0" customWidth="1"/>
    <col min="6" max="6" width="11.421875" style="0" customWidth="1"/>
    <col min="7" max="7" width="12.57421875" style="0" customWidth="1"/>
    <col min="8" max="8" width="4.140625" style="0" customWidth="1"/>
    <col min="9" max="9" width="4.00390625" style="0" customWidth="1"/>
    <col min="10" max="10" width="2.8515625" style="0" customWidth="1"/>
    <col min="11" max="11" width="3.57421875" style="0" customWidth="1"/>
    <col min="12" max="12" width="4.7109375" style="0" customWidth="1"/>
    <col min="13" max="13" width="3.57421875" style="0" customWidth="1"/>
    <col min="14" max="14" width="4.00390625" style="0" customWidth="1"/>
    <col min="15" max="15" width="29.140625" style="0" customWidth="1"/>
    <col min="16" max="16" width="11.421875" style="0" customWidth="1"/>
    <col min="17" max="19" width="12.00390625" style="0" customWidth="1"/>
    <col min="20" max="21" width="11.421875" style="0" customWidth="1"/>
    <col min="22" max="22" width="4.140625" style="0" customWidth="1"/>
    <col min="23" max="23" width="5.7109375" style="0" customWidth="1"/>
    <col min="24" max="24" width="4.00390625" style="0" customWidth="1"/>
    <col min="25" max="25" width="3.8515625" style="0" customWidth="1"/>
    <col min="26" max="26" width="4.140625" style="0" customWidth="1"/>
    <col min="27" max="27" width="3.421875" style="0" customWidth="1"/>
    <col min="28" max="28" width="4.57421875" style="0" customWidth="1"/>
    <col min="29" max="29" width="26.421875" style="0" customWidth="1"/>
    <col min="30" max="30" width="11.421875" style="0" customWidth="1"/>
    <col min="31" max="33" width="12.00390625" style="0" customWidth="1"/>
    <col min="34" max="35" width="11.42187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29" ht="12.75">
      <c r="A3" s="1" t="s">
        <v>0</v>
      </c>
      <c r="O3" s="1" t="s">
        <v>0</v>
      </c>
      <c r="AC3" s="1" t="s">
        <v>0</v>
      </c>
    </row>
    <row r="5" spans="1:35" ht="12.75">
      <c r="A5" s="1" t="s">
        <v>22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O5" s="1" t="s">
        <v>22</v>
      </c>
      <c r="P5" s="5" t="s">
        <v>1</v>
      </c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AC5" s="1" t="s">
        <v>22</v>
      </c>
      <c r="AD5" s="5" t="s">
        <v>1</v>
      </c>
      <c r="AE5" s="5" t="s">
        <v>1</v>
      </c>
      <c r="AF5" s="5" t="s">
        <v>1</v>
      </c>
      <c r="AG5" s="5" t="s">
        <v>1</v>
      </c>
      <c r="AH5" s="5" t="s">
        <v>1</v>
      </c>
      <c r="AI5" s="5" t="s">
        <v>1</v>
      </c>
    </row>
    <row r="7" spans="1:35" ht="12.75">
      <c r="A7" t="s">
        <v>3</v>
      </c>
      <c r="B7" s="8">
        <f>+Inputs!B9</f>
        <v>445000</v>
      </c>
      <c r="C7" s="8">
        <f aca="true" t="shared" si="0" ref="C7:G9">+B7</f>
        <v>445000</v>
      </c>
      <c r="D7" s="8">
        <f t="shared" si="0"/>
        <v>445000</v>
      </c>
      <c r="E7" s="8">
        <f t="shared" si="0"/>
        <v>445000</v>
      </c>
      <c r="F7" s="8">
        <f t="shared" si="0"/>
        <v>445000</v>
      </c>
      <c r="G7" s="8">
        <f t="shared" si="0"/>
        <v>445000</v>
      </c>
      <c r="O7" t="s">
        <v>3</v>
      </c>
      <c r="P7" s="8">
        <f>+Inputs!P9</f>
        <v>460000</v>
      </c>
      <c r="Q7" s="8">
        <f aca="true" t="shared" si="1" ref="Q7:U9">+P7</f>
        <v>460000</v>
      </c>
      <c r="R7" s="8">
        <f t="shared" si="1"/>
        <v>460000</v>
      </c>
      <c r="S7" s="8">
        <f t="shared" si="1"/>
        <v>460000</v>
      </c>
      <c r="T7" s="8">
        <f t="shared" si="1"/>
        <v>460000</v>
      </c>
      <c r="U7" s="8">
        <f t="shared" si="1"/>
        <v>460000</v>
      </c>
      <c r="AC7" t="s">
        <v>3</v>
      </c>
      <c r="AD7" s="8">
        <f>+Inputs!AD9</f>
        <v>400000</v>
      </c>
      <c r="AE7" s="8">
        <f aca="true" t="shared" si="2" ref="AE7:AI9">+AD7</f>
        <v>400000</v>
      </c>
      <c r="AF7" s="8">
        <f t="shared" si="2"/>
        <v>400000</v>
      </c>
      <c r="AG7" s="8">
        <f t="shared" si="2"/>
        <v>400000</v>
      </c>
      <c r="AH7" s="8">
        <f t="shared" si="2"/>
        <v>400000</v>
      </c>
      <c r="AI7" s="8">
        <f t="shared" si="2"/>
        <v>400000</v>
      </c>
    </row>
    <row r="8" spans="1:35" ht="12.75">
      <c r="A8" t="s">
        <v>4</v>
      </c>
      <c r="B8" s="9">
        <f>+Inputs!B10</f>
        <v>0.5</v>
      </c>
      <c r="C8" s="9">
        <f t="shared" si="0"/>
        <v>0.5</v>
      </c>
      <c r="D8" s="9">
        <f t="shared" si="0"/>
        <v>0.5</v>
      </c>
      <c r="E8" s="9">
        <f t="shared" si="0"/>
        <v>0.5</v>
      </c>
      <c r="F8" s="9">
        <f t="shared" si="0"/>
        <v>0.5</v>
      </c>
      <c r="G8" s="9">
        <f t="shared" si="0"/>
        <v>0.5</v>
      </c>
      <c r="O8" t="s">
        <v>4</v>
      </c>
      <c r="P8" s="9">
        <f>+Inputs!P10</f>
        <v>0.5</v>
      </c>
      <c r="Q8" s="9">
        <f t="shared" si="1"/>
        <v>0.5</v>
      </c>
      <c r="R8" s="9">
        <f t="shared" si="1"/>
        <v>0.5</v>
      </c>
      <c r="S8" s="9">
        <f t="shared" si="1"/>
        <v>0.5</v>
      </c>
      <c r="T8" s="9">
        <f t="shared" si="1"/>
        <v>0.5</v>
      </c>
      <c r="U8" s="9">
        <f t="shared" si="1"/>
        <v>0.5</v>
      </c>
      <c r="AC8" t="s">
        <v>4</v>
      </c>
      <c r="AD8" s="9">
        <f>+Inputs!AD10</f>
        <v>0.5</v>
      </c>
      <c r="AE8" s="9">
        <f t="shared" si="2"/>
        <v>0.5</v>
      </c>
      <c r="AF8" s="9">
        <f t="shared" si="2"/>
        <v>0.5</v>
      </c>
      <c r="AG8" s="9">
        <f t="shared" si="2"/>
        <v>0.5</v>
      </c>
      <c r="AH8" s="9">
        <f t="shared" si="2"/>
        <v>0.5</v>
      </c>
      <c r="AI8" s="9">
        <f t="shared" si="2"/>
        <v>0.5</v>
      </c>
    </row>
    <row r="9" spans="1:35" ht="12.75">
      <c r="A9" t="s">
        <v>5</v>
      </c>
      <c r="B9" s="2">
        <f>+B7*B8</f>
        <v>222500</v>
      </c>
      <c r="C9" s="2">
        <f t="shared" si="0"/>
        <v>222500</v>
      </c>
      <c r="D9" s="2">
        <f t="shared" si="0"/>
        <v>222500</v>
      </c>
      <c r="E9" s="2">
        <f t="shared" si="0"/>
        <v>222500</v>
      </c>
      <c r="F9" s="2">
        <f t="shared" si="0"/>
        <v>222500</v>
      </c>
      <c r="G9" s="2">
        <f t="shared" si="0"/>
        <v>222500</v>
      </c>
      <c r="O9" t="s">
        <v>5</v>
      </c>
      <c r="P9" s="2">
        <f>+P7*P8</f>
        <v>230000</v>
      </c>
      <c r="Q9" s="2">
        <f t="shared" si="1"/>
        <v>230000</v>
      </c>
      <c r="R9" s="2">
        <f t="shared" si="1"/>
        <v>230000</v>
      </c>
      <c r="S9" s="2">
        <f t="shared" si="1"/>
        <v>230000</v>
      </c>
      <c r="T9" s="2">
        <f t="shared" si="1"/>
        <v>230000</v>
      </c>
      <c r="U9" s="2">
        <f t="shared" si="1"/>
        <v>230000</v>
      </c>
      <c r="AC9" t="s">
        <v>5</v>
      </c>
      <c r="AD9" s="2">
        <f>+AD7*AD8</f>
        <v>200000</v>
      </c>
      <c r="AE9" s="2">
        <f t="shared" si="2"/>
        <v>200000</v>
      </c>
      <c r="AF9" s="2">
        <f t="shared" si="2"/>
        <v>200000</v>
      </c>
      <c r="AG9" s="2">
        <f t="shared" si="2"/>
        <v>200000</v>
      </c>
      <c r="AH9" s="2">
        <f t="shared" si="2"/>
        <v>200000</v>
      </c>
      <c r="AI9" s="2">
        <f t="shared" si="2"/>
        <v>200000</v>
      </c>
    </row>
    <row r="10" spans="2:35" ht="12.75">
      <c r="B10" s="2"/>
      <c r="C10" s="2"/>
      <c r="D10" s="2"/>
      <c r="E10" s="2"/>
      <c r="F10" s="2"/>
      <c r="G10" s="2"/>
      <c r="P10" s="2"/>
      <c r="Q10" s="2"/>
      <c r="R10" s="2"/>
      <c r="S10" s="2"/>
      <c r="T10" s="2"/>
      <c r="U10" s="2"/>
      <c r="AD10" s="2"/>
      <c r="AE10" s="2"/>
      <c r="AF10" s="2"/>
      <c r="AG10" s="2"/>
      <c r="AH10" s="2"/>
      <c r="AI10" s="2"/>
    </row>
    <row r="11" spans="1:35" ht="12.75">
      <c r="A11" s="53" t="s">
        <v>573</v>
      </c>
      <c r="B11" s="2"/>
      <c r="C11" s="2"/>
      <c r="D11" s="2"/>
      <c r="E11" s="2"/>
      <c r="F11" s="2"/>
      <c r="G11" s="2"/>
      <c r="P11" s="2"/>
      <c r="Q11" s="2"/>
      <c r="R11" s="2"/>
      <c r="S11" s="2"/>
      <c r="T11" s="2"/>
      <c r="U11" s="2"/>
      <c r="AD11" s="2"/>
      <c r="AE11" s="2"/>
      <c r="AF11" s="2"/>
      <c r="AG11" s="2"/>
      <c r="AH11" s="2"/>
      <c r="AI11" s="2"/>
    </row>
    <row r="12" spans="1:35" ht="12.75">
      <c r="A12" t="s">
        <v>6</v>
      </c>
      <c r="B12" s="9">
        <f>+Inputs!B11</f>
        <v>0.04</v>
      </c>
      <c r="C12" s="9">
        <f>+Inputs!C11</f>
        <v>0.04</v>
      </c>
      <c r="D12" s="9">
        <f>+Inputs!D11</f>
        <v>0.04</v>
      </c>
      <c r="E12" s="9">
        <f>+Inputs!E11</f>
        <v>0.04</v>
      </c>
      <c r="F12" s="9">
        <f>+Inputs!F11</f>
        <v>0.04</v>
      </c>
      <c r="G12" s="9">
        <f>+Inputs!G11</f>
        <v>0.04</v>
      </c>
      <c r="O12" t="s">
        <v>6</v>
      </c>
      <c r="P12" s="9">
        <f>+Inputs!P11</f>
        <v>0.04</v>
      </c>
      <c r="Q12" s="9">
        <f>+Inputs!Q11</f>
        <v>0.04</v>
      </c>
      <c r="R12" s="9">
        <f>+Inputs!R11</f>
        <v>0.04</v>
      </c>
      <c r="S12" s="9">
        <f>+Inputs!S11</f>
        <v>0.04</v>
      </c>
      <c r="T12" s="9">
        <f>+Inputs!T11</f>
        <v>0.04</v>
      </c>
      <c r="U12" s="9">
        <f>+Inputs!U11</f>
        <v>0.04</v>
      </c>
      <c r="AC12" t="s">
        <v>6</v>
      </c>
      <c r="AD12" s="9">
        <f>+Inputs!AD11</f>
        <v>0.04</v>
      </c>
      <c r="AE12" s="9">
        <f>+Inputs!AE11</f>
        <v>0.04</v>
      </c>
      <c r="AF12" s="9">
        <f>+Inputs!AF11</f>
        <v>0.04</v>
      </c>
      <c r="AG12" s="9">
        <f>+Inputs!AG11</f>
        <v>0.04</v>
      </c>
      <c r="AH12" s="9">
        <f>+Inputs!AH11</f>
        <v>0.04</v>
      </c>
      <c r="AI12" s="9">
        <f>+Inputs!AI11</f>
        <v>0.04</v>
      </c>
    </row>
    <row r="13" spans="1:35" ht="12.75">
      <c r="A13" t="s">
        <v>7</v>
      </c>
      <c r="B13" s="2">
        <f aca="true" t="shared" si="3" ref="B13:G13">+B9*B12</f>
        <v>8900</v>
      </c>
      <c r="C13" s="2">
        <f t="shared" si="3"/>
        <v>8900</v>
      </c>
      <c r="D13" s="2">
        <f t="shared" si="3"/>
        <v>8900</v>
      </c>
      <c r="E13" s="2">
        <f t="shared" si="3"/>
        <v>8900</v>
      </c>
      <c r="F13" s="2">
        <f t="shared" si="3"/>
        <v>8900</v>
      </c>
      <c r="G13" s="2">
        <f t="shared" si="3"/>
        <v>8900</v>
      </c>
      <c r="O13" t="s">
        <v>7</v>
      </c>
      <c r="P13" s="2">
        <f aca="true" t="shared" si="4" ref="P13:U13">+P9*P12</f>
        <v>9200</v>
      </c>
      <c r="Q13" s="2">
        <f t="shared" si="4"/>
        <v>9200</v>
      </c>
      <c r="R13" s="2">
        <f t="shared" si="4"/>
        <v>9200</v>
      </c>
      <c r="S13" s="2">
        <f t="shared" si="4"/>
        <v>9200</v>
      </c>
      <c r="T13" s="2">
        <f t="shared" si="4"/>
        <v>9200</v>
      </c>
      <c r="U13" s="2">
        <f t="shared" si="4"/>
        <v>9200</v>
      </c>
      <c r="AC13" t="s">
        <v>7</v>
      </c>
      <c r="AD13" s="2">
        <f aca="true" t="shared" si="5" ref="AD13:AI13">+AD9*AD12</f>
        <v>8000</v>
      </c>
      <c r="AE13" s="2">
        <f t="shared" si="5"/>
        <v>8000</v>
      </c>
      <c r="AF13" s="2">
        <f t="shared" si="5"/>
        <v>8000</v>
      </c>
      <c r="AG13" s="2">
        <f t="shared" si="5"/>
        <v>8000</v>
      </c>
      <c r="AH13" s="2">
        <f t="shared" si="5"/>
        <v>8000</v>
      </c>
      <c r="AI13" s="2">
        <f t="shared" si="5"/>
        <v>8000</v>
      </c>
    </row>
    <row r="14" spans="1:35" ht="12.75">
      <c r="A14" t="s">
        <v>24</v>
      </c>
      <c r="B14" s="8">
        <f>+Inputs!B12</f>
        <v>20</v>
      </c>
      <c r="C14" s="8">
        <f>+Inputs!C12</f>
        <v>20</v>
      </c>
      <c r="D14" s="8">
        <f>+Inputs!D12</f>
        <v>20</v>
      </c>
      <c r="E14" s="8">
        <f>+Inputs!E12</f>
        <v>20</v>
      </c>
      <c r="F14" s="8">
        <f>+Inputs!F12</f>
        <v>20</v>
      </c>
      <c r="G14" s="8">
        <f>+Inputs!G12</f>
        <v>20</v>
      </c>
      <c r="O14" t="s">
        <v>24</v>
      </c>
      <c r="P14" s="8">
        <f>+Inputs!P12</f>
        <v>20</v>
      </c>
      <c r="Q14" s="8">
        <f>+Inputs!Q12</f>
        <v>20</v>
      </c>
      <c r="R14" s="8">
        <f>+Inputs!R12</f>
        <v>20</v>
      </c>
      <c r="S14" s="8">
        <f>+Inputs!S12</f>
        <v>20</v>
      </c>
      <c r="T14" s="8">
        <f>+Inputs!T12</f>
        <v>20</v>
      </c>
      <c r="U14" s="8">
        <f>+Inputs!U12</f>
        <v>20</v>
      </c>
      <c r="AC14" t="s">
        <v>24</v>
      </c>
      <c r="AD14" s="8">
        <f>+Inputs!AD12</f>
        <v>20</v>
      </c>
      <c r="AE14" s="8">
        <f>+Inputs!AE12</f>
        <v>20</v>
      </c>
      <c r="AF14" s="8">
        <f>+Inputs!AF12</f>
        <v>20</v>
      </c>
      <c r="AG14" s="8">
        <f>+Inputs!AG12</f>
        <v>20</v>
      </c>
      <c r="AH14" s="8">
        <f>+Inputs!AH12</f>
        <v>20</v>
      </c>
      <c r="AI14" s="8">
        <f>+Inputs!AI12</f>
        <v>20</v>
      </c>
    </row>
    <row r="15" spans="1:35" ht="12.75">
      <c r="A15" t="s">
        <v>23</v>
      </c>
      <c r="B15" s="2">
        <f aca="true" t="shared" si="6" ref="B15:G15">+B13/B14</f>
        <v>445</v>
      </c>
      <c r="C15" s="2">
        <f t="shared" si="6"/>
        <v>445</v>
      </c>
      <c r="D15" s="2">
        <f t="shared" si="6"/>
        <v>445</v>
      </c>
      <c r="E15" s="2">
        <f t="shared" si="6"/>
        <v>445</v>
      </c>
      <c r="F15" s="2">
        <f t="shared" si="6"/>
        <v>445</v>
      </c>
      <c r="G15" s="2">
        <f t="shared" si="6"/>
        <v>445</v>
      </c>
      <c r="O15" t="s">
        <v>23</v>
      </c>
      <c r="P15" s="2">
        <f aca="true" t="shared" si="7" ref="P15:U15">+P13/P14</f>
        <v>460</v>
      </c>
      <c r="Q15" s="2">
        <f t="shared" si="7"/>
        <v>460</v>
      </c>
      <c r="R15" s="2">
        <f t="shared" si="7"/>
        <v>460</v>
      </c>
      <c r="S15" s="2">
        <f t="shared" si="7"/>
        <v>460</v>
      </c>
      <c r="T15" s="2">
        <f t="shared" si="7"/>
        <v>460</v>
      </c>
      <c r="U15" s="2">
        <f t="shared" si="7"/>
        <v>460</v>
      </c>
      <c r="AC15" t="s">
        <v>23</v>
      </c>
      <c r="AD15" s="2">
        <f aca="true" t="shared" si="8" ref="AD15:AI15">+AD13/AD14</f>
        <v>400</v>
      </c>
      <c r="AE15" s="2">
        <f t="shared" si="8"/>
        <v>400</v>
      </c>
      <c r="AF15" s="2">
        <f t="shared" si="8"/>
        <v>400</v>
      </c>
      <c r="AG15" s="2">
        <f t="shared" si="8"/>
        <v>400</v>
      </c>
      <c r="AH15" s="2">
        <f t="shared" si="8"/>
        <v>400</v>
      </c>
      <c r="AI15" s="2">
        <f t="shared" si="8"/>
        <v>400</v>
      </c>
    </row>
    <row r="16" spans="2:35" ht="12.75">
      <c r="B16" s="2"/>
      <c r="C16" s="2"/>
      <c r="D16" s="2"/>
      <c r="E16" s="2"/>
      <c r="F16" s="2"/>
      <c r="G16" s="2"/>
      <c r="P16" s="2"/>
      <c r="Q16" s="2"/>
      <c r="R16" s="2"/>
      <c r="S16" s="2"/>
      <c r="T16" s="2"/>
      <c r="U16" s="2"/>
      <c r="AD16" s="2"/>
      <c r="AE16" s="2"/>
      <c r="AF16" s="2"/>
      <c r="AG16" s="2"/>
      <c r="AH16" s="2"/>
      <c r="AI16" s="2"/>
    </row>
    <row r="17" spans="1:35" ht="12.75">
      <c r="A17" t="s">
        <v>8</v>
      </c>
      <c r="B17" s="2">
        <f aca="true" t="shared" si="9" ref="B17:G17">+B9-B13</f>
        <v>213600</v>
      </c>
      <c r="C17" s="2">
        <f t="shared" si="9"/>
        <v>213600</v>
      </c>
      <c r="D17" s="2">
        <f t="shared" si="9"/>
        <v>213600</v>
      </c>
      <c r="E17" s="2">
        <f t="shared" si="9"/>
        <v>213600</v>
      </c>
      <c r="F17" s="2">
        <f t="shared" si="9"/>
        <v>213600</v>
      </c>
      <c r="G17" s="2">
        <f t="shared" si="9"/>
        <v>213600</v>
      </c>
      <c r="O17" t="s">
        <v>8</v>
      </c>
      <c r="P17" s="2">
        <f aca="true" t="shared" si="10" ref="P17:U17">+P9-P13</f>
        <v>220800</v>
      </c>
      <c r="Q17" s="2">
        <f t="shared" si="10"/>
        <v>220800</v>
      </c>
      <c r="R17" s="2">
        <f t="shared" si="10"/>
        <v>220800</v>
      </c>
      <c r="S17" s="2">
        <f t="shared" si="10"/>
        <v>220800</v>
      </c>
      <c r="T17" s="2">
        <f t="shared" si="10"/>
        <v>220800</v>
      </c>
      <c r="U17" s="2">
        <f t="shared" si="10"/>
        <v>220800</v>
      </c>
      <c r="AC17" t="s">
        <v>8</v>
      </c>
      <c r="AD17" s="2">
        <f aca="true" t="shared" si="11" ref="AD17:AI17">+AD9-AD13</f>
        <v>192000</v>
      </c>
      <c r="AE17" s="2">
        <f t="shared" si="11"/>
        <v>192000</v>
      </c>
      <c r="AF17" s="2">
        <f t="shared" si="11"/>
        <v>192000</v>
      </c>
      <c r="AG17" s="2">
        <f t="shared" si="11"/>
        <v>192000</v>
      </c>
      <c r="AH17" s="2">
        <f t="shared" si="11"/>
        <v>192000</v>
      </c>
      <c r="AI17" s="2">
        <f t="shared" si="11"/>
        <v>192000</v>
      </c>
    </row>
    <row r="18" spans="1:35" ht="12.75">
      <c r="A18" t="s">
        <v>9</v>
      </c>
      <c r="B18" s="9">
        <f>+Inputs!B13</f>
        <v>1.1</v>
      </c>
      <c r="C18" s="9">
        <f>+Inputs!C13</f>
        <v>1.1</v>
      </c>
      <c r="D18" s="9">
        <f>+Inputs!D13</f>
        <v>1.1</v>
      </c>
      <c r="E18" s="9">
        <f>+Inputs!E13</f>
        <v>1.1</v>
      </c>
      <c r="F18" s="9">
        <f>+Inputs!F13</f>
        <v>1.1</v>
      </c>
      <c r="G18" s="9">
        <f>+Inputs!G13</f>
        <v>1.1</v>
      </c>
      <c r="O18" t="s">
        <v>9</v>
      </c>
      <c r="P18" s="9">
        <f>+Inputs!P13</f>
        <v>1.1</v>
      </c>
      <c r="Q18" s="9">
        <f>+Inputs!Q13</f>
        <v>1.1</v>
      </c>
      <c r="R18" s="9">
        <f>+Inputs!R13</f>
        <v>1.1</v>
      </c>
      <c r="S18" s="9">
        <f>+Inputs!S13</f>
        <v>1.1</v>
      </c>
      <c r="T18" s="9">
        <f>+Inputs!T13</f>
        <v>1.1</v>
      </c>
      <c r="U18" s="9">
        <f>+Inputs!U13</f>
        <v>1.1</v>
      </c>
      <c r="AC18" t="s">
        <v>9</v>
      </c>
      <c r="AD18" s="9">
        <f>+Inputs!AD13</f>
        <v>1.1</v>
      </c>
      <c r="AE18" s="9">
        <f>+Inputs!AE13</f>
        <v>1.1</v>
      </c>
      <c r="AF18" s="9">
        <f>+Inputs!AF13</f>
        <v>1.1</v>
      </c>
      <c r="AG18" s="9">
        <f>+Inputs!AG13</f>
        <v>1.1</v>
      </c>
      <c r="AH18" s="9">
        <f>+Inputs!AH13</f>
        <v>1.1</v>
      </c>
      <c r="AI18" s="9">
        <f>+Inputs!AI13</f>
        <v>1.1</v>
      </c>
    </row>
    <row r="19" spans="1:35" ht="12.75">
      <c r="A19" t="s">
        <v>10</v>
      </c>
      <c r="B19" s="2">
        <f aca="true" t="shared" si="12" ref="B19:G19">+B17/B18</f>
        <v>194181.81818181818</v>
      </c>
      <c r="C19" s="2">
        <f t="shared" si="12"/>
        <v>194181.81818181818</v>
      </c>
      <c r="D19" s="2">
        <f t="shared" si="12"/>
        <v>194181.81818181818</v>
      </c>
      <c r="E19" s="2">
        <f t="shared" si="12"/>
        <v>194181.81818181818</v>
      </c>
      <c r="F19" s="2">
        <f t="shared" si="12"/>
        <v>194181.81818181818</v>
      </c>
      <c r="G19" s="2">
        <f t="shared" si="12"/>
        <v>194181.81818181818</v>
      </c>
      <c r="O19" t="s">
        <v>10</v>
      </c>
      <c r="P19" s="2">
        <f aca="true" t="shared" si="13" ref="P19:U19">+P17/P18</f>
        <v>200727.2727272727</v>
      </c>
      <c r="Q19" s="2">
        <f t="shared" si="13"/>
        <v>200727.2727272727</v>
      </c>
      <c r="R19" s="2">
        <f t="shared" si="13"/>
        <v>200727.2727272727</v>
      </c>
      <c r="S19" s="2">
        <f t="shared" si="13"/>
        <v>200727.2727272727</v>
      </c>
      <c r="T19" s="2">
        <f t="shared" si="13"/>
        <v>200727.2727272727</v>
      </c>
      <c r="U19" s="2">
        <f t="shared" si="13"/>
        <v>200727.2727272727</v>
      </c>
      <c r="AC19" t="s">
        <v>10</v>
      </c>
      <c r="AD19" s="2">
        <f aca="true" t="shared" si="14" ref="AD19:AI19">+AD17/AD18</f>
        <v>174545.45454545453</v>
      </c>
      <c r="AE19" s="2">
        <f t="shared" si="14"/>
        <v>174545.45454545453</v>
      </c>
      <c r="AF19" s="2">
        <f t="shared" si="14"/>
        <v>174545.45454545453</v>
      </c>
      <c r="AG19" s="2">
        <f t="shared" si="14"/>
        <v>174545.45454545453</v>
      </c>
      <c r="AH19" s="2">
        <f t="shared" si="14"/>
        <v>174545.45454545453</v>
      </c>
      <c r="AI19" s="2">
        <f t="shared" si="14"/>
        <v>174545.45454545453</v>
      </c>
    </row>
    <row r="20" spans="2:35" ht="12.75">
      <c r="B20" s="2"/>
      <c r="C20" s="2"/>
      <c r="D20" s="2"/>
      <c r="E20" s="2"/>
      <c r="F20" s="2"/>
      <c r="G20" s="2"/>
      <c r="P20" s="2"/>
      <c r="Q20" s="2"/>
      <c r="R20" s="2"/>
      <c r="S20" s="2"/>
      <c r="T20" s="2"/>
      <c r="U20" s="2"/>
      <c r="AD20" s="2"/>
      <c r="AE20" s="2"/>
      <c r="AF20" s="2"/>
      <c r="AG20" s="2"/>
      <c r="AH20" s="2"/>
      <c r="AI20" s="2"/>
    </row>
    <row r="21" spans="1:35" ht="12.75">
      <c r="A21" t="s">
        <v>11</v>
      </c>
      <c r="B21" s="2">
        <f aca="true" t="shared" si="15" ref="B21:G21">+B17-B19</f>
        <v>19418.181818181823</v>
      </c>
      <c r="C21" s="2">
        <f t="shared" si="15"/>
        <v>19418.181818181823</v>
      </c>
      <c r="D21" s="2">
        <f t="shared" si="15"/>
        <v>19418.181818181823</v>
      </c>
      <c r="E21" s="2">
        <f t="shared" si="15"/>
        <v>19418.181818181823</v>
      </c>
      <c r="F21" s="2">
        <f t="shared" si="15"/>
        <v>19418.181818181823</v>
      </c>
      <c r="G21" s="2">
        <f t="shared" si="15"/>
        <v>19418.181818181823</v>
      </c>
      <c r="O21" t="s">
        <v>11</v>
      </c>
      <c r="P21" s="2">
        <f aca="true" t="shared" si="16" ref="P21:U21">+P17-P19</f>
        <v>20072.727272727294</v>
      </c>
      <c r="Q21" s="2">
        <f t="shared" si="16"/>
        <v>20072.727272727294</v>
      </c>
      <c r="R21" s="2">
        <f t="shared" si="16"/>
        <v>20072.727272727294</v>
      </c>
      <c r="S21" s="2">
        <f t="shared" si="16"/>
        <v>20072.727272727294</v>
      </c>
      <c r="T21" s="2">
        <f t="shared" si="16"/>
        <v>20072.727272727294</v>
      </c>
      <c r="U21" s="2">
        <f t="shared" si="16"/>
        <v>20072.727272727294</v>
      </c>
      <c r="AC21" t="s">
        <v>11</v>
      </c>
      <c r="AD21" s="2">
        <f aca="true" t="shared" si="17" ref="AD21:AI21">+AD17-AD19</f>
        <v>17454.54545454547</v>
      </c>
      <c r="AE21" s="2">
        <f t="shared" si="17"/>
        <v>17454.54545454547</v>
      </c>
      <c r="AF21" s="2">
        <f t="shared" si="17"/>
        <v>17454.54545454547</v>
      </c>
      <c r="AG21" s="2">
        <f t="shared" si="17"/>
        <v>17454.54545454547</v>
      </c>
      <c r="AH21" s="2">
        <f t="shared" si="17"/>
        <v>17454.54545454547</v>
      </c>
      <c r="AI21" s="2">
        <f t="shared" si="17"/>
        <v>17454.54545454547</v>
      </c>
    </row>
    <row r="22" spans="1:35" ht="12.75">
      <c r="A22" t="s">
        <v>12</v>
      </c>
      <c r="B22" s="9">
        <f>+Inputs!B14</f>
        <v>2.2</v>
      </c>
      <c r="C22" s="9">
        <f>+Inputs!C14</f>
        <v>2.2</v>
      </c>
      <c r="D22" s="9">
        <f>+Inputs!D14</f>
        <v>2.2</v>
      </c>
      <c r="E22" s="9">
        <f>+Inputs!E14</f>
        <v>2.2</v>
      </c>
      <c r="F22" s="9">
        <f>+Inputs!F14</f>
        <v>2.2</v>
      </c>
      <c r="G22" s="9">
        <f>+Inputs!G14</f>
        <v>2.2</v>
      </c>
      <c r="O22" t="s">
        <v>12</v>
      </c>
      <c r="P22" s="9">
        <f>+Inputs!P14</f>
        <v>2.2</v>
      </c>
      <c r="Q22" s="9">
        <f>+Inputs!Q14</f>
        <v>2.2</v>
      </c>
      <c r="R22" s="9">
        <f>+Inputs!R14</f>
        <v>2.2</v>
      </c>
      <c r="S22" s="9">
        <f>+Inputs!S14</f>
        <v>2.2</v>
      </c>
      <c r="T22" s="9">
        <f>+Inputs!T14</f>
        <v>2.2</v>
      </c>
      <c r="U22" s="9">
        <f>+Inputs!U14</f>
        <v>2.2</v>
      </c>
      <c r="AC22" t="s">
        <v>12</v>
      </c>
      <c r="AD22" s="9">
        <f>+Inputs!AD14</f>
        <v>2.2</v>
      </c>
      <c r="AE22" s="9">
        <f>+Inputs!AE14</f>
        <v>2.2</v>
      </c>
      <c r="AF22" s="9">
        <f>+Inputs!AF14</f>
        <v>2.2</v>
      </c>
      <c r="AG22" s="9">
        <f>+Inputs!AG14</f>
        <v>2.2</v>
      </c>
      <c r="AH22" s="9">
        <f>+Inputs!AH14</f>
        <v>2.2</v>
      </c>
      <c r="AI22" s="9">
        <f>+Inputs!AI14</f>
        <v>2.2</v>
      </c>
    </row>
    <row r="23" spans="1:35" ht="12.75">
      <c r="A23" t="s">
        <v>13</v>
      </c>
      <c r="B23" s="2">
        <f aca="true" t="shared" si="18" ref="B23:G23">+B21/(B22-1)</f>
        <v>16181.818181818184</v>
      </c>
      <c r="C23" s="2">
        <f t="shared" si="18"/>
        <v>16181.818181818184</v>
      </c>
      <c r="D23" s="2">
        <f t="shared" si="18"/>
        <v>16181.818181818184</v>
      </c>
      <c r="E23" s="2">
        <f t="shared" si="18"/>
        <v>16181.818181818184</v>
      </c>
      <c r="F23" s="2">
        <f t="shared" si="18"/>
        <v>16181.818181818184</v>
      </c>
      <c r="G23" s="2">
        <f t="shared" si="18"/>
        <v>16181.818181818184</v>
      </c>
      <c r="O23" t="s">
        <v>13</v>
      </c>
      <c r="P23" s="2">
        <f aca="true" t="shared" si="19" ref="P23:U23">+P21/(P22-1)</f>
        <v>16727.272727272742</v>
      </c>
      <c r="Q23" s="2">
        <f t="shared" si="19"/>
        <v>16727.272727272742</v>
      </c>
      <c r="R23" s="2">
        <f t="shared" si="19"/>
        <v>16727.272727272742</v>
      </c>
      <c r="S23" s="2">
        <f t="shared" si="19"/>
        <v>16727.272727272742</v>
      </c>
      <c r="T23" s="2">
        <f t="shared" si="19"/>
        <v>16727.272727272742</v>
      </c>
      <c r="U23" s="2">
        <f t="shared" si="19"/>
        <v>16727.272727272742</v>
      </c>
      <c r="AC23" t="s">
        <v>13</v>
      </c>
      <c r="AD23" s="2">
        <f aca="true" t="shared" si="20" ref="AD23:AI23">+AD21/(AD22-1)</f>
        <v>14545.454545454557</v>
      </c>
      <c r="AE23" s="2">
        <f t="shared" si="20"/>
        <v>14545.454545454557</v>
      </c>
      <c r="AF23" s="2">
        <f t="shared" si="20"/>
        <v>14545.454545454557</v>
      </c>
      <c r="AG23" s="2">
        <f t="shared" si="20"/>
        <v>14545.454545454557</v>
      </c>
      <c r="AH23" s="2">
        <f t="shared" si="20"/>
        <v>14545.454545454557</v>
      </c>
      <c r="AI23" s="2">
        <f t="shared" si="20"/>
        <v>14545.454545454557</v>
      </c>
    </row>
    <row r="24" spans="1:35" ht="12.75">
      <c r="A24" t="s">
        <v>14</v>
      </c>
      <c r="B24" s="2">
        <f aca="true" t="shared" si="21" ref="B24:G24">+B21+B23</f>
        <v>35600.00000000001</v>
      </c>
      <c r="C24" s="2">
        <f t="shared" si="21"/>
        <v>35600.00000000001</v>
      </c>
      <c r="D24" s="2">
        <f t="shared" si="21"/>
        <v>35600.00000000001</v>
      </c>
      <c r="E24" s="2">
        <f t="shared" si="21"/>
        <v>35600.00000000001</v>
      </c>
      <c r="F24" s="2">
        <f t="shared" si="21"/>
        <v>35600.00000000001</v>
      </c>
      <c r="G24" s="2">
        <f t="shared" si="21"/>
        <v>35600.00000000001</v>
      </c>
      <c r="O24" t="s">
        <v>14</v>
      </c>
      <c r="P24" s="2">
        <f aca="true" t="shared" si="22" ref="P24:U24">+P21+P23</f>
        <v>36800.00000000004</v>
      </c>
      <c r="Q24" s="2">
        <f t="shared" si="22"/>
        <v>36800.00000000004</v>
      </c>
      <c r="R24" s="2">
        <f t="shared" si="22"/>
        <v>36800.00000000004</v>
      </c>
      <c r="S24" s="2">
        <f t="shared" si="22"/>
        <v>36800.00000000004</v>
      </c>
      <c r="T24" s="2">
        <f t="shared" si="22"/>
        <v>36800.00000000004</v>
      </c>
      <c r="U24" s="2">
        <f t="shared" si="22"/>
        <v>36800.00000000004</v>
      </c>
      <c r="AC24" t="s">
        <v>14</v>
      </c>
      <c r="AD24" s="2">
        <f aca="true" t="shared" si="23" ref="AD24:AI24">+AD21+AD23</f>
        <v>32000.00000000003</v>
      </c>
      <c r="AE24" s="2">
        <f t="shared" si="23"/>
        <v>32000.00000000003</v>
      </c>
      <c r="AF24" s="2">
        <f t="shared" si="23"/>
        <v>32000.00000000003</v>
      </c>
      <c r="AG24" s="2">
        <f t="shared" si="23"/>
        <v>32000.00000000003</v>
      </c>
      <c r="AH24" s="2">
        <f t="shared" si="23"/>
        <v>32000.00000000003</v>
      </c>
      <c r="AI24" s="2">
        <f t="shared" si="23"/>
        <v>32000.00000000003</v>
      </c>
    </row>
    <row r="25" spans="1:35" ht="12.75">
      <c r="A25" t="s">
        <v>16</v>
      </c>
      <c r="B25" s="2">
        <f aca="true" t="shared" si="24" ref="B25:G25">+B17-B24</f>
        <v>178000</v>
      </c>
      <c r="C25" s="2">
        <f t="shared" si="24"/>
        <v>178000</v>
      </c>
      <c r="D25" s="2">
        <f t="shared" si="24"/>
        <v>178000</v>
      </c>
      <c r="E25" s="2">
        <f t="shared" si="24"/>
        <v>178000</v>
      </c>
      <c r="F25" s="2">
        <f t="shared" si="24"/>
        <v>178000</v>
      </c>
      <c r="G25" s="2">
        <f t="shared" si="24"/>
        <v>178000</v>
      </c>
      <c r="O25" t="s">
        <v>16</v>
      </c>
      <c r="P25" s="2">
        <f aca="true" t="shared" si="25" ref="P25:U25">+P17-P24</f>
        <v>183999.99999999997</v>
      </c>
      <c r="Q25" s="2">
        <f t="shared" si="25"/>
        <v>183999.99999999997</v>
      </c>
      <c r="R25" s="2">
        <f t="shared" si="25"/>
        <v>183999.99999999997</v>
      </c>
      <c r="S25" s="2">
        <f t="shared" si="25"/>
        <v>183999.99999999997</v>
      </c>
      <c r="T25" s="2">
        <f t="shared" si="25"/>
        <v>183999.99999999997</v>
      </c>
      <c r="U25" s="2">
        <f t="shared" si="25"/>
        <v>183999.99999999997</v>
      </c>
      <c r="AC25" t="s">
        <v>16</v>
      </c>
      <c r="AD25" s="2">
        <f aca="true" t="shared" si="26" ref="AD25:AI25">+AD17-AD24</f>
        <v>159999.99999999997</v>
      </c>
      <c r="AE25" s="2">
        <f t="shared" si="26"/>
        <v>159999.99999999997</v>
      </c>
      <c r="AF25" s="2">
        <f t="shared" si="26"/>
        <v>159999.99999999997</v>
      </c>
      <c r="AG25" s="2">
        <f t="shared" si="26"/>
        <v>159999.99999999997</v>
      </c>
      <c r="AH25" s="2">
        <f t="shared" si="26"/>
        <v>159999.99999999997</v>
      </c>
      <c r="AI25" s="2">
        <f t="shared" si="26"/>
        <v>159999.99999999997</v>
      </c>
    </row>
    <row r="26" spans="2:35" ht="12.75">
      <c r="B26" s="2"/>
      <c r="C26" s="2"/>
      <c r="D26" s="2"/>
      <c r="E26" s="2"/>
      <c r="F26" s="2"/>
      <c r="G26" s="2"/>
      <c r="P26" s="2"/>
      <c r="Q26" s="2"/>
      <c r="R26" s="2"/>
      <c r="S26" s="2"/>
      <c r="T26" s="2"/>
      <c r="U26" s="2"/>
      <c r="AD26" s="2"/>
      <c r="AE26" s="2"/>
      <c r="AF26" s="2"/>
      <c r="AG26" s="2"/>
      <c r="AH26" s="2"/>
      <c r="AI26" s="2"/>
    </row>
    <row r="27" spans="1:35" ht="12.75">
      <c r="A27" t="s">
        <v>26</v>
      </c>
      <c r="B27" s="2">
        <f aca="true" t="shared" si="27" ref="B27:G27">+B15+B19</f>
        <v>194626.81818181818</v>
      </c>
      <c r="C27" s="2">
        <f t="shared" si="27"/>
        <v>194626.81818181818</v>
      </c>
      <c r="D27" s="2">
        <f t="shared" si="27"/>
        <v>194626.81818181818</v>
      </c>
      <c r="E27" s="2">
        <f t="shared" si="27"/>
        <v>194626.81818181818</v>
      </c>
      <c r="F27" s="2">
        <f t="shared" si="27"/>
        <v>194626.81818181818</v>
      </c>
      <c r="G27" s="2">
        <f t="shared" si="27"/>
        <v>194626.81818181818</v>
      </c>
      <c r="O27" t="s">
        <v>26</v>
      </c>
      <c r="P27" s="2">
        <f aca="true" t="shared" si="28" ref="P27:U27">+P15+P19</f>
        <v>201187.2727272727</v>
      </c>
      <c r="Q27" s="2">
        <f t="shared" si="28"/>
        <v>201187.2727272727</v>
      </c>
      <c r="R27" s="2">
        <f t="shared" si="28"/>
        <v>201187.2727272727</v>
      </c>
      <c r="S27" s="2">
        <f t="shared" si="28"/>
        <v>201187.2727272727</v>
      </c>
      <c r="T27" s="2">
        <f t="shared" si="28"/>
        <v>201187.2727272727</v>
      </c>
      <c r="U27" s="2">
        <f t="shared" si="28"/>
        <v>201187.2727272727</v>
      </c>
      <c r="AC27" t="s">
        <v>26</v>
      </c>
      <c r="AD27" s="2">
        <f aca="true" t="shared" si="29" ref="AD27:AI27">+AD15+AD19</f>
        <v>174945.45454545453</v>
      </c>
      <c r="AE27" s="2">
        <f t="shared" si="29"/>
        <v>174945.45454545453</v>
      </c>
      <c r="AF27" s="2">
        <f t="shared" si="29"/>
        <v>174945.45454545453</v>
      </c>
      <c r="AG27" s="2">
        <f t="shared" si="29"/>
        <v>174945.45454545453</v>
      </c>
      <c r="AH27" s="2">
        <f t="shared" si="29"/>
        <v>174945.45454545453</v>
      </c>
      <c r="AI27" s="2">
        <f t="shared" si="29"/>
        <v>174945.45454545453</v>
      </c>
    </row>
    <row r="28" spans="1:35" ht="12.75">
      <c r="A28" t="s">
        <v>27</v>
      </c>
      <c r="B28" s="2">
        <f aca="true" t="shared" si="30" ref="B28:G28">+B7-B9</f>
        <v>222500</v>
      </c>
      <c r="C28" s="2">
        <f t="shared" si="30"/>
        <v>222500</v>
      </c>
      <c r="D28" s="2">
        <f t="shared" si="30"/>
        <v>222500</v>
      </c>
      <c r="E28" s="2">
        <f t="shared" si="30"/>
        <v>222500</v>
      </c>
      <c r="F28" s="2">
        <f t="shared" si="30"/>
        <v>222500</v>
      </c>
      <c r="G28" s="2">
        <f t="shared" si="30"/>
        <v>222500</v>
      </c>
      <c r="O28" t="s">
        <v>27</v>
      </c>
      <c r="P28" s="2">
        <f aca="true" t="shared" si="31" ref="P28:U28">+P7-P9</f>
        <v>230000</v>
      </c>
      <c r="Q28" s="2">
        <f t="shared" si="31"/>
        <v>230000</v>
      </c>
      <c r="R28" s="2">
        <f t="shared" si="31"/>
        <v>230000</v>
      </c>
      <c r="S28" s="2">
        <f t="shared" si="31"/>
        <v>230000</v>
      </c>
      <c r="T28" s="2">
        <f t="shared" si="31"/>
        <v>230000</v>
      </c>
      <c r="U28" s="2">
        <f t="shared" si="31"/>
        <v>230000</v>
      </c>
      <c r="AC28" t="s">
        <v>27</v>
      </c>
      <c r="AD28" s="2">
        <f aca="true" t="shared" si="32" ref="AD28:AI28">+AD7-AD9</f>
        <v>200000</v>
      </c>
      <c r="AE28" s="2">
        <f t="shared" si="32"/>
        <v>200000</v>
      </c>
      <c r="AF28" s="2">
        <f t="shared" si="32"/>
        <v>200000</v>
      </c>
      <c r="AG28" s="2">
        <f t="shared" si="32"/>
        <v>200000</v>
      </c>
      <c r="AH28" s="2">
        <f t="shared" si="32"/>
        <v>200000</v>
      </c>
      <c r="AI28" s="2">
        <f t="shared" si="32"/>
        <v>200000</v>
      </c>
    </row>
    <row r="29" spans="1:35" ht="12.75">
      <c r="A29" t="s">
        <v>28</v>
      </c>
      <c r="B29" s="9">
        <f>+Inputs!B15</f>
        <v>1.6</v>
      </c>
      <c r="C29" s="9">
        <f>+Inputs!C15</f>
        <v>1.6</v>
      </c>
      <c r="D29" s="9">
        <f>+Inputs!D15</f>
        <v>1.6</v>
      </c>
      <c r="E29" s="9">
        <f>+Inputs!E15</f>
        <v>1.6</v>
      </c>
      <c r="F29" s="9">
        <f>+Inputs!F15</f>
        <v>1.6</v>
      </c>
      <c r="G29" s="9">
        <f>+Inputs!G15</f>
        <v>1.6</v>
      </c>
      <c r="O29" t="s">
        <v>28</v>
      </c>
      <c r="P29" s="9">
        <f>+Inputs!P15</f>
        <v>1.6</v>
      </c>
      <c r="Q29" s="9">
        <f>+Inputs!Q15</f>
        <v>1.6</v>
      </c>
      <c r="R29" s="9">
        <f>+Inputs!R15</f>
        <v>1.6</v>
      </c>
      <c r="S29" s="9">
        <f>+Inputs!S15</f>
        <v>1.6</v>
      </c>
      <c r="T29" s="9">
        <f>+Inputs!T15</f>
        <v>1.6</v>
      </c>
      <c r="U29" s="9">
        <f>+Inputs!U15</f>
        <v>1.6</v>
      </c>
      <c r="AC29" t="s">
        <v>28</v>
      </c>
      <c r="AD29" s="9">
        <f>+Inputs!AD15</f>
        <v>1.6</v>
      </c>
      <c r="AE29" s="9">
        <f>+Inputs!AE15</f>
        <v>1.6</v>
      </c>
      <c r="AF29" s="9">
        <f>+Inputs!AF15</f>
        <v>1.6</v>
      </c>
      <c r="AG29" s="9">
        <f>+Inputs!AG15</f>
        <v>1.6</v>
      </c>
      <c r="AH29" s="9">
        <f>+Inputs!AH15</f>
        <v>1.6</v>
      </c>
      <c r="AI29" s="9">
        <f>+Inputs!AI15</f>
        <v>1.6</v>
      </c>
    </row>
    <row r="30" spans="1:35" ht="12.75">
      <c r="A30" t="s">
        <v>29</v>
      </c>
      <c r="B30" s="2">
        <f aca="true" t="shared" si="33" ref="B30:G30">+B28/B29</f>
        <v>139062.5</v>
      </c>
      <c r="C30" s="2">
        <f t="shared" si="33"/>
        <v>139062.5</v>
      </c>
      <c r="D30" s="2">
        <f t="shared" si="33"/>
        <v>139062.5</v>
      </c>
      <c r="E30" s="2">
        <f t="shared" si="33"/>
        <v>139062.5</v>
      </c>
      <c r="F30" s="2">
        <f t="shared" si="33"/>
        <v>139062.5</v>
      </c>
      <c r="G30" s="2">
        <f t="shared" si="33"/>
        <v>139062.5</v>
      </c>
      <c r="O30" t="s">
        <v>29</v>
      </c>
      <c r="P30" s="2">
        <f aca="true" t="shared" si="34" ref="P30:U30">+P28/P29</f>
        <v>143750</v>
      </c>
      <c r="Q30" s="2">
        <f t="shared" si="34"/>
        <v>143750</v>
      </c>
      <c r="R30" s="2">
        <f t="shared" si="34"/>
        <v>143750</v>
      </c>
      <c r="S30" s="2">
        <f t="shared" si="34"/>
        <v>143750</v>
      </c>
      <c r="T30" s="2">
        <f t="shared" si="34"/>
        <v>143750</v>
      </c>
      <c r="U30" s="2">
        <f t="shared" si="34"/>
        <v>143750</v>
      </c>
      <c r="AC30" t="s">
        <v>29</v>
      </c>
      <c r="AD30" s="2">
        <f aca="true" t="shared" si="35" ref="AD30:AI30">+AD28/AD29</f>
        <v>125000</v>
      </c>
      <c r="AE30" s="2">
        <f t="shared" si="35"/>
        <v>125000</v>
      </c>
      <c r="AF30" s="2">
        <f t="shared" si="35"/>
        <v>125000</v>
      </c>
      <c r="AG30" s="2">
        <f t="shared" si="35"/>
        <v>125000</v>
      </c>
      <c r="AH30" s="2">
        <f t="shared" si="35"/>
        <v>125000</v>
      </c>
      <c r="AI30" s="2">
        <f t="shared" si="35"/>
        <v>125000</v>
      </c>
    </row>
    <row r="31" spans="1:35" ht="12.75">
      <c r="A31" t="s">
        <v>30</v>
      </c>
      <c r="B31" s="2">
        <f aca="true" t="shared" si="36" ref="B31:G31">+B27+B30</f>
        <v>333689.3181818182</v>
      </c>
      <c r="C31" s="2">
        <f t="shared" si="36"/>
        <v>333689.3181818182</v>
      </c>
      <c r="D31" s="2">
        <f t="shared" si="36"/>
        <v>333689.3181818182</v>
      </c>
      <c r="E31" s="2">
        <f t="shared" si="36"/>
        <v>333689.3181818182</v>
      </c>
      <c r="F31" s="2">
        <f t="shared" si="36"/>
        <v>333689.3181818182</v>
      </c>
      <c r="G31" s="2">
        <f t="shared" si="36"/>
        <v>333689.3181818182</v>
      </c>
      <c r="O31" t="s">
        <v>30</v>
      </c>
      <c r="P31" s="2">
        <f aca="true" t="shared" si="37" ref="P31:U31">+P27+P30</f>
        <v>344937.2727272727</v>
      </c>
      <c r="Q31" s="2">
        <f t="shared" si="37"/>
        <v>344937.2727272727</v>
      </c>
      <c r="R31" s="2">
        <f t="shared" si="37"/>
        <v>344937.2727272727</v>
      </c>
      <c r="S31" s="2">
        <f t="shared" si="37"/>
        <v>344937.2727272727</v>
      </c>
      <c r="T31" s="2">
        <f t="shared" si="37"/>
        <v>344937.2727272727</v>
      </c>
      <c r="U31" s="2">
        <f t="shared" si="37"/>
        <v>344937.2727272727</v>
      </c>
      <c r="AC31" t="s">
        <v>30</v>
      </c>
      <c r="AD31" s="2">
        <f aca="true" t="shared" si="38" ref="AD31:AI31">+AD27+AD30</f>
        <v>299945.45454545453</v>
      </c>
      <c r="AE31" s="2">
        <f t="shared" si="38"/>
        <v>299945.45454545453</v>
      </c>
      <c r="AF31" s="2">
        <f t="shared" si="38"/>
        <v>299945.45454545453</v>
      </c>
      <c r="AG31" s="2">
        <f t="shared" si="38"/>
        <v>299945.45454545453</v>
      </c>
      <c r="AH31" s="2">
        <f t="shared" si="38"/>
        <v>299945.45454545453</v>
      </c>
      <c r="AI31" s="2">
        <f t="shared" si="38"/>
        <v>299945.45454545453</v>
      </c>
    </row>
    <row r="32" spans="1:35" ht="12.75">
      <c r="A32" t="s">
        <v>4</v>
      </c>
      <c r="B32" s="4">
        <f aca="true" t="shared" si="39" ref="B32:G32">+B27/B31</f>
        <v>0.5832575619809662</v>
      </c>
      <c r="C32" s="4">
        <f t="shared" si="39"/>
        <v>0.5832575619809662</v>
      </c>
      <c r="D32" s="4">
        <f t="shared" si="39"/>
        <v>0.5832575619809662</v>
      </c>
      <c r="E32" s="4">
        <f t="shared" si="39"/>
        <v>0.5832575619809662</v>
      </c>
      <c r="F32" s="4">
        <f t="shared" si="39"/>
        <v>0.5832575619809662</v>
      </c>
      <c r="G32" s="4">
        <f t="shared" si="39"/>
        <v>0.5832575619809662</v>
      </c>
      <c r="O32" t="s">
        <v>4</v>
      </c>
      <c r="P32" s="4">
        <f aca="true" t="shared" si="40" ref="P32:U32">+P27/P31</f>
        <v>0.5832575619809662</v>
      </c>
      <c r="Q32" s="4">
        <f t="shared" si="40"/>
        <v>0.5832575619809662</v>
      </c>
      <c r="R32" s="4">
        <f t="shared" si="40"/>
        <v>0.5832575619809662</v>
      </c>
      <c r="S32" s="4">
        <f t="shared" si="40"/>
        <v>0.5832575619809662</v>
      </c>
      <c r="T32" s="4">
        <f t="shared" si="40"/>
        <v>0.5832575619809662</v>
      </c>
      <c r="U32" s="4">
        <f t="shared" si="40"/>
        <v>0.5832575619809662</v>
      </c>
      <c r="AC32" t="s">
        <v>4</v>
      </c>
      <c r="AD32" s="4">
        <f aca="true" t="shared" si="41" ref="AD32:AI32">+AD27/AD31</f>
        <v>0.5832575619809662</v>
      </c>
      <c r="AE32" s="4">
        <f t="shared" si="41"/>
        <v>0.5832575619809662</v>
      </c>
      <c r="AF32" s="4">
        <f t="shared" si="41"/>
        <v>0.5832575619809662</v>
      </c>
      <c r="AG32" s="4">
        <f t="shared" si="41"/>
        <v>0.5832575619809662</v>
      </c>
      <c r="AH32" s="4">
        <f t="shared" si="41"/>
        <v>0.5832575619809662</v>
      </c>
      <c r="AI32" s="4">
        <f t="shared" si="41"/>
        <v>0.5832575619809662</v>
      </c>
    </row>
    <row r="33" spans="2:35" ht="12.75">
      <c r="B33" s="2"/>
      <c r="C33" s="2"/>
      <c r="D33" s="2"/>
      <c r="E33" s="2"/>
      <c r="F33" s="2"/>
      <c r="G33" s="2"/>
      <c r="P33" s="2"/>
      <c r="Q33" s="2"/>
      <c r="R33" s="2"/>
      <c r="S33" s="2"/>
      <c r="T33" s="2"/>
      <c r="U33" s="2"/>
      <c r="AD33" s="2"/>
      <c r="AE33" s="2"/>
      <c r="AF33" s="2"/>
      <c r="AG33" s="2"/>
      <c r="AH33" s="2"/>
      <c r="AI33" s="2"/>
    </row>
    <row r="34" spans="1:35" ht="12.75">
      <c r="A34" s="11" t="s">
        <v>56</v>
      </c>
      <c r="B34" s="12">
        <f>+Inputs!B16</f>
        <v>0.84</v>
      </c>
      <c r="C34" s="12">
        <f>+Inputs!C16</f>
        <v>0.84</v>
      </c>
      <c r="D34" s="12">
        <f>+Inputs!D16</f>
        <v>0.84</v>
      </c>
      <c r="E34" s="12">
        <f>+Inputs!E16</f>
        <v>0.84</v>
      </c>
      <c r="F34" s="12">
        <f>+Inputs!F16</f>
        <v>0.84</v>
      </c>
      <c r="G34" s="12">
        <f>+Inputs!G16</f>
        <v>0.84</v>
      </c>
      <c r="O34" s="11" t="s">
        <v>56</v>
      </c>
      <c r="P34" s="12">
        <f>+Inputs!P16</f>
        <v>0.84</v>
      </c>
      <c r="Q34" s="12">
        <f>+Inputs!Q16</f>
        <v>0.84</v>
      </c>
      <c r="R34" s="12">
        <f>+Inputs!R16</f>
        <v>0.84</v>
      </c>
      <c r="S34" s="12">
        <f>+Inputs!S16</f>
        <v>0.84</v>
      </c>
      <c r="T34" s="12">
        <f>+Inputs!T16</f>
        <v>0.84</v>
      </c>
      <c r="U34" s="12">
        <f>+Inputs!U16</f>
        <v>0.84</v>
      </c>
      <c r="AC34" s="11" t="s">
        <v>56</v>
      </c>
      <c r="AD34" s="12">
        <f>+Inputs!AD16</f>
        <v>0.84</v>
      </c>
      <c r="AE34" s="12">
        <f>+Inputs!AE16</f>
        <v>0.84</v>
      </c>
      <c r="AF34" s="12">
        <f>+Inputs!AF16</f>
        <v>0.84</v>
      </c>
      <c r="AG34" s="12">
        <f>+Inputs!AG16</f>
        <v>0.84</v>
      </c>
      <c r="AH34" s="12">
        <f>+Inputs!AH16</f>
        <v>0.84</v>
      </c>
      <c r="AI34" s="12">
        <f>+Inputs!AI16</f>
        <v>0.84</v>
      </c>
    </row>
    <row r="35" spans="1:35" ht="12.75">
      <c r="A35" s="11" t="s">
        <v>58</v>
      </c>
      <c r="B35" s="13">
        <f aca="true" t="shared" si="42" ref="B35:G35">1-B34</f>
        <v>0.16000000000000003</v>
      </c>
      <c r="C35" s="13">
        <f t="shared" si="42"/>
        <v>0.16000000000000003</v>
      </c>
      <c r="D35" s="13">
        <f t="shared" si="42"/>
        <v>0.16000000000000003</v>
      </c>
      <c r="E35" s="13">
        <f t="shared" si="42"/>
        <v>0.16000000000000003</v>
      </c>
      <c r="F35" s="13">
        <f t="shared" si="42"/>
        <v>0.16000000000000003</v>
      </c>
      <c r="G35" s="13">
        <f t="shared" si="42"/>
        <v>0.16000000000000003</v>
      </c>
      <c r="O35" s="11" t="s">
        <v>58</v>
      </c>
      <c r="P35" s="13">
        <f aca="true" t="shared" si="43" ref="P35:U35">1-P34</f>
        <v>0.16000000000000003</v>
      </c>
      <c r="Q35" s="13">
        <f t="shared" si="43"/>
        <v>0.16000000000000003</v>
      </c>
      <c r="R35" s="13">
        <f t="shared" si="43"/>
        <v>0.16000000000000003</v>
      </c>
      <c r="S35" s="13">
        <f t="shared" si="43"/>
        <v>0.16000000000000003</v>
      </c>
      <c r="T35" s="13">
        <f t="shared" si="43"/>
        <v>0.16000000000000003</v>
      </c>
      <c r="U35" s="13">
        <f t="shared" si="43"/>
        <v>0.16000000000000003</v>
      </c>
      <c r="AC35" s="11" t="s">
        <v>58</v>
      </c>
      <c r="AD35" s="13">
        <f aca="true" t="shared" si="44" ref="AD35:AI35">1-AD34</f>
        <v>0.16000000000000003</v>
      </c>
      <c r="AE35" s="13">
        <f t="shared" si="44"/>
        <v>0.16000000000000003</v>
      </c>
      <c r="AF35" s="13">
        <f t="shared" si="44"/>
        <v>0.16000000000000003</v>
      </c>
      <c r="AG35" s="13">
        <f t="shared" si="44"/>
        <v>0.16000000000000003</v>
      </c>
      <c r="AH35" s="13">
        <f t="shared" si="44"/>
        <v>0.16000000000000003</v>
      </c>
      <c r="AI35" s="13">
        <f t="shared" si="44"/>
        <v>0.16000000000000003</v>
      </c>
    </row>
    <row r="36" spans="1:35" ht="12.75">
      <c r="A36" s="11" t="s">
        <v>389</v>
      </c>
      <c r="B36" s="14">
        <f aca="true" t="shared" si="45" ref="B36:G36">+B31*B34</f>
        <v>280299.0272727273</v>
      </c>
      <c r="C36" s="14">
        <f t="shared" si="45"/>
        <v>280299.0272727273</v>
      </c>
      <c r="D36" s="14">
        <f t="shared" si="45"/>
        <v>280299.0272727273</v>
      </c>
      <c r="E36" s="14">
        <f t="shared" si="45"/>
        <v>280299.0272727273</v>
      </c>
      <c r="F36" s="14">
        <f t="shared" si="45"/>
        <v>280299.0272727273</v>
      </c>
      <c r="G36" s="14">
        <f t="shared" si="45"/>
        <v>280299.0272727273</v>
      </c>
      <c r="O36" s="11" t="s">
        <v>389</v>
      </c>
      <c r="P36" s="14">
        <f aca="true" t="shared" si="46" ref="P36:U36">+P31*P34</f>
        <v>289747.3090909091</v>
      </c>
      <c r="Q36" s="14">
        <f t="shared" si="46"/>
        <v>289747.3090909091</v>
      </c>
      <c r="R36" s="14">
        <f t="shared" si="46"/>
        <v>289747.3090909091</v>
      </c>
      <c r="S36" s="14">
        <f t="shared" si="46"/>
        <v>289747.3090909091</v>
      </c>
      <c r="T36" s="14">
        <f t="shared" si="46"/>
        <v>289747.3090909091</v>
      </c>
      <c r="U36" s="14">
        <f t="shared" si="46"/>
        <v>289747.3090909091</v>
      </c>
      <c r="AC36" s="11" t="s">
        <v>389</v>
      </c>
      <c r="AD36" s="14">
        <f aca="true" t="shared" si="47" ref="AD36:AI36">+AD31*AD34</f>
        <v>251954.1818181818</v>
      </c>
      <c r="AE36" s="14">
        <f t="shared" si="47"/>
        <v>251954.1818181818</v>
      </c>
      <c r="AF36" s="14">
        <f t="shared" si="47"/>
        <v>251954.1818181818</v>
      </c>
      <c r="AG36" s="14">
        <f t="shared" si="47"/>
        <v>251954.1818181818</v>
      </c>
      <c r="AH36" s="14">
        <f t="shared" si="47"/>
        <v>251954.1818181818</v>
      </c>
      <c r="AI36" s="14">
        <f t="shared" si="47"/>
        <v>251954.1818181818</v>
      </c>
    </row>
    <row r="37" spans="1:35" ht="12.75">
      <c r="A37" s="11" t="s">
        <v>390</v>
      </c>
      <c r="B37" s="14">
        <f aca="true" t="shared" si="48" ref="B37:G37">+B31*B35</f>
        <v>53390.290909090916</v>
      </c>
      <c r="C37" s="14">
        <f t="shared" si="48"/>
        <v>53390.290909090916</v>
      </c>
      <c r="D37" s="14">
        <f t="shared" si="48"/>
        <v>53390.290909090916</v>
      </c>
      <c r="E37" s="14">
        <f t="shared" si="48"/>
        <v>53390.290909090916</v>
      </c>
      <c r="F37" s="14">
        <f t="shared" si="48"/>
        <v>53390.290909090916</v>
      </c>
      <c r="G37" s="14">
        <f t="shared" si="48"/>
        <v>53390.290909090916</v>
      </c>
      <c r="O37" s="11" t="s">
        <v>390</v>
      </c>
      <c r="P37" s="14">
        <f aca="true" t="shared" si="49" ref="P37:U37">+P31*P35</f>
        <v>55189.963636363645</v>
      </c>
      <c r="Q37" s="14">
        <f t="shared" si="49"/>
        <v>55189.963636363645</v>
      </c>
      <c r="R37" s="14">
        <f t="shared" si="49"/>
        <v>55189.963636363645</v>
      </c>
      <c r="S37" s="14">
        <f t="shared" si="49"/>
        <v>55189.963636363645</v>
      </c>
      <c r="T37" s="14">
        <f t="shared" si="49"/>
        <v>55189.963636363645</v>
      </c>
      <c r="U37" s="14">
        <f t="shared" si="49"/>
        <v>55189.963636363645</v>
      </c>
      <c r="AC37" s="11" t="s">
        <v>390</v>
      </c>
      <c r="AD37" s="14">
        <f aca="true" t="shared" si="50" ref="AD37:AI37">+AD31*AD35</f>
        <v>47991.272727272735</v>
      </c>
      <c r="AE37" s="14">
        <f t="shared" si="50"/>
        <v>47991.272727272735</v>
      </c>
      <c r="AF37" s="14">
        <f t="shared" si="50"/>
        <v>47991.272727272735</v>
      </c>
      <c r="AG37" s="14">
        <f t="shared" si="50"/>
        <v>47991.272727272735</v>
      </c>
      <c r="AH37" s="14">
        <f t="shared" si="50"/>
        <v>47991.272727272735</v>
      </c>
      <c r="AI37" s="14">
        <f t="shared" si="50"/>
        <v>47991.272727272735</v>
      </c>
    </row>
    <row r="38" spans="3:35" ht="12.75">
      <c r="C38" s="2"/>
      <c r="D38" s="2"/>
      <c r="E38" s="2"/>
      <c r="F38" s="2"/>
      <c r="G38" s="2"/>
      <c r="Q38" s="2"/>
      <c r="R38" s="2"/>
      <c r="S38" s="2"/>
      <c r="T38" s="2"/>
      <c r="U38" s="2"/>
      <c r="AE38" s="2"/>
      <c r="AF38" s="2"/>
      <c r="AG38" s="2"/>
      <c r="AH38" s="2"/>
      <c r="AI38" s="2"/>
    </row>
    <row r="39" spans="1:35" ht="12.75">
      <c r="A39" t="s">
        <v>15</v>
      </c>
      <c r="C39" s="2"/>
      <c r="D39" s="2"/>
      <c r="E39" s="2"/>
      <c r="F39" s="2"/>
      <c r="G39" s="2"/>
      <c r="O39" t="s">
        <v>15</v>
      </c>
      <c r="Q39" s="2"/>
      <c r="R39" s="2"/>
      <c r="S39" s="2"/>
      <c r="T39" s="2"/>
      <c r="U39" s="2"/>
      <c r="AC39" t="s">
        <v>15</v>
      </c>
      <c r="AE39" s="2"/>
      <c r="AF39" s="2"/>
      <c r="AG39" s="2"/>
      <c r="AH39" s="2"/>
      <c r="AI39" s="2"/>
    </row>
    <row r="40" spans="1:35" ht="12.75">
      <c r="A40" t="s">
        <v>17</v>
      </c>
      <c r="B40" s="4">
        <f>+B25/B9</f>
        <v>0.8</v>
      </c>
      <c r="C40" s="4">
        <f aca="true" t="shared" si="51" ref="C40:G42">+B40</f>
        <v>0.8</v>
      </c>
      <c r="D40" s="4">
        <f t="shared" si="51"/>
        <v>0.8</v>
      </c>
      <c r="E40" s="4">
        <f t="shared" si="51"/>
        <v>0.8</v>
      </c>
      <c r="F40" s="4">
        <f t="shared" si="51"/>
        <v>0.8</v>
      </c>
      <c r="G40" s="4">
        <f t="shared" si="51"/>
        <v>0.8</v>
      </c>
      <c r="O40" t="s">
        <v>17</v>
      </c>
      <c r="P40" s="4">
        <f>+P25/P9</f>
        <v>0.7999999999999998</v>
      </c>
      <c r="Q40" s="4">
        <f aca="true" t="shared" si="52" ref="Q40:U42">+P40</f>
        <v>0.7999999999999998</v>
      </c>
      <c r="R40" s="4">
        <f t="shared" si="52"/>
        <v>0.7999999999999998</v>
      </c>
      <c r="S40" s="4">
        <f t="shared" si="52"/>
        <v>0.7999999999999998</v>
      </c>
      <c r="T40" s="4">
        <f t="shared" si="52"/>
        <v>0.7999999999999998</v>
      </c>
      <c r="U40" s="4">
        <f t="shared" si="52"/>
        <v>0.7999999999999998</v>
      </c>
      <c r="AC40" t="s">
        <v>17</v>
      </c>
      <c r="AD40" s="4">
        <f>+AD25/AD9</f>
        <v>0.7999999999999998</v>
      </c>
      <c r="AE40" s="4">
        <f aca="true" t="shared" si="53" ref="AE40:AI42">+AD40</f>
        <v>0.7999999999999998</v>
      </c>
      <c r="AF40" s="4">
        <f t="shared" si="53"/>
        <v>0.7999999999999998</v>
      </c>
      <c r="AG40" s="4">
        <f t="shared" si="53"/>
        <v>0.7999999999999998</v>
      </c>
      <c r="AH40" s="4">
        <f t="shared" si="53"/>
        <v>0.7999999999999998</v>
      </c>
      <c r="AI40" s="4">
        <f t="shared" si="53"/>
        <v>0.7999999999999998</v>
      </c>
    </row>
    <row r="41" spans="1:35" ht="12.75">
      <c r="A41" t="s">
        <v>18</v>
      </c>
      <c r="B41" s="4">
        <f>+B24/B9</f>
        <v>0.16000000000000003</v>
      </c>
      <c r="C41" s="4">
        <f t="shared" si="51"/>
        <v>0.16000000000000003</v>
      </c>
      <c r="D41" s="4">
        <f t="shared" si="51"/>
        <v>0.16000000000000003</v>
      </c>
      <c r="E41" s="4">
        <f t="shared" si="51"/>
        <v>0.16000000000000003</v>
      </c>
      <c r="F41" s="4">
        <f t="shared" si="51"/>
        <v>0.16000000000000003</v>
      </c>
      <c r="G41" s="4">
        <f t="shared" si="51"/>
        <v>0.16000000000000003</v>
      </c>
      <c r="O41" t="s">
        <v>18</v>
      </c>
      <c r="P41" s="4">
        <f>+P24/P9</f>
        <v>0.16000000000000017</v>
      </c>
      <c r="Q41" s="4">
        <f t="shared" si="52"/>
        <v>0.16000000000000017</v>
      </c>
      <c r="R41" s="4">
        <f t="shared" si="52"/>
        <v>0.16000000000000017</v>
      </c>
      <c r="S41" s="4">
        <f t="shared" si="52"/>
        <v>0.16000000000000017</v>
      </c>
      <c r="T41" s="4">
        <f t="shared" si="52"/>
        <v>0.16000000000000017</v>
      </c>
      <c r="U41" s="4">
        <f t="shared" si="52"/>
        <v>0.16000000000000017</v>
      </c>
      <c r="AC41" t="s">
        <v>18</v>
      </c>
      <c r="AD41" s="4">
        <f>+AD24/AD9</f>
        <v>0.16000000000000014</v>
      </c>
      <c r="AE41" s="4">
        <f t="shared" si="53"/>
        <v>0.16000000000000014</v>
      </c>
      <c r="AF41" s="4">
        <f t="shared" si="53"/>
        <v>0.16000000000000014</v>
      </c>
      <c r="AG41" s="4">
        <f t="shared" si="53"/>
        <v>0.16000000000000014</v>
      </c>
      <c r="AH41" s="4">
        <f t="shared" si="53"/>
        <v>0.16000000000000014</v>
      </c>
      <c r="AI41" s="4">
        <f t="shared" si="53"/>
        <v>0.16000000000000014</v>
      </c>
    </row>
    <row r="42" spans="1:35" ht="12.75">
      <c r="A42" t="s">
        <v>19</v>
      </c>
      <c r="B42" s="4">
        <f>+B13/B9</f>
        <v>0.04</v>
      </c>
      <c r="C42" s="4">
        <f t="shared" si="51"/>
        <v>0.04</v>
      </c>
      <c r="D42" s="4">
        <f t="shared" si="51"/>
        <v>0.04</v>
      </c>
      <c r="E42" s="4">
        <f t="shared" si="51"/>
        <v>0.04</v>
      </c>
      <c r="F42" s="4">
        <f t="shared" si="51"/>
        <v>0.04</v>
      </c>
      <c r="G42" s="4">
        <f t="shared" si="51"/>
        <v>0.04</v>
      </c>
      <c r="O42" t="s">
        <v>19</v>
      </c>
      <c r="P42" s="4">
        <f>+P13/P9</f>
        <v>0.04</v>
      </c>
      <c r="Q42" s="4">
        <f t="shared" si="52"/>
        <v>0.04</v>
      </c>
      <c r="R42" s="4">
        <f t="shared" si="52"/>
        <v>0.04</v>
      </c>
      <c r="S42" s="4">
        <f t="shared" si="52"/>
        <v>0.04</v>
      </c>
      <c r="T42" s="4">
        <f t="shared" si="52"/>
        <v>0.04</v>
      </c>
      <c r="U42" s="4">
        <f t="shared" si="52"/>
        <v>0.04</v>
      </c>
      <c r="AC42" t="s">
        <v>19</v>
      </c>
      <c r="AD42" s="4">
        <f>+AD13/AD9</f>
        <v>0.04</v>
      </c>
      <c r="AE42" s="4">
        <f t="shared" si="53"/>
        <v>0.04</v>
      </c>
      <c r="AF42" s="4">
        <f t="shared" si="53"/>
        <v>0.04</v>
      </c>
      <c r="AG42" s="4">
        <f t="shared" si="53"/>
        <v>0.04</v>
      </c>
      <c r="AH42" s="4">
        <f t="shared" si="53"/>
        <v>0.04</v>
      </c>
      <c r="AI42" s="4">
        <f t="shared" si="53"/>
        <v>0.04</v>
      </c>
    </row>
    <row r="44" spans="2:35" ht="12.75">
      <c r="B44" s="175"/>
      <c r="C44" s="176"/>
      <c r="D44" s="176"/>
      <c r="E44" s="175"/>
      <c r="F44" s="176"/>
      <c r="G44" s="176"/>
      <c r="P44" s="175"/>
      <c r="Q44" s="176"/>
      <c r="R44" s="176"/>
      <c r="S44" s="175"/>
      <c r="T44" s="176"/>
      <c r="U44" s="176"/>
      <c r="AD44" s="175"/>
      <c r="AE44" s="176"/>
      <c r="AF44" s="176"/>
      <c r="AG44" s="175"/>
      <c r="AH44" s="176"/>
      <c r="AI44" s="176"/>
    </row>
    <row r="45" spans="1:35" ht="12.75">
      <c r="A45" s="1" t="s">
        <v>20</v>
      </c>
      <c r="B45" s="5" t="str">
        <f>+'Sensitivity Anal'!B15</f>
        <v>No 1</v>
      </c>
      <c r="C45" s="5" t="str">
        <f>+'Sensitivity Anal'!C15</f>
        <v>No 2</v>
      </c>
      <c r="D45" s="5" t="str">
        <f>+'Sensitivity Anal'!D15</f>
        <v>No 3</v>
      </c>
      <c r="E45" s="5" t="str">
        <f>+'Sensitivity Anal'!F15</f>
        <v>No 4</v>
      </c>
      <c r="F45" s="5" t="str">
        <f>+'Sensitivity Anal'!G15</f>
        <v>No 5</v>
      </c>
      <c r="G45" s="5" t="str">
        <f>+'Sensitivity Anal'!H15</f>
        <v>No 6</v>
      </c>
      <c r="O45" s="1" t="s">
        <v>20</v>
      </c>
      <c r="P45" s="5" t="str">
        <f aca="true" t="shared" si="54" ref="P45:U46">+B45</f>
        <v>No 1</v>
      </c>
      <c r="Q45" s="5" t="str">
        <f t="shared" si="54"/>
        <v>No 2</v>
      </c>
      <c r="R45" s="5" t="str">
        <f t="shared" si="54"/>
        <v>No 3</v>
      </c>
      <c r="S45" s="5" t="str">
        <f t="shared" si="54"/>
        <v>No 4</v>
      </c>
      <c r="T45" s="5" t="str">
        <f t="shared" si="54"/>
        <v>No 5</v>
      </c>
      <c r="U45" s="5" t="str">
        <f t="shared" si="54"/>
        <v>No 6</v>
      </c>
      <c r="AC45" s="1" t="s">
        <v>20</v>
      </c>
      <c r="AD45" s="5" t="str">
        <f>+'Sensitivity Anal'!B15</f>
        <v>No 1</v>
      </c>
      <c r="AE45" s="5" t="s">
        <v>43</v>
      </c>
      <c r="AF45" s="5" t="s">
        <v>44</v>
      </c>
      <c r="AG45" s="5" t="s">
        <v>46</v>
      </c>
      <c r="AH45" s="5" t="s">
        <v>47</v>
      </c>
      <c r="AI45" s="5" t="s">
        <v>48</v>
      </c>
    </row>
    <row r="46" spans="2:35" ht="12.75">
      <c r="B46" s="5" t="str">
        <f>+'Sensitivity Anal'!B16</f>
        <v>10 GP Ln</v>
      </c>
      <c r="C46" s="5" t="str">
        <f>+'Sensitivity Anal'!C16</f>
        <v>4 ET+EB</v>
      </c>
      <c r="D46" s="5" t="str">
        <f>+'Sensitivity Anal'!D16</f>
        <v>4 ET+BRT</v>
      </c>
      <c r="E46" s="5" t="str">
        <f>+'Sensitivity Anal'!F16</f>
        <v>4 HOT+EB</v>
      </c>
      <c r="F46" s="5" t="str">
        <f>+'Sensitivity Anal'!G16</f>
        <v>4 HOT+BRT</v>
      </c>
      <c r="G46" s="5" t="str">
        <f>+'Sensitivity Anal'!H16</f>
        <v>10 H + BRT</v>
      </c>
      <c r="P46" s="5" t="str">
        <f t="shared" si="54"/>
        <v>10 GP Ln</v>
      </c>
      <c r="Q46" s="5" t="str">
        <f t="shared" si="54"/>
        <v>4 ET+EB</v>
      </c>
      <c r="R46" s="5" t="str">
        <f t="shared" si="54"/>
        <v>4 ET+BRT</v>
      </c>
      <c r="S46" s="5" t="str">
        <f t="shared" si="54"/>
        <v>4 HOT+EB</v>
      </c>
      <c r="T46" s="5" t="str">
        <f t="shared" si="54"/>
        <v>4 HOT+BRT</v>
      </c>
      <c r="U46" s="5" t="str">
        <f t="shared" si="54"/>
        <v>10 H + BRT</v>
      </c>
      <c r="AD46" s="7" t="s">
        <v>542</v>
      </c>
      <c r="AE46" s="7" t="s">
        <v>543</v>
      </c>
      <c r="AF46" s="7" t="s">
        <v>544</v>
      </c>
      <c r="AG46" s="7" t="s">
        <v>537</v>
      </c>
      <c r="AH46" s="7" t="s">
        <v>538</v>
      </c>
      <c r="AI46" s="7" t="s">
        <v>536</v>
      </c>
    </row>
    <row r="47" spans="1:29" ht="12.75">
      <c r="A47" t="s">
        <v>31</v>
      </c>
      <c r="O47" t="s">
        <v>31</v>
      </c>
      <c r="AC47" t="s">
        <v>31</v>
      </c>
    </row>
    <row r="48" spans="1:35" ht="12.75">
      <c r="A48" t="s">
        <v>32</v>
      </c>
      <c r="B48">
        <v>-0.017</v>
      </c>
      <c r="C48">
        <v>-0.017</v>
      </c>
      <c r="D48">
        <v>-0.017</v>
      </c>
      <c r="E48">
        <v>-0.017</v>
      </c>
      <c r="F48">
        <v>-0.017</v>
      </c>
      <c r="G48">
        <v>-0.017</v>
      </c>
      <c r="O48" t="s">
        <v>32</v>
      </c>
      <c r="P48">
        <v>-0.017</v>
      </c>
      <c r="Q48">
        <v>-0.017</v>
      </c>
      <c r="R48">
        <v>-0.017</v>
      </c>
      <c r="S48">
        <v>-0.017</v>
      </c>
      <c r="T48">
        <v>-0.017</v>
      </c>
      <c r="U48">
        <v>-0.017</v>
      </c>
      <c r="AC48" t="s">
        <v>32</v>
      </c>
      <c r="AD48">
        <v>-0.017</v>
      </c>
      <c r="AE48">
        <v>-0.017</v>
      </c>
      <c r="AF48">
        <v>-0.017</v>
      </c>
      <c r="AG48">
        <v>-0.017</v>
      </c>
      <c r="AH48">
        <v>-0.017</v>
      </c>
      <c r="AI48">
        <v>-0.017</v>
      </c>
    </row>
    <row r="49" spans="1:35" ht="12.75">
      <c r="A49" t="s">
        <v>33</v>
      </c>
      <c r="B49">
        <v>-0.058</v>
      </c>
      <c r="C49">
        <v>-0.058</v>
      </c>
      <c r="D49">
        <v>-0.058</v>
      </c>
      <c r="E49">
        <v>-0.058</v>
      </c>
      <c r="F49">
        <v>-0.058</v>
      </c>
      <c r="G49">
        <v>-0.058</v>
      </c>
      <c r="O49" t="s">
        <v>33</v>
      </c>
      <c r="P49">
        <v>-0.058</v>
      </c>
      <c r="Q49">
        <v>-0.058</v>
      </c>
      <c r="R49">
        <v>-0.058</v>
      </c>
      <c r="S49">
        <v>-0.058</v>
      </c>
      <c r="T49">
        <v>-0.058</v>
      </c>
      <c r="U49">
        <v>-0.058</v>
      </c>
      <c r="AC49" t="s">
        <v>33</v>
      </c>
      <c r="AD49">
        <v>-0.058</v>
      </c>
      <c r="AE49">
        <v>-0.058</v>
      </c>
      <c r="AF49">
        <v>-0.058</v>
      </c>
      <c r="AG49">
        <v>-0.058</v>
      </c>
      <c r="AH49">
        <v>-0.058</v>
      </c>
      <c r="AI49">
        <v>-0.058</v>
      </c>
    </row>
    <row r="50" spans="1:35" ht="12.75">
      <c r="A50" t="s">
        <v>34</v>
      </c>
      <c r="B50">
        <v>-0.0094</v>
      </c>
      <c r="C50">
        <v>-0.0094</v>
      </c>
      <c r="D50">
        <v>-0.0094</v>
      </c>
      <c r="E50">
        <v>-0.0094</v>
      </c>
      <c r="F50">
        <v>-0.0094</v>
      </c>
      <c r="G50">
        <v>-0.0094</v>
      </c>
      <c r="O50" t="s">
        <v>34</v>
      </c>
      <c r="P50">
        <v>-0.0094</v>
      </c>
      <c r="Q50">
        <v>-0.0094</v>
      </c>
      <c r="R50">
        <v>-0.0094</v>
      </c>
      <c r="S50">
        <v>-0.0094</v>
      </c>
      <c r="T50">
        <v>-0.0094</v>
      </c>
      <c r="U50">
        <v>-0.0094</v>
      </c>
      <c r="AC50" t="s">
        <v>34</v>
      </c>
      <c r="AD50">
        <v>-0.0094</v>
      </c>
      <c r="AE50">
        <v>-0.0094</v>
      </c>
      <c r="AF50">
        <v>-0.0094</v>
      </c>
      <c r="AG50">
        <v>-0.0094</v>
      </c>
      <c r="AH50">
        <v>-0.0094</v>
      </c>
      <c r="AI50">
        <v>-0.0094</v>
      </c>
    </row>
    <row r="51" spans="1:35" ht="12.75">
      <c r="A51" t="s">
        <v>35</v>
      </c>
      <c r="B51">
        <v>-0.0044</v>
      </c>
      <c r="C51">
        <v>-0.0044</v>
      </c>
      <c r="D51">
        <v>-0.0044</v>
      </c>
      <c r="E51">
        <v>-0.0044</v>
      </c>
      <c r="F51">
        <v>-0.0044</v>
      </c>
      <c r="G51">
        <v>-0.0044</v>
      </c>
      <c r="O51" t="s">
        <v>35</v>
      </c>
      <c r="P51">
        <v>-0.0044</v>
      </c>
      <c r="Q51">
        <v>-0.0044</v>
      </c>
      <c r="R51">
        <v>-0.0044</v>
      </c>
      <c r="S51">
        <v>-0.0044</v>
      </c>
      <c r="T51">
        <v>-0.0044</v>
      </c>
      <c r="U51">
        <v>-0.0044</v>
      </c>
      <c r="AC51" t="s">
        <v>35</v>
      </c>
      <c r="AD51">
        <v>-0.0044</v>
      </c>
      <c r="AE51">
        <v>-0.0044</v>
      </c>
      <c r="AF51">
        <v>-0.0044</v>
      </c>
      <c r="AG51">
        <v>-0.0044</v>
      </c>
      <c r="AH51">
        <v>-0.0044</v>
      </c>
      <c r="AI51">
        <v>-0.0044</v>
      </c>
    </row>
    <row r="53" spans="1:29" ht="12.75">
      <c r="A53" t="s">
        <v>36</v>
      </c>
      <c r="O53" t="s">
        <v>36</v>
      </c>
      <c r="AC53" t="s">
        <v>36</v>
      </c>
    </row>
    <row r="54" spans="1:35" ht="12.75">
      <c r="A54" t="s">
        <v>17</v>
      </c>
      <c r="B54" s="1">
        <f>+Inputs!B24</f>
        <v>-6.9</v>
      </c>
      <c r="C54" s="1">
        <f>+Inputs!C24</f>
        <v>-7.9</v>
      </c>
      <c r="D54" s="1">
        <f>+Inputs!D24</f>
        <v>-7.7</v>
      </c>
      <c r="E54" s="1">
        <f>+Inputs!E24</f>
        <v>-6</v>
      </c>
      <c r="F54" s="1">
        <f>+Inputs!F24</f>
        <v>-7</v>
      </c>
      <c r="G54" s="1">
        <f>+Inputs!G24</f>
        <v>-21</v>
      </c>
      <c r="O54" t="s">
        <v>17</v>
      </c>
      <c r="P54" s="1">
        <f>+Inputs!P24</f>
        <v>-6.9</v>
      </c>
      <c r="Q54" s="1">
        <f>+Inputs!Q24</f>
        <v>-7.9</v>
      </c>
      <c r="R54" s="1">
        <f>+Inputs!R24</f>
        <v>-7.7</v>
      </c>
      <c r="S54" s="1">
        <f>+Inputs!S24</f>
        <v>-6</v>
      </c>
      <c r="T54" s="1">
        <f>+Inputs!T24</f>
        <v>-7</v>
      </c>
      <c r="U54" s="1">
        <f>+Inputs!U24</f>
        <v>-21</v>
      </c>
      <c r="AC54" t="s">
        <v>17</v>
      </c>
      <c r="AD54" s="1">
        <f>+Inputs!AD24</f>
        <v>-6.9</v>
      </c>
      <c r="AE54" s="1">
        <f>+Inputs!AE24</f>
        <v>-7.9</v>
      </c>
      <c r="AF54" s="1">
        <f>+Inputs!AF24</f>
        <v>-7.7</v>
      </c>
      <c r="AG54" s="1">
        <f>+Inputs!AG24</f>
        <v>-6</v>
      </c>
      <c r="AH54" s="1">
        <f>+Inputs!AH24</f>
        <v>-7</v>
      </c>
      <c r="AI54" s="1">
        <f>+Inputs!AI24</f>
        <v>-21</v>
      </c>
    </row>
    <row r="55" spans="1:35" ht="12.75">
      <c r="A55" t="s">
        <v>18</v>
      </c>
      <c r="B55" s="1">
        <f>+Inputs!B25</f>
        <v>-6.9</v>
      </c>
      <c r="C55" s="1">
        <f>+Inputs!C25</f>
        <v>-7.9</v>
      </c>
      <c r="D55" s="1">
        <f>+Inputs!D25</f>
        <v>-7.7</v>
      </c>
      <c r="E55" s="1">
        <f>+Inputs!E25</f>
        <v>-30</v>
      </c>
      <c r="F55" s="1">
        <f>+Inputs!F25</f>
        <v>-30</v>
      </c>
      <c r="G55" s="1">
        <f>+Inputs!G25</f>
        <v>-30</v>
      </c>
      <c r="O55" t="s">
        <v>18</v>
      </c>
      <c r="P55" s="1">
        <f>+Inputs!P25</f>
        <v>-6.9</v>
      </c>
      <c r="Q55" s="1">
        <f>+Inputs!Q25</f>
        <v>-7.9</v>
      </c>
      <c r="R55" s="1">
        <f>+Inputs!R25</f>
        <v>-7.7</v>
      </c>
      <c r="S55" s="1">
        <f>+Inputs!S25</f>
        <v>-30</v>
      </c>
      <c r="T55" s="1">
        <f>+Inputs!T25</f>
        <v>-30</v>
      </c>
      <c r="U55" s="1">
        <f>+Inputs!U25</f>
        <v>-30</v>
      </c>
      <c r="AC55" t="s">
        <v>18</v>
      </c>
      <c r="AD55" s="1">
        <f>+Inputs!AD25</f>
        <v>-6.9</v>
      </c>
      <c r="AE55" s="1">
        <f>+Inputs!AE25</f>
        <v>-7.9</v>
      </c>
      <c r="AF55" s="1">
        <f>+Inputs!AF25</f>
        <v>-7.7</v>
      </c>
      <c r="AG55" s="1">
        <f>+Inputs!AG25</f>
        <v>-30</v>
      </c>
      <c r="AH55" s="1">
        <f>+Inputs!AH25</f>
        <v>-30</v>
      </c>
      <c r="AI55" s="1">
        <f>+Inputs!AI25</f>
        <v>-30</v>
      </c>
    </row>
    <row r="56" spans="1:35" ht="12.75">
      <c r="A56" t="s">
        <v>19</v>
      </c>
      <c r="B56" s="1">
        <f>+Inputs!B26</f>
        <v>-6.9</v>
      </c>
      <c r="C56" s="1">
        <f>+Inputs!C26</f>
        <v>-15</v>
      </c>
      <c r="D56" s="1">
        <f>+Inputs!D26</f>
        <v>-30</v>
      </c>
      <c r="E56" s="1">
        <f>+Inputs!E26</f>
        <v>-15</v>
      </c>
      <c r="F56" s="1">
        <f>+Inputs!F26</f>
        <v>-30</v>
      </c>
      <c r="G56" s="1">
        <f>+Inputs!G26</f>
        <v>-30</v>
      </c>
      <c r="O56" t="s">
        <v>19</v>
      </c>
      <c r="P56" s="1">
        <f>+Inputs!P26</f>
        <v>-6.9</v>
      </c>
      <c r="Q56" s="1">
        <f>+Inputs!Q26</f>
        <v>-15</v>
      </c>
      <c r="R56" s="1">
        <f>+Inputs!R26</f>
        <v>-30</v>
      </c>
      <c r="S56" s="1">
        <f>+Inputs!S26</f>
        <v>-15</v>
      </c>
      <c r="T56" s="1">
        <f>+Inputs!T26</f>
        <v>-30</v>
      </c>
      <c r="U56" s="1">
        <f>+Inputs!U26</f>
        <v>-30</v>
      </c>
      <c r="AC56" t="s">
        <v>19</v>
      </c>
      <c r="AD56" s="1">
        <f>+Inputs!AD26</f>
        <v>-6.9</v>
      </c>
      <c r="AE56" s="1">
        <f>+Inputs!AE26</f>
        <v>-15</v>
      </c>
      <c r="AF56" s="1">
        <f>+Inputs!AF26</f>
        <v>-30</v>
      </c>
      <c r="AG56" s="1">
        <f>+Inputs!AG26</f>
        <v>-15</v>
      </c>
      <c r="AH56" s="1">
        <f>+Inputs!AH26</f>
        <v>-30</v>
      </c>
      <c r="AI56" s="1">
        <f>+Inputs!AI26</f>
        <v>-30</v>
      </c>
    </row>
    <row r="57" spans="2:35" ht="12.75">
      <c r="B57" s="1"/>
      <c r="C57" s="1"/>
      <c r="D57" s="1"/>
      <c r="E57" s="1"/>
      <c r="F57" s="1"/>
      <c r="G57" s="1"/>
      <c r="P57" s="1"/>
      <c r="Q57" s="1"/>
      <c r="R57" s="1"/>
      <c r="S57" s="1"/>
      <c r="T57" s="1"/>
      <c r="U57" s="1"/>
      <c r="AD57" s="1"/>
      <c r="AE57" s="1"/>
      <c r="AF57" s="1"/>
      <c r="AG57" s="1"/>
      <c r="AH57" s="1"/>
      <c r="AI57" s="1"/>
    </row>
    <row r="58" spans="1:35" ht="12.75">
      <c r="A58" t="s">
        <v>49</v>
      </c>
      <c r="B58" s="1"/>
      <c r="C58" s="1"/>
      <c r="D58" s="1"/>
      <c r="E58" s="1"/>
      <c r="F58" s="1"/>
      <c r="G58" s="1"/>
      <c r="O58" t="s">
        <v>49</v>
      </c>
      <c r="P58" s="1"/>
      <c r="Q58" s="1"/>
      <c r="R58" s="1"/>
      <c r="S58" s="1"/>
      <c r="T58" s="1"/>
      <c r="U58" s="1"/>
      <c r="AC58" t="s">
        <v>49</v>
      </c>
      <c r="AD58" s="1"/>
      <c r="AE58" s="1"/>
      <c r="AF58" s="1"/>
      <c r="AG58" s="1"/>
      <c r="AH58" s="1"/>
      <c r="AI58" s="1"/>
    </row>
    <row r="59" spans="1:35" ht="12.75">
      <c r="A59" t="s">
        <v>17</v>
      </c>
      <c r="B59" s="1">
        <f>+Inputs!B29</f>
        <v>0</v>
      </c>
      <c r="C59" s="1">
        <f>+Inputs!C29</f>
        <v>0</v>
      </c>
      <c r="D59" s="1">
        <f>+Inputs!D29</f>
        <v>0</v>
      </c>
      <c r="E59" s="1">
        <f>+Inputs!E29</f>
        <v>0</v>
      </c>
      <c r="F59" s="1">
        <f>+Inputs!F29</f>
        <v>0</v>
      </c>
      <c r="G59" s="1">
        <f>+Inputs!G29</f>
        <v>0</v>
      </c>
      <c r="O59" t="s">
        <v>17</v>
      </c>
      <c r="P59" s="1">
        <f>+Inputs!P29</f>
        <v>0</v>
      </c>
      <c r="Q59" s="1">
        <f>+Inputs!Q29</f>
        <v>0</v>
      </c>
      <c r="R59" s="1">
        <f>+Inputs!R29</f>
        <v>0</v>
      </c>
      <c r="S59" s="1">
        <f>+Inputs!S29</f>
        <v>0</v>
      </c>
      <c r="T59" s="1">
        <f>+Inputs!T29</f>
        <v>0</v>
      </c>
      <c r="U59" s="1">
        <f>+Inputs!U29</f>
        <v>0</v>
      </c>
      <c r="AC59" t="s">
        <v>17</v>
      </c>
      <c r="AD59" s="1">
        <f>+Inputs!AD29</f>
        <v>0</v>
      </c>
      <c r="AE59" s="1">
        <f>+Inputs!AE29</f>
        <v>0</v>
      </c>
      <c r="AF59" s="1">
        <f>+Inputs!AF29</f>
        <v>0</v>
      </c>
      <c r="AG59" s="1">
        <f>+Inputs!AG29</f>
        <v>0</v>
      </c>
      <c r="AH59" s="1">
        <f>+Inputs!AH29</f>
        <v>0</v>
      </c>
      <c r="AI59" s="1">
        <f>+Inputs!AI29</f>
        <v>0</v>
      </c>
    </row>
    <row r="60" spans="1:35" ht="12.75">
      <c r="A60" t="s">
        <v>18</v>
      </c>
      <c r="B60" s="1">
        <f>+Inputs!B30</f>
        <v>0</v>
      </c>
      <c r="C60" s="1">
        <f>+Inputs!C30</f>
        <v>0</v>
      </c>
      <c r="D60" s="1">
        <f>+Inputs!D30</f>
        <v>0</v>
      </c>
      <c r="E60" s="1">
        <f>+Inputs!E30</f>
        <v>0</v>
      </c>
      <c r="F60" s="1">
        <f>+Inputs!F30</f>
        <v>0</v>
      </c>
      <c r="G60" s="1">
        <f>+Inputs!G30</f>
        <v>0</v>
      </c>
      <c r="O60" t="s">
        <v>18</v>
      </c>
      <c r="P60" s="1">
        <f>+Inputs!P30</f>
        <v>0</v>
      </c>
      <c r="Q60" s="1">
        <f>+Inputs!Q30</f>
        <v>0</v>
      </c>
      <c r="R60" s="1">
        <f>+Inputs!R30</f>
        <v>0</v>
      </c>
      <c r="S60" s="1">
        <f>+Inputs!S30</f>
        <v>0</v>
      </c>
      <c r="T60" s="1">
        <f>+Inputs!T30</f>
        <v>0</v>
      </c>
      <c r="U60" s="1">
        <f>+Inputs!U30</f>
        <v>0</v>
      </c>
      <c r="AC60" t="s">
        <v>18</v>
      </c>
      <c r="AD60" s="1">
        <f>+Inputs!AD30</f>
        <v>0</v>
      </c>
      <c r="AE60" s="1">
        <f>+Inputs!AE30</f>
        <v>0</v>
      </c>
      <c r="AF60" s="1">
        <f>+Inputs!AF30</f>
        <v>0</v>
      </c>
      <c r="AG60" s="1">
        <f>+Inputs!AG30</f>
        <v>0</v>
      </c>
      <c r="AH60" s="1">
        <f>+Inputs!AH30</f>
        <v>0</v>
      </c>
      <c r="AI60" s="1">
        <f>+Inputs!AI30</f>
        <v>0</v>
      </c>
    </row>
    <row r="61" spans="1:35" ht="12.75">
      <c r="A61" t="s">
        <v>19</v>
      </c>
      <c r="B61" s="1">
        <f>+Inputs!B31</f>
        <v>0</v>
      </c>
      <c r="C61" s="1">
        <f>+Inputs!C31</f>
        <v>0</v>
      </c>
      <c r="D61" s="1">
        <f>+Inputs!D31</f>
        <v>-5</v>
      </c>
      <c r="E61" s="1">
        <f>+Inputs!E31</f>
        <v>0</v>
      </c>
      <c r="F61" s="1">
        <f>+Inputs!F31</f>
        <v>-5</v>
      </c>
      <c r="G61" s="1">
        <f>+Inputs!G31</f>
        <v>-5</v>
      </c>
      <c r="O61" t="s">
        <v>19</v>
      </c>
      <c r="P61" s="1">
        <f>+Inputs!P31</f>
        <v>0</v>
      </c>
      <c r="Q61" s="1">
        <f>+Inputs!Q31</f>
        <v>0</v>
      </c>
      <c r="R61" s="1">
        <f>+Inputs!R31</f>
        <v>-5</v>
      </c>
      <c r="S61" s="1">
        <f>+Inputs!S31</f>
        <v>0</v>
      </c>
      <c r="T61" s="1">
        <f>+Inputs!T31</f>
        <v>-5</v>
      </c>
      <c r="U61" s="1">
        <f>+Inputs!U31</f>
        <v>-5</v>
      </c>
      <c r="AC61" t="s">
        <v>19</v>
      </c>
      <c r="AD61" s="1">
        <f>+Inputs!AD31</f>
        <v>0</v>
      </c>
      <c r="AE61" s="1">
        <f>+Inputs!AE31</f>
        <v>0</v>
      </c>
      <c r="AF61" s="1">
        <f>+Inputs!AF31</f>
        <v>-5</v>
      </c>
      <c r="AG61" s="1">
        <f>+Inputs!AG31</f>
        <v>0</v>
      </c>
      <c r="AH61" s="1">
        <f>+Inputs!AH31</f>
        <v>-5</v>
      </c>
      <c r="AI61" s="1">
        <f>+Inputs!AI31</f>
        <v>-5</v>
      </c>
    </row>
    <row r="62" spans="2:35" ht="12.75">
      <c r="B62" s="1"/>
      <c r="C62" s="1"/>
      <c r="D62" s="1"/>
      <c r="E62" s="1"/>
      <c r="F62" s="1"/>
      <c r="G62" s="1"/>
      <c r="P62" s="1"/>
      <c r="Q62" s="1"/>
      <c r="R62" s="1"/>
      <c r="S62" s="1"/>
      <c r="T62" s="1"/>
      <c r="U62" s="1"/>
      <c r="AD62" s="1"/>
      <c r="AE62" s="1"/>
      <c r="AF62" s="1"/>
      <c r="AG62" s="1"/>
      <c r="AH62" s="1"/>
      <c r="AI62" s="1"/>
    </row>
    <row r="63" spans="1:35" ht="12.75">
      <c r="A63" t="s">
        <v>45</v>
      </c>
      <c r="B63" s="1"/>
      <c r="C63" s="1"/>
      <c r="D63" s="1"/>
      <c r="E63" s="1"/>
      <c r="F63" s="1"/>
      <c r="G63" s="1"/>
      <c r="O63" t="s">
        <v>45</v>
      </c>
      <c r="P63" s="1"/>
      <c r="Q63" s="1"/>
      <c r="R63" s="1"/>
      <c r="S63" s="1"/>
      <c r="T63" s="1"/>
      <c r="U63" s="1"/>
      <c r="AC63" t="s">
        <v>45</v>
      </c>
      <c r="AD63" s="1"/>
      <c r="AE63" s="1"/>
      <c r="AF63" s="1"/>
      <c r="AG63" s="1"/>
      <c r="AH63" s="1"/>
      <c r="AI63" s="1"/>
    </row>
    <row r="64" spans="1:35" ht="12.75">
      <c r="A64" t="s">
        <v>17</v>
      </c>
      <c r="B64" s="1">
        <f>+Inputs!B34/2</f>
        <v>0</v>
      </c>
      <c r="C64" s="1">
        <f>+Inputs!C34/2</f>
        <v>0</v>
      </c>
      <c r="D64" s="1">
        <f>+Inputs!D34/2</f>
        <v>0</v>
      </c>
      <c r="E64" s="1">
        <f>+Inputs!E34/2</f>
        <v>0</v>
      </c>
      <c r="F64" s="1">
        <f>+Inputs!F34/2</f>
        <v>0</v>
      </c>
      <c r="G64" s="1">
        <f>+Inputs!G34/2</f>
        <v>0</v>
      </c>
      <c r="O64" t="s">
        <v>17</v>
      </c>
      <c r="P64" s="1">
        <f>+Inputs!P34/2</f>
        <v>0</v>
      </c>
      <c r="Q64" s="1">
        <f>+Inputs!Q34/2</f>
        <v>0</v>
      </c>
      <c r="R64" s="1">
        <f>+Inputs!R34/2</f>
        <v>0</v>
      </c>
      <c r="S64" s="1">
        <f>+Inputs!S34/2</f>
        <v>0</v>
      </c>
      <c r="T64" s="1">
        <f>+Inputs!T34/2</f>
        <v>0</v>
      </c>
      <c r="U64" s="1">
        <f>+Inputs!U34/2</f>
        <v>0</v>
      </c>
      <c r="AC64" t="s">
        <v>17</v>
      </c>
      <c r="AD64" s="1">
        <f>+Inputs!AD34/2</f>
        <v>0</v>
      </c>
      <c r="AE64" s="1">
        <f>+Inputs!AE34/2</f>
        <v>0</v>
      </c>
      <c r="AF64" s="1">
        <f>+Inputs!AF34/2</f>
        <v>0</v>
      </c>
      <c r="AG64" s="1">
        <f>+Inputs!AG34/2</f>
        <v>0</v>
      </c>
      <c r="AH64" s="1">
        <f>+Inputs!AH34/2</f>
        <v>0</v>
      </c>
      <c r="AI64" s="1">
        <f>+Inputs!AI34/2</f>
        <v>0</v>
      </c>
    </row>
    <row r="65" spans="1:35" ht="12.75">
      <c r="A65" t="s">
        <v>18</v>
      </c>
      <c r="B65" s="1">
        <f>+Inputs!B35/2</f>
        <v>0</v>
      </c>
      <c r="C65" s="1">
        <f>+Inputs!C35/2</f>
        <v>0</v>
      </c>
      <c r="D65" s="1">
        <f>+Inputs!D35/2</f>
        <v>0</v>
      </c>
      <c r="E65" s="1">
        <f>+Inputs!E35/2</f>
        <v>0</v>
      </c>
      <c r="F65" s="1">
        <f>+Inputs!F35/2</f>
        <v>0</v>
      </c>
      <c r="G65" s="1">
        <f>+Inputs!G35/2</f>
        <v>0</v>
      </c>
      <c r="O65" t="s">
        <v>18</v>
      </c>
      <c r="P65" s="1">
        <f>+Inputs!P35/2</f>
        <v>0</v>
      </c>
      <c r="Q65" s="1">
        <f>+Inputs!Q35/2</f>
        <v>0</v>
      </c>
      <c r="R65" s="1">
        <f>+Inputs!R35/2</f>
        <v>0</v>
      </c>
      <c r="S65" s="1">
        <f>+Inputs!S35/2</f>
        <v>0</v>
      </c>
      <c r="T65" s="1">
        <f>+Inputs!T35/2</f>
        <v>0</v>
      </c>
      <c r="U65" s="1">
        <f>+Inputs!U35/2</f>
        <v>0</v>
      </c>
      <c r="AC65" t="s">
        <v>18</v>
      </c>
      <c r="AD65" s="1">
        <f>+Inputs!AD35/2</f>
        <v>0</v>
      </c>
      <c r="AE65" s="1">
        <f>+Inputs!AE35/2</f>
        <v>0</v>
      </c>
      <c r="AF65" s="1">
        <f>+Inputs!AF35/2</f>
        <v>0</v>
      </c>
      <c r="AG65" s="1">
        <f>+Inputs!AG35/2</f>
        <v>0</v>
      </c>
      <c r="AH65" s="1">
        <f>+Inputs!AH35/2</f>
        <v>0</v>
      </c>
      <c r="AI65" s="1">
        <f>+Inputs!AI35/2</f>
        <v>0</v>
      </c>
    </row>
    <row r="66" spans="1:35" ht="12.75">
      <c r="A66" t="s">
        <v>19</v>
      </c>
      <c r="B66" s="1">
        <f>+Inputs!B36/2</f>
        <v>0</v>
      </c>
      <c r="C66" s="1">
        <f>+Inputs!C36/2</f>
        <v>0</v>
      </c>
      <c r="D66" s="1">
        <f>+Inputs!D36/2</f>
        <v>0</v>
      </c>
      <c r="E66" s="1">
        <f>+Inputs!E36/2</f>
        <v>0</v>
      </c>
      <c r="F66" s="1">
        <f>+Inputs!F36/2</f>
        <v>0</v>
      </c>
      <c r="G66" s="1">
        <f>+Inputs!G36/2</f>
        <v>-50</v>
      </c>
      <c r="O66" t="s">
        <v>19</v>
      </c>
      <c r="P66" s="1">
        <f>+Inputs!P36/2</f>
        <v>0</v>
      </c>
      <c r="Q66" s="1">
        <f>+Inputs!Q36/2</f>
        <v>0</v>
      </c>
      <c r="R66" s="1">
        <f>+Inputs!R36/2</f>
        <v>0</v>
      </c>
      <c r="S66" s="1">
        <f>+Inputs!S36/2</f>
        <v>0</v>
      </c>
      <c r="T66" s="1">
        <f>+Inputs!T36/2</f>
        <v>0</v>
      </c>
      <c r="U66" s="1">
        <f>+Inputs!U36/2</f>
        <v>-50</v>
      </c>
      <c r="AC66" t="s">
        <v>19</v>
      </c>
      <c r="AD66" s="1">
        <f>+Inputs!AD36/2</f>
        <v>0</v>
      </c>
      <c r="AE66" s="1">
        <f>+Inputs!AE36/2</f>
        <v>0</v>
      </c>
      <c r="AF66" s="1">
        <f>+Inputs!AF36/2</f>
        <v>0</v>
      </c>
      <c r="AG66" s="1">
        <f>+Inputs!AG36/2</f>
        <v>0</v>
      </c>
      <c r="AH66" s="1">
        <f>+Inputs!AH36/2</f>
        <v>0</v>
      </c>
      <c r="AI66" s="1">
        <f>+Inputs!AI36/2</f>
        <v>-50</v>
      </c>
    </row>
    <row r="68" spans="1:29" ht="12.75">
      <c r="A68" t="s">
        <v>37</v>
      </c>
      <c r="O68" t="s">
        <v>37</v>
      </c>
      <c r="AC68" t="s">
        <v>37</v>
      </c>
    </row>
    <row r="69" spans="1:35" ht="12.75">
      <c r="A69" t="s">
        <v>17</v>
      </c>
      <c r="B69">
        <f aca="true" t="shared" si="55" ref="B69:G69">(B48*B54)+(B49*B59)+(B51*B64)</f>
        <v>0.11730000000000002</v>
      </c>
      <c r="C69">
        <f t="shared" si="55"/>
        <v>0.1343</v>
      </c>
      <c r="D69">
        <f t="shared" si="55"/>
        <v>0.13090000000000002</v>
      </c>
      <c r="E69">
        <f t="shared" si="55"/>
        <v>0.10200000000000001</v>
      </c>
      <c r="F69">
        <f t="shared" si="55"/>
        <v>0.11900000000000001</v>
      </c>
      <c r="G69">
        <f t="shared" si="55"/>
        <v>0.35700000000000004</v>
      </c>
      <c r="O69" t="s">
        <v>17</v>
      </c>
      <c r="P69">
        <f aca="true" t="shared" si="56" ref="P69:U69">(P48*P54)+(P49*P59)+(P51*P64)</f>
        <v>0.11730000000000002</v>
      </c>
      <c r="Q69">
        <f t="shared" si="56"/>
        <v>0.1343</v>
      </c>
      <c r="R69">
        <f t="shared" si="56"/>
        <v>0.13090000000000002</v>
      </c>
      <c r="S69">
        <f t="shared" si="56"/>
        <v>0.10200000000000001</v>
      </c>
      <c r="T69">
        <f t="shared" si="56"/>
        <v>0.11900000000000001</v>
      </c>
      <c r="U69">
        <f t="shared" si="56"/>
        <v>0.35700000000000004</v>
      </c>
      <c r="AC69" t="s">
        <v>17</v>
      </c>
      <c r="AD69">
        <f aca="true" t="shared" si="57" ref="AD69:AI69">(AD48*AD54)+(AD49*AD59)+(AD51*AD64)</f>
        <v>0.11730000000000002</v>
      </c>
      <c r="AE69">
        <f t="shared" si="57"/>
        <v>0.1343</v>
      </c>
      <c r="AF69">
        <f t="shared" si="57"/>
        <v>0.13090000000000002</v>
      </c>
      <c r="AG69">
        <f t="shared" si="57"/>
        <v>0.10200000000000001</v>
      </c>
      <c r="AH69">
        <f t="shared" si="57"/>
        <v>0.11900000000000001</v>
      </c>
      <c r="AI69">
        <f t="shared" si="57"/>
        <v>0.35700000000000004</v>
      </c>
    </row>
    <row r="70" spans="1:35" ht="12.75">
      <c r="A70" t="s">
        <v>18</v>
      </c>
      <c r="B70">
        <f aca="true" t="shared" si="58" ref="B70:G70">(B48*B55)+(B49*B60)+(B51*B65)</f>
        <v>0.11730000000000002</v>
      </c>
      <c r="C70">
        <f t="shared" si="58"/>
        <v>0.1343</v>
      </c>
      <c r="D70">
        <f t="shared" si="58"/>
        <v>0.13090000000000002</v>
      </c>
      <c r="E70">
        <f t="shared" si="58"/>
        <v>0.51</v>
      </c>
      <c r="F70">
        <f t="shared" si="58"/>
        <v>0.51</v>
      </c>
      <c r="G70">
        <f t="shared" si="58"/>
        <v>0.51</v>
      </c>
      <c r="O70" t="s">
        <v>18</v>
      </c>
      <c r="P70">
        <f aca="true" t="shared" si="59" ref="P70:U70">(P48*P55)+(P49*P60)+(P51*P65)</f>
        <v>0.11730000000000002</v>
      </c>
      <c r="Q70">
        <f t="shared" si="59"/>
        <v>0.1343</v>
      </c>
      <c r="R70">
        <f t="shared" si="59"/>
        <v>0.13090000000000002</v>
      </c>
      <c r="S70">
        <f t="shared" si="59"/>
        <v>0.51</v>
      </c>
      <c r="T70">
        <f t="shared" si="59"/>
        <v>0.51</v>
      </c>
      <c r="U70">
        <f t="shared" si="59"/>
        <v>0.51</v>
      </c>
      <c r="AC70" t="s">
        <v>18</v>
      </c>
      <c r="AD70">
        <f aca="true" t="shared" si="60" ref="AD70:AI70">(AD48*AD55)+(AD49*AD60)+(AD51*AD65)</f>
        <v>0.11730000000000002</v>
      </c>
      <c r="AE70">
        <f t="shared" si="60"/>
        <v>0.1343</v>
      </c>
      <c r="AF70">
        <f t="shared" si="60"/>
        <v>0.13090000000000002</v>
      </c>
      <c r="AG70">
        <f t="shared" si="60"/>
        <v>0.51</v>
      </c>
      <c r="AH70">
        <f t="shared" si="60"/>
        <v>0.51</v>
      </c>
      <c r="AI70">
        <f t="shared" si="60"/>
        <v>0.51</v>
      </c>
    </row>
    <row r="71" spans="1:35" ht="12.75">
      <c r="A71" t="s">
        <v>19</v>
      </c>
      <c r="B71">
        <f aca="true" t="shared" si="61" ref="B71:G71">(B48*B56)+(B49*B61)+(B51*B66)</f>
        <v>0.11730000000000002</v>
      </c>
      <c r="C71">
        <f t="shared" si="61"/>
        <v>0.255</v>
      </c>
      <c r="D71">
        <f t="shared" si="61"/>
        <v>0.8</v>
      </c>
      <c r="E71">
        <f t="shared" si="61"/>
        <v>0.255</v>
      </c>
      <c r="F71">
        <f t="shared" si="61"/>
        <v>0.8</v>
      </c>
      <c r="G71">
        <f t="shared" si="61"/>
        <v>1.02</v>
      </c>
      <c r="O71" t="s">
        <v>19</v>
      </c>
      <c r="P71">
        <f aca="true" t="shared" si="62" ref="P71:U71">(P48*P56)+(P49*P61)+(P51*P66)</f>
        <v>0.11730000000000002</v>
      </c>
      <c r="Q71">
        <f t="shared" si="62"/>
        <v>0.255</v>
      </c>
      <c r="R71">
        <f t="shared" si="62"/>
        <v>0.8</v>
      </c>
      <c r="S71">
        <f t="shared" si="62"/>
        <v>0.255</v>
      </c>
      <c r="T71">
        <f t="shared" si="62"/>
        <v>0.8</v>
      </c>
      <c r="U71">
        <f t="shared" si="62"/>
        <v>1.02</v>
      </c>
      <c r="AC71" t="s">
        <v>19</v>
      </c>
      <c r="AD71">
        <f aca="true" t="shared" si="63" ref="AD71:AI71">(AD48*AD56)+(AD49*AD61)+(AD51*AD66)</f>
        <v>0.11730000000000002</v>
      </c>
      <c r="AE71">
        <f t="shared" si="63"/>
        <v>0.255</v>
      </c>
      <c r="AF71">
        <f t="shared" si="63"/>
        <v>0.8</v>
      </c>
      <c r="AG71">
        <f t="shared" si="63"/>
        <v>0.255</v>
      </c>
      <c r="AH71">
        <f t="shared" si="63"/>
        <v>0.8</v>
      </c>
      <c r="AI71">
        <f t="shared" si="63"/>
        <v>1.02</v>
      </c>
    </row>
    <row r="73" spans="1:29" ht="12.75">
      <c r="A73" t="s">
        <v>38</v>
      </c>
      <c r="O73" t="s">
        <v>38</v>
      </c>
      <c r="AC73" t="s">
        <v>38</v>
      </c>
    </row>
    <row r="74" spans="1:35" ht="12.75">
      <c r="A74" t="s">
        <v>17</v>
      </c>
      <c r="B74" s="6">
        <f aca="true" t="shared" si="64" ref="B74:G76">EXP(B69)</f>
        <v>1.1244567161098773</v>
      </c>
      <c r="C74" s="6">
        <f t="shared" si="64"/>
        <v>1.1437358889483629</v>
      </c>
      <c r="D74" s="6">
        <f t="shared" si="64"/>
        <v>1.139853790233508</v>
      </c>
      <c r="E74" s="6">
        <f t="shared" si="64"/>
        <v>1.1073834717279334</v>
      </c>
      <c r="F74" s="6">
        <f t="shared" si="64"/>
        <v>1.1263699182883529</v>
      </c>
      <c r="G74" s="6">
        <f t="shared" si="64"/>
        <v>1.429035869853877</v>
      </c>
      <c r="O74" t="s">
        <v>17</v>
      </c>
      <c r="P74" s="6">
        <f aca="true" t="shared" si="65" ref="P74:U76">EXP(P69)</f>
        <v>1.1244567161098773</v>
      </c>
      <c r="Q74" s="6">
        <f t="shared" si="65"/>
        <v>1.1437358889483629</v>
      </c>
      <c r="R74" s="6">
        <f t="shared" si="65"/>
        <v>1.139853790233508</v>
      </c>
      <c r="S74" s="6">
        <f t="shared" si="65"/>
        <v>1.1073834717279334</v>
      </c>
      <c r="T74" s="6">
        <f t="shared" si="65"/>
        <v>1.1263699182883529</v>
      </c>
      <c r="U74" s="6">
        <f t="shared" si="65"/>
        <v>1.429035869853877</v>
      </c>
      <c r="AC74" t="s">
        <v>17</v>
      </c>
      <c r="AD74" s="6">
        <f aca="true" t="shared" si="66" ref="AD74:AI76">EXP(AD69)</f>
        <v>1.1244567161098773</v>
      </c>
      <c r="AE74" s="6">
        <f t="shared" si="66"/>
        <v>1.1437358889483629</v>
      </c>
      <c r="AF74" s="6">
        <f t="shared" si="66"/>
        <v>1.139853790233508</v>
      </c>
      <c r="AG74" s="6">
        <f t="shared" si="66"/>
        <v>1.1073834717279334</v>
      </c>
      <c r="AH74" s="6">
        <f t="shared" si="66"/>
        <v>1.1263699182883529</v>
      </c>
      <c r="AI74" s="6">
        <f t="shared" si="66"/>
        <v>1.429035869853877</v>
      </c>
    </row>
    <row r="75" spans="1:35" ht="12.75">
      <c r="A75" t="s">
        <v>18</v>
      </c>
      <c r="B75" s="6">
        <f t="shared" si="64"/>
        <v>1.1244567161098773</v>
      </c>
      <c r="C75" s="6">
        <f t="shared" si="64"/>
        <v>1.1437358889483629</v>
      </c>
      <c r="D75" s="6">
        <f t="shared" si="64"/>
        <v>1.139853790233508</v>
      </c>
      <c r="E75" s="6">
        <f t="shared" si="64"/>
        <v>1.6652911949458864</v>
      </c>
      <c r="F75" s="6">
        <f t="shared" si="64"/>
        <v>1.6652911949458864</v>
      </c>
      <c r="G75" s="6">
        <f t="shared" si="64"/>
        <v>1.6652911949458864</v>
      </c>
      <c r="O75" t="s">
        <v>18</v>
      </c>
      <c r="P75" s="6">
        <f t="shared" si="65"/>
        <v>1.1244567161098773</v>
      </c>
      <c r="Q75" s="6">
        <f t="shared" si="65"/>
        <v>1.1437358889483629</v>
      </c>
      <c r="R75" s="6">
        <f t="shared" si="65"/>
        <v>1.139853790233508</v>
      </c>
      <c r="S75" s="6">
        <f t="shared" si="65"/>
        <v>1.6652911949458864</v>
      </c>
      <c r="T75" s="6">
        <f t="shared" si="65"/>
        <v>1.6652911949458864</v>
      </c>
      <c r="U75" s="6">
        <f t="shared" si="65"/>
        <v>1.6652911949458864</v>
      </c>
      <c r="AC75" t="s">
        <v>18</v>
      </c>
      <c r="AD75" s="6">
        <f t="shared" si="66"/>
        <v>1.1244567161098773</v>
      </c>
      <c r="AE75" s="6">
        <f t="shared" si="66"/>
        <v>1.1437358889483629</v>
      </c>
      <c r="AF75" s="6">
        <f t="shared" si="66"/>
        <v>1.139853790233508</v>
      </c>
      <c r="AG75" s="6">
        <f t="shared" si="66"/>
        <v>1.6652911949458864</v>
      </c>
      <c r="AH75" s="6">
        <f t="shared" si="66"/>
        <v>1.6652911949458864</v>
      </c>
      <c r="AI75" s="6">
        <f t="shared" si="66"/>
        <v>1.6652911949458864</v>
      </c>
    </row>
    <row r="76" spans="1:35" ht="12.75">
      <c r="A76" t="s">
        <v>19</v>
      </c>
      <c r="B76" s="6">
        <f t="shared" si="64"/>
        <v>1.1244567161098773</v>
      </c>
      <c r="C76" s="6">
        <f t="shared" si="64"/>
        <v>1.2904616208728898</v>
      </c>
      <c r="D76" s="6">
        <f t="shared" si="64"/>
        <v>2.225540928492468</v>
      </c>
      <c r="E76" s="6">
        <f t="shared" si="64"/>
        <v>1.2904616208728898</v>
      </c>
      <c r="F76" s="6">
        <f t="shared" si="64"/>
        <v>2.225540928492468</v>
      </c>
      <c r="G76" s="6">
        <f t="shared" si="64"/>
        <v>2.7731947639642978</v>
      </c>
      <c r="O76" t="s">
        <v>19</v>
      </c>
      <c r="P76" s="6">
        <f t="shared" si="65"/>
        <v>1.1244567161098773</v>
      </c>
      <c r="Q76" s="6">
        <f t="shared" si="65"/>
        <v>1.2904616208728898</v>
      </c>
      <c r="R76" s="6">
        <f t="shared" si="65"/>
        <v>2.225540928492468</v>
      </c>
      <c r="S76" s="6">
        <f t="shared" si="65"/>
        <v>1.2904616208728898</v>
      </c>
      <c r="T76" s="6">
        <f t="shared" si="65"/>
        <v>2.225540928492468</v>
      </c>
      <c r="U76" s="6">
        <f t="shared" si="65"/>
        <v>2.7731947639642978</v>
      </c>
      <c r="AC76" t="s">
        <v>19</v>
      </c>
      <c r="AD76" s="6">
        <f t="shared" si="66"/>
        <v>1.1244567161098773</v>
      </c>
      <c r="AE76" s="6">
        <f t="shared" si="66"/>
        <v>1.2904616208728898</v>
      </c>
      <c r="AF76" s="6">
        <f t="shared" si="66"/>
        <v>2.225540928492468</v>
      </c>
      <c r="AG76" s="6">
        <f t="shared" si="66"/>
        <v>1.2904616208728898</v>
      </c>
      <c r="AH76" s="6">
        <f t="shared" si="66"/>
        <v>2.225540928492468</v>
      </c>
      <c r="AI76" s="6">
        <f t="shared" si="66"/>
        <v>2.7731947639642978</v>
      </c>
    </row>
    <row r="78" spans="1:29" ht="12.75">
      <c r="A78" t="s">
        <v>39</v>
      </c>
      <c r="O78" t="s">
        <v>39</v>
      </c>
      <c r="AC78" t="s">
        <v>39</v>
      </c>
    </row>
    <row r="79" spans="1:35" ht="12.75">
      <c r="A79" t="s">
        <v>17</v>
      </c>
      <c r="B79" s="4">
        <f aca="true" t="shared" si="67" ref="B79:G81">+B40*B74</f>
        <v>0.8995653728879018</v>
      </c>
      <c r="C79" s="4">
        <f t="shared" si="67"/>
        <v>0.9149887111586903</v>
      </c>
      <c r="D79" s="4">
        <f t="shared" si="67"/>
        <v>0.9118830321868064</v>
      </c>
      <c r="E79" s="4">
        <f t="shared" si="67"/>
        <v>0.8859067773823468</v>
      </c>
      <c r="F79" s="4">
        <f t="shared" si="67"/>
        <v>0.9010959346306824</v>
      </c>
      <c r="G79" s="4">
        <f t="shared" si="67"/>
        <v>1.1432286958831017</v>
      </c>
      <c r="O79" t="s">
        <v>17</v>
      </c>
      <c r="P79" s="4">
        <f aca="true" t="shared" si="68" ref="P79:U81">+P40*P74</f>
        <v>0.8995653728879016</v>
      </c>
      <c r="Q79" s="4">
        <f t="shared" si="68"/>
        <v>0.9149887111586901</v>
      </c>
      <c r="R79" s="4">
        <f t="shared" si="68"/>
        <v>0.9118830321868062</v>
      </c>
      <c r="S79" s="4">
        <f t="shared" si="68"/>
        <v>0.8859067773823465</v>
      </c>
      <c r="T79" s="4">
        <f t="shared" si="68"/>
        <v>0.901095934630682</v>
      </c>
      <c r="U79" s="4">
        <f t="shared" si="68"/>
        <v>1.1432286958831013</v>
      </c>
      <c r="AC79" t="s">
        <v>17</v>
      </c>
      <c r="AD79" s="4">
        <f aca="true" t="shared" si="69" ref="AD79:AI81">+AD40*AD74</f>
        <v>0.8995653728879016</v>
      </c>
      <c r="AE79" s="4">
        <f t="shared" si="69"/>
        <v>0.9149887111586901</v>
      </c>
      <c r="AF79" s="4">
        <f t="shared" si="69"/>
        <v>0.9118830321868062</v>
      </c>
      <c r="AG79" s="4">
        <f t="shared" si="69"/>
        <v>0.8859067773823465</v>
      </c>
      <c r="AH79" s="4">
        <f t="shared" si="69"/>
        <v>0.901095934630682</v>
      </c>
      <c r="AI79" s="4">
        <f t="shared" si="69"/>
        <v>1.1432286958831013</v>
      </c>
    </row>
    <row r="80" spans="1:35" ht="12.75">
      <c r="A80" t="s">
        <v>18</v>
      </c>
      <c r="B80" s="4">
        <f t="shared" si="67"/>
        <v>0.1799130745775804</v>
      </c>
      <c r="C80" s="4">
        <f t="shared" si="67"/>
        <v>0.1829977422317381</v>
      </c>
      <c r="D80" s="4">
        <f t="shared" si="67"/>
        <v>0.1823766064373613</v>
      </c>
      <c r="E80" s="4">
        <f t="shared" si="67"/>
        <v>0.2664465911913419</v>
      </c>
      <c r="F80" s="4">
        <f t="shared" si="67"/>
        <v>0.2664465911913419</v>
      </c>
      <c r="G80" s="4">
        <f t="shared" si="67"/>
        <v>0.2664465911913419</v>
      </c>
      <c r="O80" t="s">
        <v>18</v>
      </c>
      <c r="P80" s="4">
        <f t="shared" si="68"/>
        <v>0.17991307457758055</v>
      </c>
      <c r="Q80" s="4">
        <f t="shared" si="68"/>
        <v>0.18299774223173826</v>
      </c>
      <c r="R80" s="4">
        <f t="shared" si="68"/>
        <v>0.18237660643736148</v>
      </c>
      <c r="S80" s="4">
        <f t="shared" si="68"/>
        <v>0.2664465911913421</v>
      </c>
      <c r="T80" s="4">
        <f t="shared" si="68"/>
        <v>0.2664465911913421</v>
      </c>
      <c r="U80" s="4">
        <f t="shared" si="68"/>
        <v>0.2664465911913421</v>
      </c>
      <c r="AC80" t="s">
        <v>18</v>
      </c>
      <c r="AD80" s="4">
        <f t="shared" si="69"/>
        <v>0.17991307457758052</v>
      </c>
      <c r="AE80" s="4">
        <f t="shared" si="69"/>
        <v>0.18299774223173823</v>
      </c>
      <c r="AF80" s="4">
        <f t="shared" si="69"/>
        <v>0.18237660643736145</v>
      </c>
      <c r="AG80" s="4">
        <f t="shared" si="69"/>
        <v>0.26644659119134206</v>
      </c>
      <c r="AH80" s="4">
        <f t="shared" si="69"/>
        <v>0.26644659119134206</v>
      </c>
      <c r="AI80" s="4">
        <f t="shared" si="69"/>
        <v>0.26644659119134206</v>
      </c>
    </row>
    <row r="81" spans="1:35" ht="12.75">
      <c r="A81" t="s">
        <v>19</v>
      </c>
      <c r="B81" s="4">
        <f t="shared" si="67"/>
        <v>0.044978268644395095</v>
      </c>
      <c r="C81" s="4">
        <f t="shared" si="67"/>
        <v>0.0516184648349156</v>
      </c>
      <c r="D81" s="4">
        <f t="shared" si="67"/>
        <v>0.08902163713969871</v>
      </c>
      <c r="E81" s="4">
        <f t="shared" si="67"/>
        <v>0.0516184648349156</v>
      </c>
      <c r="F81" s="4">
        <f t="shared" si="67"/>
        <v>0.08902163713969871</v>
      </c>
      <c r="G81" s="4">
        <f t="shared" si="67"/>
        <v>0.11092779055857191</v>
      </c>
      <c r="O81" t="s">
        <v>19</v>
      </c>
      <c r="P81" s="4">
        <f t="shared" si="68"/>
        <v>0.044978268644395095</v>
      </c>
      <c r="Q81" s="4">
        <f t="shared" si="68"/>
        <v>0.0516184648349156</v>
      </c>
      <c r="R81" s="4">
        <f t="shared" si="68"/>
        <v>0.08902163713969871</v>
      </c>
      <c r="S81" s="4">
        <f t="shared" si="68"/>
        <v>0.0516184648349156</v>
      </c>
      <c r="T81" s="4">
        <f t="shared" si="68"/>
        <v>0.08902163713969871</v>
      </c>
      <c r="U81" s="4">
        <f t="shared" si="68"/>
        <v>0.11092779055857191</v>
      </c>
      <c r="AC81" t="s">
        <v>19</v>
      </c>
      <c r="AD81" s="4">
        <f t="shared" si="69"/>
        <v>0.044978268644395095</v>
      </c>
      <c r="AE81" s="4">
        <f t="shared" si="69"/>
        <v>0.0516184648349156</v>
      </c>
      <c r="AF81" s="4">
        <f t="shared" si="69"/>
        <v>0.08902163713969871</v>
      </c>
      <c r="AG81" s="4">
        <f t="shared" si="69"/>
        <v>0.0516184648349156</v>
      </c>
      <c r="AH81" s="4">
        <f t="shared" si="69"/>
        <v>0.08902163713969871</v>
      </c>
      <c r="AI81" s="4">
        <f t="shared" si="69"/>
        <v>0.11092779055857191</v>
      </c>
    </row>
    <row r="82" spans="2:35" ht="12.75">
      <c r="B82" s="4">
        <f aca="true" t="shared" si="70" ref="B82:G82">SUM(B79:B81)</f>
        <v>1.1244567161098773</v>
      </c>
      <c r="C82" s="4">
        <f t="shared" si="70"/>
        <v>1.149604918225344</v>
      </c>
      <c r="D82" s="4">
        <f t="shared" si="70"/>
        <v>1.1832812757638667</v>
      </c>
      <c r="E82" s="4">
        <f t="shared" si="70"/>
        <v>1.2039718334086043</v>
      </c>
      <c r="F82" s="4">
        <f t="shared" si="70"/>
        <v>1.256564162961723</v>
      </c>
      <c r="G82" s="4">
        <f t="shared" si="70"/>
        <v>1.5206030776330155</v>
      </c>
      <c r="P82" s="4">
        <f aca="true" t="shared" si="71" ref="P82:U82">SUM(P79:P81)</f>
        <v>1.1244567161098773</v>
      </c>
      <c r="Q82" s="4">
        <f t="shared" si="71"/>
        <v>1.149604918225344</v>
      </c>
      <c r="R82" s="4">
        <f t="shared" si="71"/>
        <v>1.1832812757638664</v>
      </c>
      <c r="S82" s="4">
        <f t="shared" si="71"/>
        <v>1.2039718334086043</v>
      </c>
      <c r="T82" s="4">
        <f t="shared" si="71"/>
        <v>1.256564162961723</v>
      </c>
      <c r="U82" s="4">
        <f t="shared" si="71"/>
        <v>1.5206030776330153</v>
      </c>
      <c r="AD82" s="4">
        <f aca="true" t="shared" si="72" ref="AD82:AI82">SUM(AD79:AD81)</f>
        <v>1.1244567161098773</v>
      </c>
      <c r="AE82" s="4">
        <f t="shared" si="72"/>
        <v>1.1496049182253438</v>
      </c>
      <c r="AF82" s="4">
        <f t="shared" si="72"/>
        <v>1.1832812757638664</v>
      </c>
      <c r="AG82" s="4">
        <f t="shared" si="72"/>
        <v>1.2039718334086043</v>
      </c>
      <c r="AH82" s="4">
        <f t="shared" si="72"/>
        <v>1.256564162961723</v>
      </c>
      <c r="AI82" s="4">
        <f t="shared" si="72"/>
        <v>1.5206030776330153</v>
      </c>
    </row>
    <row r="83" spans="1:35" ht="12.75">
      <c r="A83" t="s">
        <v>370</v>
      </c>
      <c r="B83" s="4"/>
      <c r="C83" s="4"/>
      <c r="D83" s="4"/>
      <c r="E83" s="4"/>
      <c r="F83" s="4"/>
      <c r="G83" s="4"/>
      <c r="O83" t="s">
        <v>370</v>
      </c>
      <c r="P83" s="4"/>
      <c r="Q83" s="4"/>
      <c r="R83" s="4"/>
      <c r="S83" s="4"/>
      <c r="T83" s="4"/>
      <c r="U83" s="4"/>
      <c r="AC83" t="s">
        <v>370</v>
      </c>
      <c r="AD83" s="4"/>
      <c r="AE83" s="4"/>
      <c r="AF83" s="4"/>
      <c r="AG83" s="4"/>
      <c r="AH83" s="4"/>
      <c r="AI83" s="4"/>
    </row>
    <row r="84" spans="1:35" ht="12.75">
      <c r="A84" t="s">
        <v>17</v>
      </c>
      <c r="B84" s="4">
        <f aca="true" t="shared" si="73" ref="B84:G84">+B79/B82</f>
        <v>0.8</v>
      </c>
      <c r="C84" s="4">
        <f t="shared" si="73"/>
        <v>0.7959157938982785</v>
      </c>
      <c r="D84" s="4">
        <f t="shared" si="73"/>
        <v>0.7706392815166798</v>
      </c>
      <c r="E84" s="4">
        <f t="shared" si="73"/>
        <v>0.7358201851568462</v>
      </c>
      <c r="F84" s="4">
        <f t="shared" si="73"/>
        <v>0.7171109611361177</v>
      </c>
      <c r="G84" s="4">
        <f t="shared" si="73"/>
        <v>0.7518258464021143</v>
      </c>
      <c r="O84" t="s">
        <v>17</v>
      </c>
      <c r="P84" s="4">
        <f aca="true" t="shared" si="74" ref="P84:U84">+P79/P82</f>
        <v>0.7999999999999998</v>
      </c>
      <c r="Q84" s="4">
        <f t="shared" si="74"/>
        <v>0.7959157938982784</v>
      </c>
      <c r="R84" s="4">
        <f t="shared" si="74"/>
        <v>0.7706392815166797</v>
      </c>
      <c r="S84" s="4">
        <f t="shared" si="74"/>
        <v>0.735820185156846</v>
      </c>
      <c r="T84" s="4">
        <f t="shared" si="74"/>
        <v>0.7171109611361174</v>
      </c>
      <c r="U84" s="4">
        <f t="shared" si="74"/>
        <v>0.751825846402114</v>
      </c>
      <c r="AC84" t="s">
        <v>17</v>
      </c>
      <c r="AD84" s="4">
        <f aca="true" t="shared" si="75" ref="AD84:AI84">+AD79/AD82</f>
        <v>0.7999999999999998</v>
      </c>
      <c r="AE84" s="4">
        <f t="shared" si="75"/>
        <v>0.7959157938982785</v>
      </c>
      <c r="AF84" s="4">
        <f t="shared" si="75"/>
        <v>0.7706392815166797</v>
      </c>
      <c r="AG84" s="4">
        <f t="shared" si="75"/>
        <v>0.735820185156846</v>
      </c>
      <c r="AH84" s="4">
        <f t="shared" si="75"/>
        <v>0.7171109611361174</v>
      </c>
      <c r="AI84" s="4">
        <f t="shared" si="75"/>
        <v>0.751825846402114</v>
      </c>
    </row>
    <row r="85" spans="1:35" ht="12.75">
      <c r="A85" t="s">
        <v>18</v>
      </c>
      <c r="B85" s="4">
        <f aca="true" t="shared" si="76" ref="B85:G85">+B80/B82</f>
        <v>0.16000000000000003</v>
      </c>
      <c r="C85" s="4">
        <f t="shared" si="76"/>
        <v>0.15918315877965575</v>
      </c>
      <c r="D85" s="4">
        <f t="shared" si="76"/>
        <v>0.15412785630333597</v>
      </c>
      <c r="E85" s="4">
        <f t="shared" si="76"/>
        <v>0.22130633275447664</v>
      </c>
      <c r="F85" s="4">
        <f t="shared" si="76"/>
        <v>0.2120437611107156</v>
      </c>
      <c r="G85" s="4">
        <f t="shared" si="76"/>
        <v>0.17522428772543</v>
      </c>
      <c r="O85" t="s">
        <v>18</v>
      </c>
      <c r="P85" s="4">
        <f aca="true" t="shared" si="77" ref="P85:U85">+P80/P82</f>
        <v>0.16000000000000017</v>
      </c>
      <c r="Q85" s="4">
        <f t="shared" si="77"/>
        <v>0.1591831587796559</v>
      </c>
      <c r="R85" s="4">
        <f t="shared" si="77"/>
        <v>0.15412785630333614</v>
      </c>
      <c r="S85" s="4">
        <f t="shared" si="77"/>
        <v>0.22130633275447684</v>
      </c>
      <c r="T85" s="4">
        <f t="shared" si="77"/>
        <v>0.21204376111071577</v>
      </c>
      <c r="U85" s="4">
        <f t="shared" si="77"/>
        <v>0.1752242877254302</v>
      </c>
      <c r="AC85" t="s">
        <v>18</v>
      </c>
      <c r="AD85" s="4">
        <f aca="true" t="shared" si="78" ref="AD85:AI85">+AD80/AD82</f>
        <v>0.16000000000000014</v>
      </c>
      <c r="AE85" s="4">
        <f t="shared" si="78"/>
        <v>0.1591831587796559</v>
      </c>
      <c r="AF85" s="4">
        <f t="shared" si="78"/>
        <v>0.1541278563033361</v>
      </c>
      <c r="AG85" s="4">
        <f t="shared" si="78"/>
        <v>0.22130633275447678</v>
      </c>
      <c r="AH85" s="4">
        <f t="shared" si="78"/>
        <v>0.21204376111071574</v>
      </c>
      <c r="AI85" s="4">
        <f t="shared" si="78"/>
        <v>0.17522428772543014</v>
      </c>
    </row>
    <row r="86" spans="1:35" ht="12.75">
      <c r="A86" t="s">
        <v>19</v>
      </c>
      <c r="B86" s="4">
        <f aca="true" t="shared" si="79" ref="B86:G86">+B81/B82</f>
        <v>0.04</v>
      </c>
      <c r="C86" s="4">
        <f t="shared" si="79"/>
        <v>0.04490104732206566</v>
      </c>
      <c r="D86" s="4">
        <f t="shared" si="79"/>
        <v>0.07523286217998408</v>
      </c>
      <c r="E86" s="4">
        <f t="shared" si="79"/>
        <v>0.04287348208867716</v>
      </c>
      <c r="F86" s="4">
        <f t="shared" si="79"/>
        <v>0.07084527775316672</v>
      </c>
      <c r="G86" s="4">
        <f t="shared" si="79"/>
        <v>0.07294986587245576</v>
      </c>
      <c r="O86" t="s">
        <v>19</v>
      </c>
      <c r="P86" s="4">
        <f aca="true" t="shared" si="80" ref="P86:U86">+P81/P82</f>
        <v>0.04</v>
      </c>
      <c r="Q86" s="4">
        <f t="shared" si="80"/>
        <v>0.04490104732206566</v>
      </c>
      <c r="R86" s="4">
        <f t="shared" si="80"/>
        <v>0.0752328621799841</v>
      </c>
      <c r="S86" s="4">
        <f t="shared" si="80"/>
        <v>0.04287348208867716</v>
      </c>
      <c r="T86" s="4">
        <f t="shared" si="80"/>
        <v>0.07084527775316672</v>
      </c>
      <c r="U86" s="4">
        <f t="shared" si="80"/>
        <v>0.07294986587245576</v>
      </c>
      <c r="AC86" t="s">
        <v>19</v>
      </c>
      <c r="AD86" s="4">
        <f aca="true" t="shared" si="81" ref="AD86:AI86">+AD81/AD82</f>
        <v>0.04</v>
      </c>
      <c r="AE86" s="4">
        <f t="shared" si="81"/>
        <v>0.04490104732206567</v>
      </c>
      <c r="AF86" s="4">
        <f t="shared" si="81"/>
        <v>0.0752328621799841</v>
      </c>
      <c r="AG86" s="4">
        <f t="shared" si="81"/>
        <v>0.04287348208867716</v>
      </c>
      <c r="AH86" s="4">
        <f t="shared" si="81"/>
        <v>0.07084527775316672</v>
      </c>
      <c r="AI86" s="4">
        <f t="shared" si="81"/>
        <v>0.07294986587245576</v>
      </c>
    </row>
    <row r="87" spans="2:35" ht="12.75">
      <c r="B87" s="4">
        <f aca="true" t="shared" si="82" ref="B87:G87">SUM(B84:B86)</f>
        <v>1</v>
      </c>
      <c r="C87" s="4">
        <f t="shared" si="82"/>
        <v>0.9999999999999999</v>
      </c>
      <c r="D87" s="4">
        <f t="shared" si="82"/>
        <v>0.9999999999999998</v>
      </c>
      <c r="E87" s="4">
        <f t="shared" si="82"/>
        <v>1</v>
      </c>
      <c r="F87" s="4">
        <f t="shared" si="82"/>
        <v>1</v>
      </c>
      <c r="G87" s="4">
        <f t="shared" si="82"/>
        <v>1</v>
      </c>
      <c r="P87" s="4">
        <f aca="true" t="shared" si="83" ref="P87:U87">SUM(P84:P86)</f>
        <v>1</v>
      </c>
      <c r="Q87" s="4">
        <f t="shared" si="83"/>
        <v>1</v>
      </c>
      <c r="R87" s="4">
        <f t="shared" si="83"/>
        <v>1</v>
      </c>
      <c r="S87" s="4">
        <f t="shared" si="83"/>
        <v>1</v>
      </c>
      <c r="T87" s="4">
        <f t="shared" si="83"/>
        <v>0.9999999999999999</v>
      </c>
      <c r="U87" s="4">
        <f t="shared" si="83"/>
        <v>1</v>
      </c>
      <c r="AD87" s="4">
        <f aca="true" t="shared" si="84" ref="AD87:AI87">SUM(AD84:AD86)</f>
        <v>1</v>
      </c>
      <c r="AE87" s="4">
        <f t="shared" si="84"/>
        <v>1</v>
      </c>
      <c r="AF87" s="4">
        <f t="shared" si="84"/>
        <v>1</v>
      </c>
      <c r="AG87" s="4">
        <f t="shared" si="84"/>
        <v>0.9999999999999999</v>
      </c>
      <c r="AH87" s="4">
        <f t="shared" si="84"/>
        <v>0.9999999999999999</v>
      </c>
      <c r="AI87" s="4">
        <f t="shared" si="84"/>
        <v>0.9999999999999999</v>
      </c>
    </row>
    <row r="88" spans="1:29" ht="12.75">
      <c r="A88" t="s">
        <v>41</v>
      </c>
      <c r="O88" t="s">
        <v>41</v>
      </c>
      <c r="AC88" t="s">
        <v>41</v>
      </c>
    </row>
    <row r="89" spans="1:35" ht="12.75">
      <c r="A89" t="s">
        <v>17</v>
      </c>
      <c r="B89" s="2">
        <f aca="true" t="shared" si="85" ref="B89:G89">+B84*B9</f>
        <v>178000</v>
      </c>
      <c r="C89" s="2">
        <f t="shared" si="85"/>
        <v>177091.26414236697</v>
      </c>
      <c r="D89" s="2">
        <f t="shared" si="85"/>
        <v>171467.24013746125</v>
      </c>
      <c r="E89" s="2">
        <f t="shared" si="85"/>
        <v>163719.99119739828</v>
      </c>
      <c r="F89" s="2">
        <f t="shared" si="85"/>
        <v>159557.1888527862</v>
      </c>
      <c r="G89" s="2">
        <f t="shared" si="85"/>
        <v>167281.25082447042</v>
      </c>
      <c r="O89" t="s">
        <v>17</v>
      </c>
      <c r="P89" s="2">
        <f aca="true" t="shared" si="86" ref="P89:U89">+P84*P9</f>
        <v>183999.99999999997</v>
      </c>
      <c r="Q89" s="2">
        <f t="shared" si="86"/>
        <v>183060.63259660403</v>
      </c>
      <c r="R89" s="2">
        <f t="shared" si="86"/>
        <v>177247.03474883633</v>
      </c>
      <c r="S89" s="2">
        <f t="shared" si="86"/>
        <v>169238.64258607457</v>
      </c>
      <c r="T89" s="2">
        <f t="shared" si="86"/>
        <v>164935.521061307</v>
      </c>
      <c r="U89" s="2">
        <f t="shared" si="86"/>
        <v>172919.94467248622</v>
      </c>
      <c r="AC89" t="s">
        <v>17</v>
      </c>
      <c r="AD89" s="2">
        <f aca="true" t="shared" si="87" ref="AD89:AI89">+AD84*AD9</f>
        <v>159999.99999999997</v>
      </c>
      <c r="AE89" s="2">
        <f t="shared" si="87"/>
        <v>159183.1587796557</v>
      </c>
      <c r="AF89" s="2">
        <f t="shared" si="87"/>
        <v>154127.85630333595</v>
      </c>
      <c r="AG89" s="2">
        <f t="shared" si="87"/>
        <v>147164.0370313692</v>
      </c>
      <c r="AH89" s="2">
        <f t="shared" si="87"/>
        <v>143422.19222722348</v>
      </c>
      <c r="AI89" s="2">
        <f t="shared" si="87"/>
        <v>150365.1692804228</v>
      </c>
    </row>
    <row r="90" spans="1:35" ht="12.75">
      <c r="A90" t="s">
        <v>18</v>
      </c>
      <c r="B90" s="2">
        <f aca="true" t="shared" si="88" ref="B90:G90">+B85*B9</f>
        <v>35600.00000000001</v>
      </c>
      <c r="C90" s="2">
        <f t="shared" si="88"/>
        <v>35418.25282847341</v>
      </c>
      <c r="D90" s="2">
        <f t="shared" si="88"/>
        <v>34293.44802749225</v>
      </c>
      <c r="E90" s="2">
        <f t="shared" si="88"/>
        <v>49240.65903787105</v>
      </c>
      <c r="F90" s="2">
        <f t="shared" si="88"/>
        <v>47179.73684713422</v>
      </c>
      <c r="G90" s="2">
        <f t="shared" si="88"/>
        <v>38987.40401890817</v>
      </c>
      <c r="O90" t="s">
        <v>18</v>
      </c>
      <c r="P90" s="2">
        <f aca="true" t="shared" si="89" ref="P90:U90">+P85*P9</f>
        <v>36800.00000000004</v>
      </c>
      <c r="Q90" s="2">
        <f t="shared" si="89"/>
        <v>36612.12651932085</v>
      </c>
      <c r="R90" s="2">
        <f t="shared" si="89"/>
        <v>35449.40694976731</v>
      </c>
      <c r="S90" s="2">
        <f t="shared" si="89"/>
        <v>50900.45653352967</v>
      </c>
      <c r="T90" s="2">
        <f t="shared" si="89"/>
        <v>48770.06505546463</v>
      </c>
      <c r="U90" s="2">
        <f t="shared" si="89"/>
        <v>40301.58617684894</v>
      </c>
      <c r="AC90" t="s">
        <v>18</v>
      </c>
      <c r="AD90" s="2">
        <f aca="true" t="shared" si="90" ref="AD90:AI90">+AD85*AD9</f>
        <v>32000.00000000003</v>
      </c>
      <c r="AE90" s="2">
        <f t="shared" si="90"/>
        <v>31836.631755931176</v>
      </c>
      <c r="AF90" s="2">
        <f t="shared" si="90"/>
        <v>30825.571260667224</v>
      </c>
      <c r="AG90" s="2">
        <f t="shared" si="90"/>
        <v>44261.26655089536</v>
      </c>
      <c r="AH90" s="2">
        <f t="shared" si="90"/>
        <v>42408.75222214315</v>
      </c>
      <c r="AI90" s="2">
        <f t="shared" si="90"/>
        <v>35044.85754508603</v>
      </c>
    </row>
    <row r="91" spans="1:35" ht="12.75">
      <c r="A91" t="s">
        <v>19</v>
      </c>
      <c r="B91" s="2">
        <f aca="true" t="shared" si="91" ref="B91:G91">+B86*B9</f>
        <v>8900</v>
      </c>
      <c r="C91" s="2">
        <f t="shared" si="91"/>
        <v>9990.483029159608</v>
      </c>
      <c r="D91" s="2">
        <f t="shared" si="91"/>
        <v>16739.311835046457</v>
      </c>
      <c r="E91" s="2">
        <f t="shared" si="91"/>
        <v>9539.349764730669</v>
      </c>
      <c r="F91" s="2">
        <f t="shared" si="91"/>
        <v>15763.074300079596</v>
      </c>
      <c r="G91" s="2">
        <f t="shared" si="91"/>
        <v>16231.345156621408</v>
      </c>
      <c r="O91" t="s">
        <v>19</v>
      </c>
      <c r="P91" s="2">
        <f aca="true" t="shared" si="92" ref="P91:U91">+P86*P9</f>
        <v>9200</v>
      </c>
      <c r="Q91" s="2">
        <f t="shared" si="92"/>
        <v>10327.240884075101</v>
      </c>
      <c r="R91" s="2">
        <f t="shared" si="92"/>
        <v>17303.55830139634</v>
      </c>
      <c r="S91" s="2">
        <f t="shared" si="92"/>
        <v>9860.900880395748</v>
      </c>
      <c r="T91" s="2">
        <f t="shared" si="92"/>
        <v>16294.413883228346</v>
      </c>
      <c r="U91" s="2">
        <f t="shared" si="92"/>
        <v>16778.469150664827</v>
      </c>
      <c r="AC91" t="s">
        <v>19</v>
      </c>
      <c r="AD91" s="2">
        <f aca="true" t="shared" si="93" ref="AD91:AI91">+AD86*AD9</f>
        <v>8000</v>
      </c>
      <c r="AE91" s="2">
        <f t="shared" si="93"/>
        <v>8980.209464413134</v>
      </c>
      <c r="AF91" s="2">
        <f t="shared" si="93"/>
        <v>15046.572435996819</v>
      </c>
      <c r="AG91" s="2">
        <f t="shared" si="93"/>
        <v>8574.696417735431</v>
      </c>
      <c r="AH91" s="2">
        <f t="shared" si="93"/>
        <v>14169.055550633344</v>
      </c>
      <c r="AI91" s="2">
        <f t="shared" si="93"/>
        <v>14589.973174491153</v>
      </c>
    </row>
    <row r="92" spans="1:35" ht="12.75">
      <c r="A92" t="s">
        <v>40</v>
      </c>
      <c r="B92" s="2">
        <f aca="true" t="shared" si="94" ref="B92:G92">SUM(B89:B91)</f>
        <v>222500</v>
      </c>
      <c r="C92" s="2">
        <f t="shared" si="94"/>
        <v>222499.99999999997</v>
      </c>
      <c r="D92" s="2">
        <f t="shared" si="94"/>
        <v>222499.99999999994</v>
      </c>
      <c r="E92" s="2">
        <f t="shared" si="94"/>
        <v>222500</v>
      </c>
      <c r="F92" s="2">
        <f t="shared" si="94"/>
        <v>222500.00000000003</v>
      </c>
      <c r="G92" s="2">
        <f t="shared" si="94"/>
        <v>222500</v>
      </c>
      <c r="O92" t="s">
        <v>40</v>
      </c>
      <c r="P92" s="2">
        <f aca="true" t="shared" si="95" ref="P92:U92">SUM(P89:P91)</f>
        <v>230000</v>
      </c>
      <c r="Q92" s="2">
        <f t="shared" si="95"/>
        <v>230000</v>
      </c>
      <c r="R92" s="2">
        <f t="shared" si="95"/>
        <v>230000</v>
      </c>
      <c r="S92" s="2">
        <f t="shared" si="95"/>
        <v>230000</v>
      </c>
      <c r="T92" s="2">
        <f t="shared" si="95"/>
        <v>229999.99999999997</v>
      </c>
      <c r="U92" s="2">
        <f t="shared" si="95"/>
        <v>230000</v>
      </c>
      <c r="AC92" t="s">
        <v>40</v>
      </c>
      <c r="AD92" s="2">
        <f aca="true" t="shared" si="96" ref="AD92:AI92">SUM(AD89:AD91)</f>
        <v>200000</v>
      </c>
      <c r="AE92" s="2">
        <f t="shared" si="96"/>
        <v>200000.00000000003</v>
      </c>
      <c r="AF92" s="2">
        <f t="shared" si="96"/>
        <v>200000</v>
      </c>
      <c r="AG92" s="2">
        <f t="shared" si="96"/>
        <v>199999.99999999997</v>
      </c>
      <c r="AH92" s="2">
        <f t="shared" si="96"/>
        <v>199999.99999999997</v>
      </c>
      <c r="AI92" s="2">
        <f t="shared" si="96"/>
        <v>199999.99999999997</v>
      </c>
    </row>
    <row r="93" spans="2:35" ht="12.75">
      <c r="B93" s="2"/>
      <c r="C93" s="2"/>
      <c r="D93" s="2"/>
      <c r="E93" s="2"/>
      <c r="F93" s="2"/>
      <c r="G93" s="2"/>
      <c r="P93" s="2"/>
      <c r="Q93" s="2"/>
      <c r="R93" s="2"/>
      <c r="S93" s="2"/>
      <c r="T93" s="2"/>
      <c r="U93" s="2"/>
      <c r="AD93" s="2"/>
      <c r="AE93" s="2"/>
      <c r="AF93" s="2"/>
      <c r="AG93" s="2"/>
      <c r="AH93" s="2"/>
      <c r="AI93" s="2"/>
    </row>
    <row r="94" spans="1:35" ht="12.75">
      <c r="A94" t="s">
        <v>437</v>
      </c>
      <c r="B94" s="2"/>
      <c r="C94" s="2"/>
      <c r="D94" s="2"/>
      <c r="E94" s="2"/>
      <c r="F94" s="2"/>
      <c r="G94" s="2"/>
      <c r="O94" t="s">
        <v>437</v>
      </c>
      <c r="P94" s="2"/>
      <c r="Q94" s="2"/>
      <c r="R94" s="2"/>
      <c r="S94" s="2"/>
      <c r="T94" s="2"/>
      <c r="U94" s="2"/>
      <c r="AC94" t="s">
        <v>437</v>
      </c>
      <c r="AD94" s="2"/>
      <c r="AE94" s="2"/>
      <c r="AF94" s="2"/>
      <c r="AG94" s="2"/>
      <c r="AH94" s="2"/>
      <c r="AI94" s="2"/>
    </row>
    <row r="95" spans="1:35" ht="12.75">
      <c r="A95" t="s">
        <v>17</v>
      </c>
      <c r="B95" s="2">
        <f aca="true" t="shared" si="97" ref="B95:G95">+B89-B25</f>
        <v>0</v>
      </c>
      <c r="C95" s="2">
        <f t="shared" si="97"/>
        <v>-908.7358576330298</v>
      </c>
      <c r="D95" s="2">
        <f t="shared" si="97"/>
        <v>-6532.759862538747</v>
      </c>
      <c r="E95" s="2">
        <f t="shared" si="97"/>
        <v>-14280.008802601718</v>
      </c>
      <c r="F95" s="2">
        <f t="shared" si="97"/>
        <v>-18442.811147213797</v>
      </c>
      <c r="G95" s="2">
        <f t="shared" si="97"/>
        <v>-10718.749175529578</v>
      </c>
      <c r="O95" t="s">
        <v>17</v>
      </c>
      <c r="P95" s="2">
        <f aca="true" t="shared" si="98" ref="P95:U95">+P89-P25</f>
        <v>0</v>
      </c>
      <c r="Q95" s="2">
        <f t="shared" si="98"/>
        <v>-939.3674033959396</v>
      </c>
      <c r="R95" s="2">
        <f t="shared" si="98"/>
        <v>-6752.965251163638</v>
      </c>
      <c r="S95" s="2">
        <f t="shared" si="98"/>
        <v>-14761.357413925405</v>
      </c>
      <c r="T95" s="2">
        <f t="shared" si="98"/>
        <v>-19064.478938692977</v>
      </c>
      <c r="U95" s="2">
        <f t="shared" si="98"/>
        <v>-11080.05532751375</v>
      </c>
      <c r="AC95" t="s">
        <v>17</v>
      </c>
      <c r="AD95" s="2">
        <f aca="true" t="shared" si="99" ref="AD95:AI95">+AD89-AD25</f>
        <v>0</v>
      </c>
      <c r="AE95" s="2">
        <f t="shared" si="99"/>
        <v>-816.8412203442713</v>
      </c>
      <c r="AF95" s="2">
        <f t="shared" si="99"/>
        <v>-5872.143696664018</v>
      </c>
      <c r="AG95" s="2">
        <f t="shared" si="99"/>
        <v>-12835.962968630774</v>
      </c>
      <c r="AH95" s="2">
        <f t="shared" si="99"/>
        <v>-16577.80777277649</v>
      </c>
      <c r="AI95" s="2">
        <f t="shared" si="99"/>
        <v>-9634.830719577178</v>
      </c>
    </row>
    <row r="96" spans="1:35" ht="12.75">
      <c r="A96" t="s">
        <v>18</v>
      </c>
      <c r="B96" s="2">
        <f aca="true" t="shared" si="100" ref="B96:G96">+B90-B24</f>
        <v>0</v>
      </c>
      <c r="C96" s="2">
        <f t="shared" si="100"/>
        <v>-181.74717152660014</v>
      </c>
      <c r="D96" s="2">
        <f t="shared" si="100"/>
        <v>-1306.5519725077538</v>
      </c>
      <c r="E96" s="2">
        <f t="shared" si="100"/>
        <v>13640.659037871046</v>
      </c>
      <c r="F96" s="2">
        <f t="shared" si="100"/>
        <v>11579.736847134212</v>
      </c>
      <c r="G96" s="2">
        <f t="shared" si="100"/>
        <v>3387.4040189081643</v>
      </c>
      <c r="O96" t="s">
        <v>18</v>
      </c>
      <c r="P96" s="2">
        <f aca="true" t="shared" si="101" ref="P96:U96">+P90-P24</f>
        <v>0</v>
      </c>
      <c r="Q96" s="2">
        <f t="shared" si="101"/>
        <v>-187.87348067918356</v>
      </c>
      <c r="R96" s="2">
        <f t="shared" si="101"/>
        <v>-1350.5930502327246</v>
      </c>
      <c r="S96" s="2">
        <f t="shared" si="101"/>
        <v>14100.456533529636</v>
      </c>
      <c r="T96" s="2">
        <f t="shared" si="101"/>
        <v>11970.06505546459</v>
      </c>
      <c r="U96" s="2">
        <f t="shared" si="101"/>
        <v>3501.586176848905</v>
      </c>
      <c r="AC96" t="s">
        <v>18</v>
      </c>
      <c r="AD96" s="2">
        <f aca="true" t="shared" si="102" ref="AD96:AI96">+AD90-AD24</f>
        <v>0</v>
      </c>
      <c r="AE96" s="2">
        <f t="shared" si="102"/>
        <v>-163.36824406885353</v>
      </c>
      <c r="AF96" s="2">
        <f t="shared" si="102"/>
        <v>-1174.428739332805</v>
      </c>
      <c r="AG96" s="2">
        <f t="shared" si="102"/>
        <v>12261.266550895329</v>
      </c>
      <c r="AH96" s="2">
        <f t="shared" si="102"/>
        <v>10408.75222214312</v>
      </c>
      <c r="AI96" s="2">
        <f t="shared" si="102"/>
        <v>3044.8575450860008</v>
      </c>
    </row>
    <row r="97" spans="1:35" ht="12.75">
      <c r="A97" t="s">
        <v>19</v>
      </c>
      <c r="B97" s="2">
        <f aca="true" t="shared" si="103" ref="B97:G97">+B91-B13</f>
        <v>0</v>
      </c>
      <c r="C97" s="2">
        <f t="shared" si="103"/>
        <v>1090.4830291596081</v>
      </c>
      <c r="D97" s="2">
        <f t="shared" si="103"/>
        <v>7839.311835046457</v>
      </c>
      <c r="E97" s="2">
        <f t="shared" si="103"/>
        <v>639.3497647306685</v>
      </c>
      <c r="F97" s="2">
        <f t="shared" si="103"/>
        <v>6863.074300079596</v>
      </c>
      <c r="G97" s="2">
        <f t="shared" si="103"/>
        <v>7331.345156621408</v>
      </c>
      <c r="O97" t="s">
        <v>19</v>
      </c>
      <c r="P97" s="2">
        <f aca="true" t="shared" si="104" ref="P97:U97">+P91-P13</f>
        <v>0</v>
      </c>
      <c r="Q97" s="2">
        <f t="shared" si="104"/>
        <v>1127.2408840751013</v>
      </c>
      <c r="R97" s="2">
        <f t="shared" si="104"/>
        <v>8103.5583013963405</v>
      </c>
      <c r="S97" s="2">
        <f t="shared" si="104"/>
        <v>660.9008803957477</v>
      </c>
      <c r="T97" s="2">
        <f t="shared" si="104"/>
        <v>7094.413883228346</v>
      </c>
      <c r="U97" s="2">
        <f t="shared" si="104"/>
        <v>7578.469150664827</v>
      </c>
      <c r="AC97" t="s">
        <v>19</v>
      </c>
      <c r="AD97" s="2">
        <f aca="true" t="shared" si="105" ref="AD97:AI97">+AD91-AD13</f>
        <v>0</v>
      </c>
      <c r="AE97" s="2">
        <f t="shared" si="105"/>
        <v>980.2094644131339</v>
      </c>
      <c r="AF97" s="2">
        <f t="shared" si="105"/>
        <v>7046.572435996819</v>
      </c>
      <c r="AG97" s="2">
        <f t="shared" si="105"/>
        <v>574.6964177354312</v>
      </c>
      <c r="AH97" s="2">
        <f t="shared" si="105"/>
        <v>6169.055550633344</v>
      </c>
      <c r="AI97" s="2">
        <f t="shared" si="105"/>
        <v>6589.973174491153</v>
      </c>
    </row>
    <row r="98" spans="1:35" ht="12.75">
      <c r="A98" t="s">
        <v>40</v>
      </c>
      <c r="B98" s="2">
        <f aca="true" t="shared" si="106" ref="B98:G98">+B92-B9</f>
        <v>0</v>
      </c>
      <c r="C98" s="2">
        <f t="shared" si="106"/>
        <v>0</v>
      </c>
      <c r="D98" s="2">
        <f t="shared" si="106"/>
        <v>0</v>
      </c>
      <c r="E98" s="2">
        <f t="shared" si="106"/>
        <v>0</v>
      </c>
      <c r="F98" s="2">
        <f t="shared" si="106"/>
        <v>0</v>
      </c>
      <c r="G98" s="2">
        <f t="shared" si="106"/>
        <v>0</v>
      </c>
      <c r="O98" t="s">
        <v>40</v>
      </c>
      <c r="P98" s="2">
        <f aca="true" t="shared" si="107" ref="P98:U98">+P92-P9</f>
        <v>0</v>
      </c>
      <c r="Q98" s="2">
        <f t="shared" si="107"/>
        <v>0</v>
      </c>
      <c r="R98" s="2">
        <f t="shared" si="107"/>
        <v>0</v>
      </c>
      <c r="S98" s="2">
        <f t="shared" si="107"/>
        <v>0</v>
      </c>
      <c r="T98" s="2">
        <f t="shared" si="107"/>
        <v>0</v>
      </c>
      <c r="U98" s="2">
        <f t="shared" si="107"/>
        <v>0</v>
      </c>
      <c r="AC98" t="s">
        <v>40</v>
      </c>
      <c r="AD98" s="2">
        <f aca="true" t="shared" si="108" ref="AD98:AI98">+AD92-AD9</f>
        <v>0</v>
      </c>
      <c r="AE98" s="2">
        <f t="shared" si="108"/>
        <v>0</v>
      </c>
      <c r="AF98" s="2">
        <f t="shared" si="108"/>
        <v>0</v>
      </c>
      <c r="AG98" s="2">
        <f t="shared" si="108"/>
        <v>0</v>
      </c>
      <c r="AH98" s="2">
        <f t="shared" si="108"/>
        <v>0</v>
      </c>
      <c r="AI98" s="2">
        <f t="shared" si="108"/>
        <v>0</v>
      </c>
    </row>
    <row r="99" spans="2:35" ht="12.75">
      <c r="B99" s="2"/>
      <c r="C99" s="2"/>
      <c r="D99" s="2"/>
      <c r="E99" s="2"/>
      <c r="F99" s="2"/>
      <c r="G99" s="2"/>
      <c r="P99" s="2"/>
      <c r="Q99" s="2"/>
      <c r="R99" s="2"/>
      <c r="S99" s="2"/>
      <c r="T99" s="2"/>
      <c r="U99" s="2"/>
      <c r="AD99" s="2"/>
      <c r="AE99" s="2"/>
      <c r="AF99" s="2"/>
      <c r="AG99" s="2"/>
      <c r="AH99" s="2"/>
      <c r="AI99" s="2"/>
    </row>
    <row r="100" spans="1:35" ht="12.75">
      <c r="A100" t="s">
        <v>42</v>
      </c>
      <c r="B100" s="2"/>
      <c r="C100" s="2"/>
      <c r="D100" s="2"/>
      <c r="E100" s="2"/>
      <c r="F100" s="2"/>
      <c r="G100" s="2"/>
      <c r="O100" t="s">
        <v>42</v>
      </c>
      <c r="P100" s="2"/>
      <c r="Q100" s="2"/>
      <c r="R100" s="2"/>
      <c r="S100" s="2"/>
      <c r="T100" s="2"/>
      <c r="U100" s="2"/>
      <c r="AC100" t="s">
        <v>42</v>
      </c>
      <c r="AD100" s="2"/>
      <c r="AE100" s="2"/>
      <c r="AF100" s="2"/>
      <c r="AG100" s="2"/>
      <c r="AH100" s="2"/>
      <c r="AI100" s="2"/>
    </row>
    <row r="101" spans="1:35" ht="12.75">
      <c r="A101" t="s">
        <v>17</v>
      </c>
      <c r="B101" s="2">
        <f aca="true" t="shared" si="109" ref="B101:G101">+B89</f>
        <v>178000</v>
      </c>
      <c r="C101" s="2">
        <f t="shared" si="109"/>
        <v>177091.26414236697</v>
      </c>
      <c r="D101" s="2">
        <f t="shared" si="109"/>
        <v>171467.24013746125</v>
      </c>
      <c r="E101" s="2">
        <f t="shared" si="109"/>
        <v>163719.99119739828</v>
      </c>
      <c r="F101" s="2">
        <f t="shared" si="109"/>
        <v>159557.1888527862</v>
      </c>
      <c r="G101" s="2">
        <f t="shared" si="109"/>
        <v>167281.25082447042</v>
      </c>
      <c r="O101" t="s">
        <v>17</v>
      </c>
      <c r="P101" s="2">
        <f aca="true" t="shared" si="110" ref="P101:U101">+P89</f>
        <v>183999.99999999997</v>
      </c>
      <c r="Q101" s="2">
        <f t="shared" si="110"/>
        <v>183060.63259660403</v>
      </c>
      <c r="R101" s="2">
        <f t="shared" si="110"/>
        <v>177247.03474883633</v>
      </c>
      <c r="S101" s="2">
        <f t="shared" si="110"/>
        <v>169238.64258607457</v>
      </c>
      <c r="T101" s="2">
        <f t="shared" si="110"/>
        <v>164935.521061307</v>
      </c>
      <c r="U101" s="2">
        <f t="shared" si="110"/>
        <v>172919.94467248622</v>
      </c>
      <c r="AC101" t="s">
        <v>17</v>
      </c>
      <c r="AD101" s="2">
        <f aca="true" t="shared" si="111" ref="AD101:AI101">+AD89</f>
        <v>159999.99999999997</v>
      </c>
      <c r="AE101" s="2">
        <f t="shared" si="111"/>
        <v>159183.1587796557</v>
      </c>
      <c r="AF101" s="2">
        <f t="shared" si="111"/>
        <v>154127.85630333595</v>
      </c>
      <c r="AG101" s="2">
        <f t="shared" si="111"/>
        <v>147164.0370313692</v>
      </c>
      <c r="AH101" s="2">
        <f t="shared" si="111"/>
        <v>143422.19222722348</v>
      </c>
      <c r="AI101" s="2">
        <f t="shared" si="111"/>
        <v>150365.1692804228</v>
      </c>
    </row>
    <row r="102" spans="1:35" ht="12.75">
      <c r="A102" t="s">
        <v>18</v>
      </c>
      <c r="B102" s="2">
        <f aca="true" t="shared" si="112" ref="B102:G102">+B90/B22</f>
        <v>16181.818181818184</v>
      </c>
      <c r="C102" s="2">
        <f t="shared" si="112"/>
        <v>16099.205831124274</v>
      </c>
      <c r="D102" s="2">
        <f t="shared" si="112"/>
        <v>15587.930921587387</v>
      </c>
      <c r="E102" s="2">
        <f t="shared" si="112"/>
        <v>22382.11774448684</v>
      </c>
      <c r="F102" s="2">
        <f t="shared" si="112"/>
        <v>21445.334930515553</v>
      </c>
      <c r="G102" s="2">
        <f t="shared" si="112"/>
        <v>17721.547281321895</v>
      </c>
      <c r="O102" t="s">
        <v>18</v>
      </c>
      <c r="P102" s="2">
        <f aca="true" t="shared" si="113" ref="P102:U102">+P90/P22</f>
        <v>16727.272727272742</v>
      </c>
      <c r="Q102" s="2">
        <f t="shared" si="113"/>
        <v>16641.875690600387</v>
      </c>
      <c r="R102" s="2">
        <f t="shared" si="113"/>
        <v>16113.366795348777</v>
      </c>
      <c r="S102" s="2">
        <f t="shared" si="113"/>
        <v>23136.571151604396</v>
      </c>
      <c r="T102" s="2">
        <f t="shared" si="113"/>
        <v>22168.211388847558</v>
      </c>
      <c r="U102" s="2">
        <f t="shared" si="113"/>
        <v>18318.902807658607</v>
      </c>
      <c r="AC102" t="s">
        <v>18</v>
      </c>
      <c r="AD102" s="2">
        <f aca="true" t="shared" si="114" ref="AD102:AI102">+AD90/AD22</f>
        <v>14545.454545454557</v>
      </c>
      <c r="AE102" s="2">
        <f t="shared" si="114"/>
        <v>14471.196252695987</v>
      </c>
      <c r="AF102" s="2">
        <f t="shared" si="114"/>
        <v>14011.623300303283</v>
      </c>
      <c r="AG102" s="2">
        <f t="shared" si="114"/>
        <v>20118.757523134253</v>
      </c>
      <c r="AH102" s="2">
        <f t="shared" si="114"/>
        <v>19276.705555519613</v>
      </c>
      <c r="AI102" s="2">
        <f t="shared" si="114"/>
        <v>15929.48070231183</v>
      </c>
    </row>
    <row r="103" spans="1:35" ht="12.75">
      <c r="A103" t="s">
        <v>19</v>
      </c>
      <c r="B103" s="2">
        <f aca="true" t="shared" si="115" ref="B103:G103">+B91/B14</f>
        <v>445</v>
      </c>
      <c r="C103" s="2">
        <f t="shared" si="115"/>
        <v>499.5241514579804</v>
      </c>
      <c r="D103" s="2">
        <f t="shared" si="115"/>
        <v>836.9655917523229</v>
      </c>
      <c r="E103" s="2">
        <f t="shared" si="115"/>
        <v>476.9674882365334</v>
      </c>
      <c r="F103" s="2">
        <f t="shared" si="115"/>
        <v>788.1537150039798</v>
      </c>
      <c r="G103" s="2">
        <f t="shared" si="115"/>
        <v>811.5672578310704</v>
      </c>
      <c r="O103" t="s">
        <v>19</v>
      </c>
      <c r="P103" s="2">
        <f aca="true" t="shared" si="116" ref="P103:U103">+P91/P14</f>
        <v>460</v>
      </c>
      <c r="Q103" s="2">
        <f t="shared" si="116"/>
        <v>516.3620442037551</v>
      </c>
      <c r="R103" s="2">
        <f t="shared" si="116"/>
        <v>865.177915069817</v>
      </c>
      <c r="S103" s="2">
        <f t="shared" si="116"/>
        <v>493.0450440197874</v>
      </c>
      <c r="T103" s="2">
        <f t="shared" si="116"/>
        <v>814.7206941614173</v>
      </c>
      <c r="U103" s="2">
        <f t="shared" si="116"/>
        <v>838.9234575332414</v>
      </c>
      <c r="AC103" t="s">
        <v>19</v>
      </c>
      <c r="AD103" s="2">
        <f aca="true" t="shared" si="117" ref="AD103:AI103">+AD91/AD14</f>
        <v>400</v>
      </c>
      <c r="AE103" s="2">
        <f t="shared" si="117"/>
        <v>449.0104732206567</v>
      </c>
      <c r="AF103" s="2">
        <f t="shared" si="117"/>
        <v>752.3286217998409</v>
      </c>
      <c r="AG103" s="2">
        <f t="shared" si="117"/>
        <v>428.73482088677156</v>
      </c>
      <c r="AH103" s="2">
        <f t="shared" si="117"/>
        <v>708.4527775316672</v>
      </c>
      <c r="AI103" s="2">
        <f t="shared" si="117"/>
        <v>729.4986587245577</v>
      </c>
    </row>
    <row r="104" spans="1:35" ht="12.75">
      <c r="A104" t="s">
        <v>40</v>
      </c>
      <c r="B104" s="2">
        <f aca="true" t="shared" si="118" ref="B104:G104">SUM(B101:B103)</f>
        <v>194626.81818181818</v>
      </c>
      <c r="C104" s="2">
        <f t="shared" si="118"/>
        <v>193689.9941249492</v>
      </c>
      <c r="D104" s="2">
        <f t="shared" si="118"/>
        <v>187892.13665080097</v>
      </c>
      <c r="E104" s="2">
        <f t="shared" si="118"/>
        <v>186579.07643012164</v>
      </c>
      <c r="F104" s="2">
        <f t="shared" si="118"/>
        <v>181790.67749830574</v>
      </c>
      <c r="G104" s="2">
        <f t="shared" si="118"/>
        <v>185814.3653636234</v>
      </c>
      <c r="O104" t="s">
        <v>40</v>
      </c>
      <c r="P104" s="2">
        <f aca="true" t="shared" si="119" ref="P104:U104">SUM(P101:P103)</f>
        <v>201187.2727272727</v>
      </c>
      <c r="Q104" s="2">
        <f t="shared" si="119"/>
        <v>200218.8703314082</v>
      </c>
      <c r="R104" s="2">
        <f t="shared" si="119"/>
        <v>194225.57945925495</v>
      </c>
      <c r="S104" s="2">
        <f t="shared" si="119"/>
        <v>192868.25878169874</v>
      </c>
      <c r="T104" s="2">
        <f t="shared" si="119"/>
        <v>187918.45314431598</v>
      </c>
      <c r="U104" s="2">
        <f t="shared" si="119"/>
        <v>192077.77093767805</v>
      </c>
      <c r="AC104" t="s">
        <v>40</v>
      </c>
      <c r="AD104" s="2">
        <f aca="true" t="shared" si="120" ref="AD104:AI104">SUM(AD101:AD103)</f>
        <v>174945.45454545453</v>
      </c>
      <c r="AE104" s="2">
        <f t="shared" si="120"/>
        <v>174103.36550557235</v>
      </c>
      <c r="AF104" s="2">
        <f t="shared" si="120"/>
        <v>168891.80822543908</v>
      </c>
      <c r="AG104" s="2">
        <f t="shared" si="120"/>
        <v>167711.52937539024</v>
      </c>
      <c r="AH104" s="2">
        <f t="shared" si="120"/>
        <v>163407.35056027476</v>
      </c>
      <c r="AI104" s="2">
        <f t="shared" si="120"/>
        <v>167024.14864145918</v>
      </c>
    </row>
    <row r="105" spans="2:35" ht="12.75">
      <c r="B105" s="2"/>
      <c r="C105" s="2"/>
      <c r="D105" s="2"/>
      <c r="E105" s="2"/>
      <c r="F105" s="2"/>
      <c r="G105" s="2"/>
      <c r="P105" s="2"/>
      <c r="Q105" s="2"/>
      <c r="R105" s="2"/>
      <c r="S105" s="2"/>
      <c r="T105" s="2"/>
      <c r="U105" s="2"/>
      <c r="AD105" s="2"/>
      <c r="AE105" s="2"/>
      <c r="AF105" s="2"/>
      <c r="AG105" s="2"/>
      <c r="AH105" s="2"/>
      <c r="AI105" s="2"/>
    </row>
    <row r="106" spans="1:35" ht="12.75">
      <c r="A106" t="s">
        <v>378</v>
      </c>
      <c r="B106" s="2"/>
      <c r="C106" s="2"/>
      <c r="D106" s="2"/>
      <c r="E106" s="2"/>
      <c r="F106" s="2"/>
      <c r="G106" s="2"/>
      <c r="O106" t="s">
        <v>378</v>
      </c>
      <c r="P106" s="2"/>
      <c r="Q106" s="2"/>
      <c r="R106" s="2"/>
      <c r="S106" s="2"/>
      <c r="T106" s="2"/>
      <c r="U106" s="2"/>
      <c r="AC106" t="s">
        <v>378</v>
      </c>
      <c r="AD106" s="2"/>
      <c r="AE106" s="2"/>
      <c r="AF106" s="2"/>
      <c r="AG106" s="2"/>
      <c r="AH106" s="2"/>
      <c r="AI106" s="2"/>
    </row>
    <row r="107" spans="1:35" ht="12.75">
      <c r="A107" t="s">
        <v>534</v>
      </c>
      <c r="B107" s="8">
        <f>+Inputs!B38</f>
        <v>2280</v>
      </c>
      <c r="C107" s="8">
        <f>+Inputs!C38</f>
        <v>2280</v>
      </c>
      <c r="D107" s="8">
        <f>+Inputs!D38</f>
        <v>2280</v>
      </c>
      <c r="E107" s="8">
        <f>+Inputs!E38</f>
        <v>2280</v>
      </c>
      <c r="F107" s="8">
        <f>+Inputs!F38</f>
        <v>2280</v>
      </c>
      <c r="G107" s="8">
        <f>+Inputs!G38</f>
        <v>2400</v>
      </c>
      <c r="O107" t="s">
        <v>534</v>
      </c>
      <c r="P107" s="8">
        <f>+Inputs!P38</f>
        <v>2280</v>
      </c>
      <c r="Q107" s="8">
        <f>+Inputs!Q38</f>
        <v>2280</v>
      </c>
      <c r="R107" s="8">
        <f>+Inputs!R38</f>
        <v>2280</v>
      </c>
      <c r="S107" s="8">
        <f>+Inputs!S38</f>
        <v>2280</v>
      </c>
      <c r="T107" s="8">
        <f>+Inputs!T38</f>
        <v>2280</v>
      </c>
      <c r="U107" s="8">
        <f>+Inputs!U38</f>
        <v>2400</v>
      </c>
      <c r="AC107" t="s">
        <v>534</v>
      </c>
      <c r="AD107" s="8">
        <f>+Inputs!AD38</f>
        <v>2280</v>
      </c>
      <c r="AE107" s="8">
        <f>+Inputs!AE38</f>
        <v>2280</v>
      </c>
      <c r="AF107" s="8">
        <f>+Inputs!AF38</f>
        <v>2280</v>
      </c>
      <c r="AG107" s="8">
        <f>+Inputs!AG38</f>
        <v>2280</v>
      </c>
      <c r="AH107" s="8">
        <f>+Inputs!AH38</f>
        <v>2280</v>
      </c>
      <c r="AI107" s="8">
        <f>+Inputs!AI38</f>
        <v>2400</v>
      </c>
    </row>
    <row r="108" spans="1:35" ht="12.75">
      <c r="A108" t="s">
        <v>535</v>
      </c>
      <c r="B108" s="8">
        <f>+Inputs!B39</f>
        <v>2400</v>
      </c>
      <c r="C108" s="8">
        <f>+Inputs!C39</f>
        <v>2310</v>
      </c>
      <c r="D108" s="8">
        <f>+Inputs!D39</f>
        <v>2310</v>
      </c>
      <c r="E108" s="8">
        <f>+Inputs!E39</f>
        <v>2310</v>
      </c>
      <c r="F108" s="8">
        <f>+Inputs!F39</f>
        <v>2310</v>
      </c>
      <c r="G108" s="8">
        <f>+Inputs!G39</f>
        <v>2280</v>
      </c>
      <c r="O108" t="s">
        <v>535</v>
      </c>
      <c r="P108" s="8">
        <f>+Inputs!P39</f>
        <v>2400</v>
      </c>
      <c r="Q108" s="8">
        <f>+Inputs!Q39</f>
        <v>2310</v>
      </c>
      <c r="R108" s="8">
        <f>+Inputs!R39</f>
        <v>2310</v>
      </c>
      <c r="S108" s="8">
        <f>+Inputs!S39</f>
        <v>2310</v>
      </c>
      <c r="T108" s="8">
        <f>+Inputs!T39</f>
        <v>2310</v>
      </c>
      <c r="U108" s="8">
        <f>+Inputs!U39</f>
        <v>2280</v>
      </c>
      <c r="AC108" t="s">
        <v>535</v>
      </c>
      <c r="AD108" s="8">
        <f>+Inputs!AD39</f>
        <v>2400</v>
      </c>
      <c r="AE108" s="8">
        <f>+Inputs!AE39</f>
        <v>2310</v>
      </c>
      <c r="AF108" s="8">
        <f>+Inputs!AF39</f>
        <v>2310</v>
      </c>
      <c r="AG108" s="8">
        <f>+Inputs!AG39</f>
        <v>2310</v>
      </c>
      <c r="AH108" s="8">
        <f>+Inputs!AH39</f>
        <v>2310</v>
      </c>
      <c r="AI108" s="8">
        <f>+Inputs!AI39</f>
        <v>2280</v>
      </c>
    </row>
    <row r="109" spans="1:35" ht="12.75">
      <c r="A109" t="s">
        <v>469</v>
      </c>
      <c r="B109" s="8">
        <f>+Inputs!B40</f>
        <v>1E-08</v>
      </c>
      <c r="C109" s="8">
        <f>+Inputs!C40</f>
        <v>4</v>
      </c>
      <c r="D109" s="8">
        <f>+Inputs!D40</f>
        <v>4</v>
      </c>
      <c r="E109" s="8">
        <f>+Inputs!E40</f>
        <v>4</v>
      </c>
      <c r="F109" s="8">
        <f>+Inputs!F40</f>
        <v>4</v>
      </c>
      <c r="G109" s="8">
        <f>+Inputs!G40</f>
        <v>10</v>
      </c>
      <c r="O109" t="s">
        <v>469</v>
      </c>
      <c r="P109" s="8">
        <f>+Inputs!P40</f>
        <v>1E-08</v>
      </c>
      <c r="Q109" s="8">
        <f>+Inputs!Q40</f>
        <v>4</v>
      </c>
      <c r="R109" s="8">
        <f>+Inputs!R40</f>
        <v>4</v>
      </c>
      <c r="S109" s="8">
        <f>+Inputs!S40</f>
        <v>4</v>
      </c>
      <c r="T109" s="8">
        <f>+Inputs!T40</f>
        <v>4</v>
      </c>
      <c r="U109" s="8">
        <f>+Inputs!U40</f>
        <v>10</v>
      </c>
      <c r="AC109" t="s">
        <v>469</v>
      </c>
      <c r="AD109" s="8">
        <f>+Inputs!AD40</f>
        <v>1E-08</v>
      </c>
      <c r="AE109" s="8">
        <f>+Inputs!AE40</f>
        <v>4</v>
      </c>
      <c r="AF109" s="8">
        <f>+Inputs!AF40</f>
        <v>4</v>
      </c>
      <c r="AG109" s="8">
        <f>+Inputs!AG40</f>
        <v>4</v>
      </c>
      <c r="AH109" s="8">
        <f>+Inputs!AH40</f>
        <v>4</v>
      </c>
      <c r="AI109" s="8">
        <f>+Inputs!AI40</f>
        <v>10</v>
      </c>
    </row>
    <row r="110" spans="1:35" ht="12.75">
      <c r="A110" t="s">
        <v>471</v>
      </c>
      <c r="B110" s="8">
        <f>+Inputs!B41</f>
        <v>10</v>
      </c>
      <c r="C110" s="8">
        <f>+Inputs!C41</f>
        <v>6</v>
      </c>
      <c r="D110" s="8">
        <f>+Inputs!D41</f>
        <v>6</v>
      </c>
      <c r="E110" s="8">
        <f>+Inputs!E41</f>
        <v>6</v>
      </c>
      <c r="F110" s="8">
        <f>+Inputs!F41</f>
        <v>6</v>
      </c>
      <c r="G110" s="8">
        <f>+Inputs!G41</f>
        <v>0.0001</v>
      </c>
      <c r="O110" t="s">
        <v>471</v>
      </c>
      <c r="P110" s="8">
        <f>+Inputs!P41</f>
        <v>10</v>
      </c>
      <c r="Q110" s="8">
        <f>+Inputs!Q41</f>
        <v>6</v>
      </c>
      <c r="R110" s="8">
        <f>+Inputs!R41</f>
        <v>6</v>
      </c>
      <c r="S110" s="8">
        <f>+Inputs!S41</f>
        <v>6</v>
      </c>
      <c r="T110" s="8">
        <f>+Inputs!T41</f>
        <v>6</v>
      </c>
      <c r="U110" s="8">
        <f>+Inputs!U41</f>
        <v>0.0001</v>
      </c>
      <c r="AC110" t="s">
        <v>471</v>
      </c>
      <c r="AD110" s="8">
        <f>+Inputs!AD41</f>
        <v>10</v>
      </c>
      <c r="AE110" s="8">
        <f>+Inputs!AE41</f>
        <v>6</v>
      </c>
      <c r="AF110" s="8">
        <f>+Inputs!AF41</f>
        <v>6</v>
      </c>
      <c r="AG110" s="8">
        <f>+Inputs!AG41</f>
        <v>6</v>
      </c>
      <c r="AH110" s="8">
        <f>+Inputs!AH41</f>
        <v>6</v>
      </c>
      <c r="AI110" s="8">
        <f>+Inputs!AI41</f>
        <v>0.0001</v>
      </c>
    </row>
    <row r="111" spans="1:35" ht="12.75">
      <c r="A111" t="s">
        <v>375</v>
      </c>
      <c r="B111" s="15">
        <f aca="true" t="shared" si="121" ref="B111:G112">+B107*B109</f>
        <v>2.2800000000000002E-05</v>
      </c>
      <c r="C111" s="15">
        <f t="shared" si="121"/>
        <v>9120</v>
      </c>
      <c r="D111" s="15">
        <f t="shared" si="121"/>
        <v>9120</v>
      </c>
      <c r="E111" s="15">
        <f t="shared" si="121"/>
        <v>9120</v>
      </c>
      <c r="F111" s="15">
        <f t="shared" si="121"/>
        <v>9120</v>
      </c>
      <c r="G111" s="15">
        <f t="shared" si="121"/>
        <v>24000</v>
      </c>
      <c r="O111" t="s">
        <v>375</v>
      </c>
      <c r="P111" s="15">
        <f aca="true" t="shared" si="122" ref="P111:U111">+P107*P109</f>
        <v>2.2800000000000002E-05</v>
      </c>
      <c r="Q111" s="15">
        <f t="shared" si="122"/>
        <v>9120</v>
      </c>
      <c r="R111" s="15">
        <f t="shared" si="122"/>
        <v>9120</v>
      </c>
      <c r="S111" s="15">
        <f t="shared" si="122"/>
        <v>9120</v>
      </c>
      <c r="T111" s="15">
        <f t="shared" si="122"/>
        <v>9120</v>
      </c>
      <c r="U111" s="15">
        <f t="shared" si="122"/>
        <v>24000</v>
      </c>
      <c r="AC111" t="s">
        <v>375</v>
      </c>
      <c r="AD111" s="15">
        <f aca="true" t="shared" si="123" ref="AD111:AI111">+AD107*AD109</f>
        <v>2.2800000000000002E-05</v>
      </c>
      <c r="AE111" s="15">
        <f t="shared" si="123"/>
        <v>9120</v>
      </c>
      <c r="AF111" s="15">
        <f t="shared" si="123"/>
        <v>9120</v>
      </c>
      <c r="AG111" s="15">
        <f t="shared" si="123"/>
        <v>9120</v>
      </c>
      <c r="AH111" s="15">
        <f t="shared" si="123"/>
        <v>9120</v>
      </c>
      <c r="AI111" s="15">
        <f t="shared" si="123"/>
        <v>24000</v>
      </c>
    </row>
    <row r="112" spans="1:35" ht="12.75">
      <c r="A112" t="s">
        <v>376</v>
      </c>
      <c r="B112" s="15">
        <f t="shared" si="121"/>
        <v>24000</v>
      </c>
      <c r="C112" s="15">
        <f t="shared" si="121"/>
        <v>13860</v>
      </c>
      <c r="D112" s="15">
        <f t="shared" si="121"/>
        <v>13860</v>
      </c>
      <c r="E112" s="15">
        <f t="shared" si="121"/>
        <v>13860</v>
      </c>
      <c r="F112" s="15">
        <f t="shared" si="121"/>
        <v>13860</v>
      </c>
      <c r="G112" s="15">
        <f t="shared" si="121"/>
        <v>0.228</v>
      </c>
      <c r="O112" t="s">
        <v>376</v>
      </c>
      <c r="P112" s="15">
        <f aca="true" t="shared" si="124" ref="P112:U112">+P108*P110</f>
        <v>24000</v>
      </c>
      <c r="Q112" s="15">
        <f t="shared" si="124"/>
        <v>13860</v>
      </c>
      <c r="R112" s="15">
        <f t="shared" si="124"/>
        <v>13860</v>
      </c>
      <c r="S112" s="15">
        <f t="shared" si="124"/>
        <v>13860</v>
      </c>
      <c r="T112" s="15">
        <f t="shared" si="124"/>
        <v>13860</v>
      </c>
      <c r="U112" s="15">
        <f t="shared" si="124"/>
        <v>0.228</v>
      </c>
      <c r="AC112" t="s">
        <v>376</v>
      </c>
      <c r="AD112" s="15">
        <f aca="true" t="shared" si="125" ref="AD112:AI112">+AD108*AD110</f>
        <v>24000</v>
      </c>
      <c r="AE112" s="15">
        <f t="shared" si="125"/>
        <v>13860</v>
      </c>
      <c r="AF112" s="15">
        <f t="shared" si="125"/>
        <v>13860</v>
      </c>
      <c r="AG112" s="15">
        <f t="shared" si="125"/>
        <v>13860</v>
      </c>
      <c r="AH112" s="15">
        <f t="shared" si="125"/>
        <v>13860</v>
      </c>
      <c r="AI112" s="15">
        <f t="shared" si="125"/>
        <v>0.228</v>
      </c>
    </row>
    <row r="113" spans="1:35" ht="12.75">
      <c r="A113" t="s">
        <v>377</v>
      </c>
      <c r="B113" s="8">
        <f>+Inputs!B19</f>
        <v>4000</v>
      </c>
      <c r="C113" s="8">
        <f>+Inputs!C19</f>
        <v>4000</v>
      </c>
      <c r="D113" s="8">
        <f>+Inputs!D19</f>
        <v>4000</v>
      </c>
      <c r="E113" s="8">
        <f>+Inputs!E19</f>
        <v>4000</v>
      </c>
      <c r="F113" s="8">
        <f>+Inputs!F19</f>
        <v>4000</v>
      </c>
      <c r="G113" s="8">
        <f>+Inputs!G19</f>
        <v>4000</v>
      </c>
      <c r="O113" t="s">
        <v>377</v>
      </c>
      <c r="P113" s="8">
        <f>+Inputs!P19</f>
        <v>4000</v>
      </c>
      <c r="Q113" s="8">
        <f>+Inputs!Q19</f>
        <v>4000</v>
      </c>
      <c r="R113" s="8">
        <f>+Inputs!R19</f>
        <v>4000</v>
      </c>
      <c r="S113" s="8">
        <f>+Inputs!S19</f>
        <v>4000</v>
      </c>
      <c r="T113" s="8">
        <f>+Inputs!T19</f>
        <v>4000</v>
      </c>
      <c r="U113" s="8">
        <f>+Inputs!U19</f>
        <v>4000</v>
      </c>
      <c r="AC113" t="s">
        <v>377</v>
      </c>
      <c r="AD113" s="8">
        <f>+Inputs!AD19</f>
        <v>4000</v>
      </c>
      <c r="AE113" s="8">
        <f>+Inputs!AE19</f>
        <v>4000</v>
      </c>
      <c r="AF113" s="8">
        <f>+Inputs!AF19</f>
        <v>4000</v>
      </c>
      <c r="AG113" s="8">
        <f>+Inputs!AG19</f>
        <v>4000</v>
      </c>
      <c r="AH113" s="8">
        <f>+Inputs!AH19</f>
        <v>4000</v>
      </c>
      <c r="AI113" s="8">
        <f>+Inputs!AI19</f>
        <v>4000</v>
      </c>
    </row>
    <row r="114" spans="2:35" ht="12.75">
      <c r="B114" s="8"/>
      <c r="C114" s="8"/>
      <c r="D114" s="8"/>
      <c r="E114" s="8"/>
      <c r="F114" s="8"/>
      <c r="G114" s="8"/>
      <c r="P114" s="8"/>
      <c r="Q114" s="8"/>
      <c r="R114" s="8"/>
      <c r="S114" s="8"/>
      <c r="T114" s="8"/>
      <c r="U114" s="8"/>
      <c r="AD114" s="8"/>
      <c r="AE114" s="8"/>
      <c r="AF114" s="8"/>
      <c r="AG114" s="8"/>
      <c r="AH114" s="8"/>
      <c r="AI114" s="8"/>
    </row>
    <row r="115" spans="1:35" ht="12.75">
      <c r="A115" t="s">
        <v>379</v>
      </c>
      <c r="B115" s="8"/>
      <c r="C115" s="8"/>
      <c r="D115" s="8"/>
      <c r="E115" s="8"/>
      <c r="F115" s="8"/>
      <c r="G115" s="8"/>
      <c r="O115" t="s">
        <v>379</v>
      </c>
      <c r="P115" s="8"/>
      <c r="Q115" s="8"/>
      <c r="R115" s="8"/>
      <c r="S115" s="8"/>
      <c r="T115" s="8"/>
      <c r="U115" s="8"/>
      <c r="AC115" t="s">
        <v>379</v>
      </c>
      <c r="AD115" s="8"/>
      <c r="AE115" s="8"/>
      <c r="AF115" s="8"/>
      <c r="AG115" s="8"/>
      <c r="AH115" s="8"/>
      <c r="AI115" s="8"/>
    </row>
    <row r="116" spans="1:35" ht="12.75">
      <c r="A116" t="s">
        <v>438</v>
      </c>
      <c r="B116" s="8">
        <v>8</v>
      </c>
      <c r="C116" s="8">
        <v>8</v>
      </c>
      <c r="D116" s="8">
        <v>8</v>
      </c>
      <c r="E116" s="8">
        <v>8</v>
      </c>
      <c r="F116" s="8">
        <v>8</v>
      </c>
      <c r="G116" s="8">
        <v>8</v>
      </c>
      <c r="O116" t="s">
        <v>438</v>
      </c>
      <c r="P116" s="8">
        <v>8</v>
      </c>
      <c r="Q116" s="8">
        <v>8</v>
      </c>
      <c r="R116" s="8">
        <v>8</v>
      </c>
      <c r="S116" s="8">
        <v>8</v>
      </c>
      <c r="T116" s="8">
        <v>8</v>
      </c>
      <c r="U116" s="8">
        <v>8</v>
      </c>
      <c r="AC116" t="s">
        <v>438</v>
      </c>
      <c r="AD116" s="8">
        <v>8</v>
      </c>
      <c r="AE116" s="8">
        <v>8</v>
      </c>
      <c r="AF116" s="8">
        <v>8</v>
      </c>
      <c r="AG116" s="8">
        <v>8</v>
      </c>
      <c r="AH116" s="8">
        <v>8</v>
      </c>
      <c r="AI116" s="8">
        <v>8</v>
      </c>
    </row>
    <row r="117" spans="1:35" ht="12.75">
      <c r="A117" t="s">
        <v>374</v>
      </c>
      <c r="B117" s="2">
        <f aca="true" t="shared" si="126" ref="B117:G117">+B111*B116</f>
        <v>0.00018240000000000002</v>
      </c>
      <c r="C117" s="2">
        <f t="shared" si="126"/>
        <v>72960</v>
      </c>
      <c r="D117" s="2">
        <f t="shared" si="126"/>
        <v>72960</v>
      </c>
      <c r="E117" s="2">
        <f t="shared" si="126"/>
        <v>72960</v>
      </c>
      <c r="F117" s="2">
        <f t="shared" si="126"/>
        <v>72960</v>
      </c>
      <c r="G117" s="2">
        <f t="shared" si="126"/>
        <v>192000</v>
      </c>
      <c r="O117" t="s">
        <v>374</v>
      </c>
      <c r="P117" s="2">
        <f aca="true" t="shared" si="127" ref="P117:U117">+P111*P116</f>
        <v>0.00018240000000000002</v>
      </c>
      <c r="Q117" s="2">
        <f t="shared" si="127"/>
        <v>72960</v>
      </c>
      <c r="R117" s="2">
        <f t="shared" si="127"/>
        <v>72960</v>
      </c>
      <c r="S117" s="2">
        <f t="shared" si="127"/>
        <v>72960</v>
      </c>
      <c r="T117" s="2">
        <f t="shared" si="127"/>
        <v>72960</v>
      </c>
      <c r="U117" s="2">
        <f t="shared" si="127"/>
        <v>192000</v>
      </c>
      <c r="AC117" t="s">
        <v>374</v>
      </c>
      <c r="AD117" s="2">
        <f aca="true" t="shared" si="128" ref="AD117:AI117">+AD111*AD116</f>
        <v>0.00018240000000000002</v>
      </c>
      <c r="AE117" s="2">
        <f t="shared" si="128"/>
        <v>72960</v>
      </c>
      <c r="AF117" s="2">
        <f t="shared" si="128"/>
        <v>72960</v>
      </c>
      <c r="AG117" s="2">
        <f t="shared" si="128"/>
        <v>72960</v>
      </c>
      <c r="AH117" s="2">
        <f t="shared" si="128"/>
        <v>72960</v>
      </c>
      <c r="AI117" s="2">
        <f t="shared" si="128"/>
        <v>192000</v>
      </c>
    </row>
    <row r="118" spans="1:35" ht="12.75">
      <c r="A118" t="s">
        <v>372</v>
      </c>
      <c r="B118" s="2">
        <f aca="true" t="shared" si="129" ref="B118:G118">+B112*B116</f>
        <v>192000</v>
      </c>
      <c r="C118" s="2">
        <f t="shared" si="129"/>
        <v>110880</v>
      </c>
      <c r="D118" s="2">
        <f t="shared" si="129"/>
        <v>110880</v>
      </c>
      <c r="E118" s="2">
        <f t="shared" si="129"/>
        <v>110880</v>
      </c>
      <c r="F118" s="2">
        <f t="shared" si="129"/>
        <v>110880</v>
      </c>
      <c r="G118" s="2">
        <f t="shared" si="129"/>
        <v>1.824</v>
      </c>
      <c r="O118" t="s">
        <v>372</v>
      </c>
      <c r="P118" s="2">
        <f aca="true" t="shared" si="130" ref="P118:U118">+P112*P116</f>
        <v>192000</v>
      </c>
      <c r="Q118" s="2">
        <f t="shared" si="130"/>
        <v>110880</v>
      </c>
      <c r="R118" s="2">
        <f t="shared" si="130"/>
        <v>110880</v>
      </c>
      <c r="S118" s="2">
        <f t="shared" si="130"/>
        <v>110880</v>
      </c>
      <c r="T118" s="2">
        <f t="shared" si="130"/>
        <v>110880</v>
      </c>
      <c r="U118" s="2">
        <f t="shared" si="130"/>
        <v>1.824</v>
      </c>
      <c r="AC118" t="s">
        <v>372</v>
      </c>
      <c r="AD118" s="2">
        <f aca="true" t="shared" si="131" ref="AD118:AI118">+AD112*AD116</f>
        <v>192000</v>
      </c>
      <c r="AE118" s="2">
        <f t="shared" si="131"/>
        <v>110880</v>
      </c>
      <c r="AF118" s="2">
        <f t="shared" si="131"/>
        <v>110880</v>
      </c>
      <c r="AG118" s="2">
        <f t="shared" si="131"/>
        <v>110880</v>
      </c>
      <c r="AH118" s="2">
        <f t="shared" si="131"/>
        <v>110880</v>
      </c>
      <c r="AI118" s="2">
        <f t="shared" si="131"/>
        <v>1.824</v>
      </c>
    </row>
    <row r="119" spans="1:35" ht="12.75">
      <c r="A119" t="s">
        <v>373</v>
      </c>
      <c r="B119" s="2">
        <f aca="true" t="shared" si="132" ref="B119:G119">+B113*B116</f>
        <v>32000</v>
      </c>
      <c r="C119" s="2">
        <f t="shared" si="132"/>
        <v>32000</v>
      </c>
      <c r="D119" s="2">
        <f t="shared" si="132"/>
        <v>32000</v>
      </c>
      <c r="E119" s="2">
        <f t="shared" si="132"/>
        <v>32000</v>
      </c>
      <c r="F119" s="2">
        <f t="shared" si="132"/>
        <v>32000</v>
      </c>
      <c r="G119" s="2">
        <f t="shared" si="132"/>
        <v>32000</v>
      </c>
      <c r="O119" t="s">
        <v>373</v>
      </c>
      <c r="P119" s="2">
        <f aca="true" t="shared" si="133" ref="P119:U119">+P113*P116</f>
        <v>32000</v>
      </c>
      <c r="Q119" s="2">
        <f t="shared" si="133"/>
        <v>32000</v>
      </c>
      <c r="R119" s="2">
        <f t="shared" si="133"/>
        <v>32000</v>
      </c>
      <c r="S119" s="2">
        <f t="shared" si="133"/>
        <v>32000</v>
      </c>
      <c r="T119" s="2">
        <f t="shared" si="133"/>
        <v>32000</v>
      </c>
      <c r="U119" s="2">
        <f t="shared" si="133"/>
        <v>32000</v>
      </c>
      <c r="AC119" t="s">
        <v>373</v>
      </c>
      <c r="AD119" s="2">
        <f aca="true" t="shared" si="134" ref="AD119:AI119">+AD113*AD116</f>
        <v>32000</v>
      </c>
      <c r="AE119" s="2">
        <f t="shared" si="134"/>
        <v>32000</v>
      </c>
      <c r="AF119" s="2">
        <f t="shared" si="134"/>
        <v>32000</v>
      </c>
      <c r="AG119" s="2">
        <f t="shared" si="134"/>
        <v>32000</v>
      </c>
      <c r="AH119" s="2">
        <f t="shared" si="134"/>
        <v>32000</v>
      </c>
      <c r="AI119" s="2">
        <f t="shared" si="134"/>
        <v>32000</v>
      </c>
    </row>
    <row r="120" spans="1:35" ht="12.75">
      <c r="A120" t="s">
        <v>40</v>
      </c>
      <c r="B120" s="2">
        <f aca="true" t="shared" si="135" ref="B120:G120">SUM(B117:B119)</f>
        <v>224000.0001824</v>
      </c>
      <c r="C120" s="2">
        <f t="shared" si="135"/>
        <v>215840</v>
      </c>
      <c r="D120" s="2">
        <f t="shared" si="135"/>
        <v>215840</v>
      </c>
      <c r="E120" s="2">
        <f t="shared" si="135"/>
        <v>215840</v>
      </c>
      <c r="F120" s="2">
        <f t="shared" si="135"/>
        <v>215840</v>
      </c>
      <c r="G120" s="2">
        <f t="shared" si="135"/>
        <v>224001.824</v>
      </c>
      <c r="O120" t="s">
        <v>40</v>
      </c>
      <c r="P120" s="2">
        <f aca="true" t="shared" si="136" ref="P120:U120">SUM(P117:P119)</f>
        <v>224000.0001824</v>
      </c>
      <c r="Q120" s="2">
        <f t="shared" si="136"/>
        <v>215840</v>
      </c>
      <c r="R120" s="2">
        <f t="shared" si="136"/>
        <v>215840</v>
      </c>
      <c r="S120" s="2">
        <f t="shared" si="136"/>
        <v>215840</v>
      </c>
      <c r="T120" s="2">
        <f t="shared" si="136"/>
        <v>215840</v>
      </c>
      <c r="U120" s="2">
        <f t="shared" si="136"/>
        <v>224001.824</v>
      </c>
      <c r="AC120" t="s">
        <v>40</v>
      </c>
      <c r="AD120" s="2">
        <f aca="true" t="shared" si="137" ref="AD120:AI120">SUM(AD117:AD119)</f>
        <v>224000.0001824</v>
      </c>
      <c r="AE120" s="2">
        <f t="shared" si="137"/>
        <v>215840</v>
      </c>
      <c r="AF120" s="2">
        <f t="shared" si="137"/>
        <v>215840</v>
      </c>
      <c r="AG120" s="2">
        <f t="shared" si="137"/>
        <v>215840</v>
      </c>
      <c r="AH120" s="2">
        <f t="shared" si="137"/>
        <v>215840</v>
      </c>
      <c r="AI120" s="2">
        <f t="shared" si="137"/>
        <v>224001.824</v>
      </c>
    </row>
    <row r="121" spans="2:35" ht="12.75">
      <c r="B121" s="2"/>
      <c r="C121" s="2"/>
      <c r="D121" s="2"/>
      <c r="E121" s="2"/>
      <c r="F121" s="2"/>
      <c r="G121" s="2"/>
      <c r="P121" s="2"/>
      <c r="Q121" s="2"/>
      <c r="R121" s="2"/>
      <c r="S121" s="2"/>
      <c r="T121" s="2"/>
      <c r="U121" s="2"/>
      <c r="AD121" s="2"/>
      <c r="AE121" s="2"/>
      <c r="AF121" s="2"/>
      <c r="AG121" s="2"/>
      <c r="AH121" s="2"/>
      <c r="AI121" s="2"/>
    </row>
    <row r="122" spans="1:35" ht="12.75">
      <c r="A122" t="s">
        <v>359</v>
      </c>
      <c r="B122" s="2"/>
      <c r="C122" s="2"/>
      <c r="D122" s="2"/>
      <c r="E122" s="2"/>
      <c r="F122" s="2"/>
      <c r="G122" s="2"/>
      <c r="O122" t="s">
        <v>359</v>
      </c>
      <c r="P122" s="2"/>
      <c r="Q122" s="2"/>
      <c r="R122" s="2"/>
      <c r="S122" s="2"/>
      <c r="T122" s="2"/>
      <c r="U122" s="2"/>
      <c r="AC122" t="s">
        <v>359</v>
      </c>
      <c r="AD122" s="2"/>
      <c r="AE122" s="2"/>
      <c r="AF122" s="2"/>
      <c r="AG122" s="2"/>
      <c r="AH122" s="2"/>
      <c r="AI122" s="2"/>
    </row>
    <row r="123" spans="1:35" ht="12.75">
      <c r="A123" t="s">
        <v>360</v>
      </c>
      <c r="B123" s="2">
        <f aca="true" t="shared" si="138" ref="B123:G123">+B7-B9</f>
        <v>222500</v>
      </c>
      <c r="C123" s="2">
        <f t="shared" si="138"/>
        <v>222500</v>
      </c>
      <c r="D123" s="2">
        <f t="shared" si="138"/>
        <v>222500</v>
      </c>
      <c r="E123" s="2">
        <f t="shared" si="138"/>
        <v>222500</v>
      </c>
      <c r="F123" s="2">
        <f t="shared" si="138"/>
        <v>222500</v>
      </c>
      <c r="G123" s="2">
        <f t="shared" si="138"/>
        <v>222500</v>
      </c>
      <c r="O123" t="s">
        <v>360</v>
      </c>
      <c r="P123" s="2">
        <f aca="true" t="shared" si="139" ref="P123:U123">+P7-P9</f>
        <v>230000</v>
      </c>
      <c r="Q123" s="2">
        <f t="shared" si="139"/>
        <v>230000</v>
      </c>
      <c r="R123" s="2">
        <f t="shared" si="139"/>
        <v>230000</v>
      </c>
      <c r="S123" s="2">
        <f t="shared" si="139"/>
        <v>230000</v>
      </c>
      <c r="T123" s="2">
        <f t="shared" si="139"/>
        <v>230000</v>
      </c>
      <c r="U123" s="2">
        <f t="shared" si="139"/>
        <v>230000</v>
      </c>
      <c r="AC123" t="s">
        <v>360</v>
      </c>
      <c r="AD123" s="2">
        <f aca="true" t="shared" si="140" ref="AD123:AI123">+AD7-AD9</f>
        <v>200000</v>
      </c>
      <c r="AE123" s="2">
        <f t="shared" si="140"/>
        <v>200000</v>
      </c>
      <c r="AF123" s="2">
        <f t="shared" si="140"/>
        <v>200000</v>
      </c>
      <c r="AG123" s="2">
        <f t="shared" si="140"/>
        <v>200000</v>
      </c>
      <c r="AH123" s="2">
        <f t="shared" si="140"/>
        <v>200000</v>
      </c>
      <c r="AI123" s="2">
        <f t="shared" si="140"/>
        <v>200000</v>
      </c>
    </row>
    <row r="124" spans="1:35" ht="12.75">
      <c r="A124" t="s">
        <v>361</v>
      </c>
      <c r="B124" s="3">
        <f aca="true" t="shared" si="141" ref="B124:G124">+B29</f>
        <v>1.6</v>
      </c>
      <c r="C124" s="3">
        <f t="shared" si="141"/>
        <v>1.6</v>
      </c>
      <c r="D124" s="3">
        <f t="shared" si="141"/>
        <v>1.6</v>
      </c>
      <c r="E124" s="3">
        <f t="shared" si="141"/>
        <v>1.6</v>
      </c>
      <c r="F124" s="3">
        <f t="shared" si="141"/>
        <v>1.6</v>
      </c>
      <c r="G124" s="3">
        <f t="shared" si="141"/>
        <v>1.6</v>
      </c>
      <c r="O124" t="s">
        <v>361</v>
      </c>
      <c r="P124" s="3">
        <f aca="true" t="shared" si="142" ref="P124:U124">+P29</f>
        <v>1.6</v>
      </c>
      <c r="Q124" s="3">
        <f t="shared" si="142"/>
        <v>1.6</v>
      </c>
      <c r="R124" s="3">
        <f t="shared" si="142"/>
        <v>1.6</v>
      </c>
      <c r="S124" s="3">
        <f t="shared" si="142"/>
        <v>1.6</v>
      </c>
      <c r="T124" s="3">
        <f t="shared" si="142"/>
        <v>1.6</v>
      </c>
      <c r="U124" s="3">
        <f t="shared" si="142"/>
        <v>1.6</v>
      </c>
      <c r="AC124" t="s">
        <v>361</v>
      </c>
      <c r="AD124" s="3">
        <f aca="true" t="shared" si="143" ref="AD124:AI124">+AD29</f>
        <v>1.6</v>
      </c>
      <c r="AE124" s="3">
        <f t="shared" si="143"/>
        <v>1.6</v>
      </c>
      <c r="AF124" s="3">
        <f t="shared" si="143"/>
        <v>1.6</v>
      </c>
      <c r="AG124" s="3">
        <f t="shared" si="143"/>
        <v>1.6</v>
      </c>
      <c r="AH124" s="3">
        <f t="shared" si="143"/>
        <v>1.6</v>
      </c>
      <c r="AI124" s="3">
        <f t="shared" si="143"/>
        <v>1.6</v>
      </c>
    </row>
    <row r="125" spans="1:35" ht="12.75">
      <c r="A125" t="s">
        <v>362</v>
      </c>
      <c r="B125" s="2">
        <f aca="true" t="shared" si="144" ref="B125:G125">+B123/B124</f>
        <v>139062.5</v>
      </c>
      <c r="C125" s="2">
        <f t="shared" si="144"/>
        <v>139062.5</v>
      </c>
      <c r="D125" s="2">
        <f t="shared" si="144"/>
        <v>139062.5</v>
      </c>
      <c r="E125" s="2">
        <f t="shared" si="144"/>
        <v>139062.5</v>
      </c>
      <c r="F125" s="2">
        <f t="shared" si="144"/>
        <v>139062.5</v>
      </c>
      <c r="G125" s="2">
        <f t="shared" si="144"/>
        <v>139062.5</v>
      </c>
      <c r="O125" t="s">
        <v>362</v>
      </c>
      <c r="P125" s="2">
        <f aca="true" t="shared" si="145" ref="P125:U125">+P123/P124</f>
        <v>143750</v>
      </c>
      <c r="Q125" s="2">
        <f t="shared" si="145"/>
        <v>143750</v>
      </c>
      <c r="R125" s="2">
        <f t="shared" si="145"/>
        <v>143750</v>
      </c>
      <c r="S125" s="2">
        <f t="shared" si="145"/>
        <v>143750</v>
      </c>
      <c r="T125" s="2">
        <f t="shared" si="145"/>
        <v>143750</v>
      </c>
      <c r="U125" s="2">
        <f t="shared" si="145"/>
        <v>143750</v>
      </c>
      <c r="AC125" t="s">
        <v>362</v>
      </c>
      <c r="AD125" s="2">
        <f aca="true" t="shared" si="146" ref="AD125:AI125">+AD123/AD124</f>
        <v>125000</v>
      </c>
      <c r="AE125" s="2">
        <f t="shared" si="146"/>
        <v>125000</v>
      </c>
      <c r="AF125" s="2">
        <f t="shared" si="146"/>
        <v>125000</v>
      </c>
      <c r="AG125" s="2">
        <f t="shared" si="146"/>
        <v>125000</v>
      </c>
      <c r="AH125" s="2">
        <f t="shared" si="146"/>
        <v>125000</v>
      </c>
      <c r="AI125" s="2">
        <f t="shared" si="146"/>
        <v>125000</v>
      </c>
    </row>
    <row r="126" spans="2:35" ht="12.75">
      <c r="B126" s="2"/>
      <c r="C126" s="2"/>
      <c r="D126" s="2"/>
      <c r="E126" s="2"/>
      <c r="F126" s="2"/>
      <c r="G126" s="2"/>
      <c r="P126" s="2"/>
      <c r="Q126" s="2"/>
      <c r="R126" s="2"/>
      <c r="S126" s="2"/>
      <c r="T126" s="2"/>
      <c r="U126" s="2"/>
      <c r="AD126" s="2"/>
      <c r="AE126" s="2"/>
      <c r="AF126" s="2"/>
      <c r="AG126" s="2"/>
      <c r="AH126" s="2"/>
      <c r="AI126" s="2"/>
    </row>
    <row r="127" spans="1:35" ht="12.75">
      <c r="A127" t="s">
        <v>363</v>
      </c>
      <c r="B127" s="2">
        <f aca="true" t="shared" si="147" ref="B127:G127">+B104+B125</f>
        <v>333689.3181818182</v>
      </c>
      <c r="C127" s="2">
        <f t="shared" si="147"/>
        <v>332752.4941249492</v>
      </c>
      <c r="D127" s="2">
        <f t="shared" si="147"/>
        <v>326954.63665080094</v>
      </c>
      <c r="E127" s="2">
        <f t="shared" si="147"/>
        <v>325641.57643012167</v>
      </c>
      <c r="F127" s="2">
        <f t="shared" si="147"/>
        <v>320853.17749830574</v>
      </c>
      <c r="G127" s="2">
        <f t="shared" si="147"/>
        <v>324876.86536362336</v>
      </c>
      <c r="O127" t="s">
        <v>363</v>
      </c>
      <c r="P127" s="2">
        <f aca="true" t="shared" si="148" ref="P127:U127">+P104+P125</f>
        <v>344937.2727272727</v>
      </c>
      <c r="Q127" s="2">
        <f t="shared" si="148"/>
        <v>343968.8703314082</v>
      </c>
      <c r="R127" s="2">
        <f t="shared" si="148"/>
        <v>337975.579459255</v>
      </c>
      <c r="S127" s="2">
        <f t="shared" si="148"/>
        <v>336618.25878169877</v>
      </c>
      <c r="T127" s="2">
        <f t="shared" si="148"/>
        <v>331668.453144316</v>
      </c>
      <c r="U127" s="2">
        <f t="shared" si="148"/>
        <v>335827.77093767805</v>
      </c>
      <c r="AC127" t="s">
        <v>363</v>
      </c>
      <c r="AD127" s="2">
        <f aca="true" t="shared" si="149" ref="AD127:AI127">+AD104+AD125</f>
        <v>299945.45454545453</v>
      </c>
      <c r="AE127" s="2">
        <f t="shared" si="149"/>
        <v>299103.36550557235</v>
      </c>
      <c r="AF127" s="2">
        <f t="shared" si="149"/>
        <v>293891.80822543905</v>
      </c>
      <c r="AG127" s="2">
        <f t="shared" si="149"/>
        <v>292711.52937539027</v>
      </c>
      <c r="AH127" s="2">
        <f t="shared" si="149"/>
        <v>288407.3505602748</v>
      </c>
      <c r="AI127" s="2">
        <f t="shared" si="149"/>
        <v>292024.1486414592</v>
      </c>
    </row>
    <row r="128" spans="1:35" ht="12.75">
      <c r="A128" t="s">
        <v>387</v>
      </c>
      <c r="B128" s="2">
        <f>+B37</f>
        <v>53390.290909090916</v>
      </c>
      <c r="C128" s="2">
        <f>+C37</f>
        <v>53390.290909090916</v>
      </c>
      <c r="D128" s="2">
        <f>+D37</f>
        <v>53390.290909090916</v>
      </c>
      <c r="E128" s="2">
        <f>+E37</f>
        <v>53390.290909090916</v>
      </c>
      <c r="F128" s="2">
        <f>+F37</f>
        <v>53390.290909090916</v>
      </c>
      <c r="G128" s="2">
        <f>+G127-G139</f>
        <v>54400.95318176539</v>
      </c>
      <c r="O128" t="s">
        <v>387</v>
      </c>
      <c r="P128" s="2">
        <f>+P37</f>
        <v>55189.963636363645</v>
      </c>
      <c r="Q128" s="2">
        <f>+Q37</f>
        <v>55189.963636363645</v>
      </c>
      <c r="R128" s="2">
        <f>+R37</f>
        <v>55189.963636363645</v>
      </c>
      <c r="S128" s="2">
        <f>+S37</f>
        <v>55189.963636363645</v>
      </c>
      <c r="T128" s="2">
        <f>+T37</f>
        <v>55189.963636363645</v>
      </c>
      <c r="U128" s="2">
        <f>+U127-U139</f>
        <v>61735.81677216198</v>
      </c>
      <c r="AC128" t="s">
        <v>387</v>
      </c>
      <c r="AD128" s="2">
        <f>+AD37</f>
        <v>47991.272727272735</v>
      </c>
      <c r="AE128" s="2">
        <f>+AE37</f>
        <v>47991.272727272735</v>
      </c>
      <c r="AF128" s="2">
        <f>+AF37</f>
        <v>47991.272727272735</v>
      </c>
      <c r="AG128" s="2">
        <f>+AG37</f>
        <v>47991.272727272735</v>
      </c>
      <c r="AH128" s="2">
        <f>+AH37</f>
        <v>47991.272727272735</v>
      </c>
      <c r="AI128" s="2">
        <f>+AI127-AI139</f>
        <v>32396.362410575617</v>
      </c>
    </row>
    <row r="129" spans="1:35" ht="12.75">
      <c r="A129" t="s">
        <v>388</v>
      </c>
      <c r="B129" s="2">
        <f aca="true" t="shared" si="150" ref="B129:G129">+B127-B128</f>
        <v>280299.0272727273</v>
      </c>
      <c r="C129" s="2">
        <f t="shared" si="150"/>
        <v>279362.2032158583</v>
      </c>
      <c r="D129" s="2">
        <f t="shared" si="150"/>
        <v>273564.34574171004</v>
      </c>
      <c r="E129" s="2">
        <f t="shared" si="150"/>
        <v>272251.2855210308</v>
      </c>
      <c r="F129" s="2">
        <f t="shared" si="150"/>
        <v>267462.88658921485</v>
      </c>
      <c r="G129" s="2">
        <f t="shared" si="150"/>
        <v>270475.912181858</v>
      </c>
      <c r="O129" t="s">
        <v>388</v>
      </c>
      <c r="P129" s="2">
        <f aca="true" t="shared" si="151" ref="P129:U129">+P127-P128</f>
        <v>289747.3090909091</v>
      </c>
      <c r="Q129" s="2">
        <f t="shared" si="151"/>
        <v>288778.9066950446</v>
      </c>
      <c r="R129" s="2">
        <f t="shared" si="151"/>
        <v>282785.61582289136</v>
      </c>
      <c r="S129" s="2">
        <f t="shared" si="151"/>
        <v>281428.29514533514</v>
      </c>
      <c r="T129" s="2">
        <f t="shared" si="151"/>
        <v>276478.48950795236</v>
      </c>
      <c r="U129" s="2">
        <f t="shared" si="151"/>
        <v>274091.9541655161</v>
      </c>
      <c r="AC129" t="s">
        <v>388</v>
      </c>
      <c r="AD129" s="2">
        <f aca="true" t="shared" si="152" ref="AD129:AI129">+AD127-AD128</f>
        <v>251954.1818181818</v>
      </c>
      <c r="AE129" s="2">
        <f t="shared" si="152"/>
        <v>251112.09277829962</v>
      </c>
      <c r="AF129" s="2">
        <f t="shared" si="152"/>
        <v>245900.5354981663</v>
      </c>
      <c r="AG129" s="2">
        <f t="shared" si="152"/>
        <v>244720.25664811753</v>
      </c>
      <c r="AH129" s="2">
        <f t="shared" si="152"/>
        <v>240416.07783300205</v>
      </c>
      <c r="AI129" s="2">
        <f t="shared" si="152"/>
        <v>259627.78623088356</v>
      </c>
    </row>
    <row r="131" spans="1:29" ht="12.75">
      <c r="A131" t="s">
        <v>380</v>
      </c>
      <c r="O131" t="s">
        <v>380</v>
      </c>
      <c r="AC131" t="s">
        <v>380</v>
      </c>
    </row>
    <row r="132" spans="1:35" ht="12.75">
      <c r="A132" t="s">
        <v>595</v>
      </c>
      <c r="B132" s="2">
        <v>0</v>
      </c>
      <c r="C132" s="2">
        <f>(+C102*0.9)+C103</f>
        <v>14988.809399469828</v>
      </c>
      <c r="D132" s="2">
        <f>(+D102*0.9)+D103</f>
        <v>14866.103421180973</v>
      </c>
      <c r="E132" s="2">
        <f>(+E102*0.9)+E103</f>
        <v>20620.87345827469</v>
      </c>
      <c r="F132" s="2">
        <f>(+F102*0.9)+F103</f>
        <v>20088.955152467977</v>
      </c>
      <c r="G132" s="2">
        <f>+G117*G134</f>
        <v>163200</v>
      </c>
      <c r="O132" t="s">
        <v>366</v>
      </c>
      <c r="P132" s="2">
        <v>0</v>
      </c>
      <c r="Q132" s="2">
        <f>(+Q102*0.9)+Q103</f>
        <v>15494.050165744104</v>
      </c>
      <c r="R132" s="2">
        <f>(+R102*0.9)+R103</f>
        <v>15367.208030883716</v>
      </c>
      <c r="S132" s="2">
        <f>(+S102*0.9)+S103</f>
        <v>21315.95908046374</v>
      </c>
      <c r="T132" s="2">
        <f>(+T102*0.9)+T103</f>
        <v>20766.11094412422</v>
      </c>
      <c r="U132" s="2">
        <f>+U117*U134</f>
        <v>163200</v>
      </c>
      <c r="AC132" t="s">
        <v>366</v>
      </c>
      <c r="AD132" s="2">
        <v>0</v>
      </c>
      <c r="AE132" s="2">
        <f>(+AE102*0.9)+AE103</f>
        <v>13473.087100647044</v>
      </c>
      <c r="AF132" s="2">
        <f>(+AF102*0.9)+AF103</f>
        <v>13362.789592072797</v>
      </c>
      <c r="AG132" s="2">
        <f>(+AG102*0.9)+AG103</f>
        <v>18535.6165917076</v>
      </c>
      <c r="AH132" s="2">
        <f>(+AH102*0.9)+AH103</f>
        <v>18057.48777749932</v>
      </c>
      <c r="AI132" s="2">
        <f>+AI117*AI134</f>
        <v>163200</v>
      </c>
    </row>
    <row r="133" spans="1:35" ht="12.75">
      <c r="A133" t="s">
        <v>596</v>
      </c>
      <c r="B133" s="2">
        <v>0</v>
      </c>
      <c r="C133" s="2">
        <f>+C102*0.4</f>
        <v>6439.68233244971</v>
      </c>
      <c r="D133" s="2">
        <f>+D102*0.4</f>
        <v>6235.172368634955</v>
      </c>
      <c r="E133" s="2">
        <v>0</v>
      </c>
      <c r="F133" s="2">
        <v>0</v>
      </c>
      <c r="G133" s="2">
        <v>0</v>
      </c>
      <c r="O133" t="s">
        <v>596</v>
      </c>
      <c r="P133" s="2">
        <v>0</v>
      </c>
      <c r="Q133" s="2">
        <f>+Q102*0.4</f>
        <v>6656.7502762401555</v>
      </c>
      <c r="R133" s="2">
        <f>+R102*0.4</f>
        <v>6445.346718139511</v>
      </c>
      <c r="S133" s="2">
        <v>0</v>
      </c>
      <c r="T133" s="2">
        <v>0</v>
      </c>
      <c r="U133" s="2">
        <v>0</v>
      </c>
      <c r="AC133" t="s">
        <v>596</v>
      </c>
      <c r="AD133" s="2">
        <v>0</v>
      </c>
      <c r="AE133" s="2">
        <f>+AE102*0.4</f>
        <v>5788.478501078395</v>
      </c>
      <c r="AF133" s="2">
        <f>+AF102*0.4</f>
        <v>5604.649320121313</v>
      </c>
      <c r="AG133" s="2">
        <v>0</v>
      </c>
      <c r="AH133" s="2">
        <v>0</v>
      </c>
      <c r="AI133" s="2">
        <v>0</v>
      </c>
    </row>
    <row r="134" spans="1:35" ht="12.75">
      <c r="A134" t="s">
        <v>400</v>
      </c>
      <c r="B134" s="9">
        <f>+Inputs!B42</f>
        <v>0.75</v>
      </c>
      <c r="C134" s="9">
        <f>+Inputs!C42</f>
        <v>0.75</v>
      </c>
      <c r="D134" s="9">
        <f>+Inputs!D42</f>
        <v>0.75</v>
      </c>
      <c r="E134" s="9">
        <f>+Inputs!E42</f>
        <v>0.75</v>
      </c>
      <c r="F134" s="9">
        <f>+Inputs!F42</f>
        <v>0.75</v>
      </c>
      <c r="G134" s="9">
        <f>+Inputs!G42</f>
        <v>0.85</v>
      </c>
      <c r="O134" t="s">
        <v>400</v>
      </c>
      <c r="P134" s="9">
        <f>+Inputs!P42</f>
        <v>0.75</v>
      </c>
      <c r="Q134" s="9">
        <f>+Inputs!Q42</f>
        <v>0.75</v>
      </c>
      <c r="R134" s="9">
        <f>+Inputs!R42</f>
        <v>0.75</v>
      </c>
      <c r="S134" s="9">
        <f>+Inputs!S42</f>
        <v>0.75</v>
      </c>
      <c r="T134" s="9">
        <f>+Inputs!T42</f>
        <v>0.75</v>
      </c>
      <c r="U134" s="9">
        <f>+Inputs!U42</f>
        <v>0.85</v>
      </c>
      <c r="AC134" t="s">
        <v>400</v>
      </c>
      <c r="AD134" s="9">
        <f>+Inputs!AD42</f>
        <v>0.75</v>
      </c>
      <c r="AE134" s="9">
        <f>+Inputs!AE42</f>
        <v>0.75</v>
      </c>
      <c r="AF134" s="9">
        <f>+Inputs!AF42</f>
        <v>0.75</v>
      </c>
      <c r="AG134" s="9">
        <f>+Inputs!AG42</f>
        <v>0.75</v>
      </c>
      <c r="AH134" s="9">
        <f>+Inputs!AH42</f>
        <v>0.75</v>
      </c>
      <c r="AI134" s="9">
        <f>+Inputs!AI42</f>
        <v>0.85</v>
      </c>
    </row>
    <row r="135" spans="1:35" ht="12.75">
      <c r="A135" t="s">
        <v>397</v>
      </c>
      <c r="B135" s="2">
        <f>(+B117*B134)-B132</f>
        <v>0.00013680000000000002</v>
      </c>
      <c r="C135" s="2">
        <f>(+C117*C134)-C103</f>
        <v>54220.47584854202</v>
      </c>
      <c r="D135" s="2">
        <f>(+D117*D134)-D103</f>
        <v>53883.03440824768</v>
      </c>
      <c r="E135" s="2">
        <f>(+E117*E134)-E132</f>
        <v>34099.12654172531</v>
      </c>
      <c r="F135" s="2">
        <f>(+F117*F134)-F132</f>
        <v>34631.04484753202</v>
      </c>
      <c r="G135" s="2">
        <f>+G132-G102-G103</f>
        <v>144666.88546084703</v>
      </c>
      <c r="O135" t="s">
        <v>397</v>
      </c>
      <c r="P135" s="2">
        <f>(+P117*P134)-P132</f>
        <v>0.00013680000000000002</v>
      </c>
      <c r="Q135" s="2">
        <f>(+Q117*Q134)-Q103</f>
        <v>54203.63795579624</v>
      </c>
      <c r="R135" s="2">
        <f>(+R117*R134)-R103</f>
        <v>53854.82208493018</v>
      </c>
      <c r="S135" s="2">
        <f>(+S117*S134)-S132</f>
        <v>33404.04091953626</v>
      </c>
      <c r="T135" s="2">
        <f>(+T117*T134)-T132</f>
        <v>33953.889055875785</v>
      </c>
      <c r="U135" s="2">
        <f>+U132-U102-U103</f>
        <v>144042.17373480817</v>
      </c>
      <c r="AC135" t="s">
        <v>397</v>
      </c>
      <c r="AD135" s="2">
        <f>(+AD117*AD134)-AD132</f>
        <v>0.00013680000000000002</v>
      </c>
      <c r="AE135" s="2">
        <f>(+AE117*AE134)-AE103</f>
        <v>54270.98952677934</v>
      </c>
      <c r="AF135" s="2">
        <f>(+AF117*AF134)-AF103</f>
        <v>53967.67137820016</v>
      </c>
      <c r="AG135" s="2">
        <f>(+AG117*AG134)-AG132</f>
        <v>36184.3834082924</v>
      </c>
      <c r="AH135" s="2">
        <f>(+AH117*AH134)-AH132</f>
        <v>36662.51222250068</v>
      </c>
      <c r="AI135" s="2">
        <f>+AI132-AI102-AI103</f>
        <v>146541.02063896362</v>
      </c>
    </row>
    <row r="136" spans="1:35" ht="12.75">
      <c r="A136" t="s">
        <v>398</v>
      </c>
      <c r="B136" s="2">
        <f>+B132+B135</f>
        <v>0.00013680000000000002</v>
      </c>
      <c r="C136" s="2">
        <f>+C135+C103</f>
        <v>54720</v>
      </c>
      <c r="D136" s="2">
        <f>+D135+D103</f>
        <v>54720</v>
      </c>
      <c r="E136" s="2">
        <f>+E132+E135</f>
        <v>54720</v>
      </c>
      <c r="F136" s="2">
        <f>+F132+F135</f>
        <v>54720</v>
      </c>
      <c r="G136" s="2">
        <f>+G132</f>
        <v>163200</v>
      </c>
      <c r="O136" t="s">
        <v>398</v>
      </c>
      <c r="P136" s="2">
        <f>+P132+P135</f>
        <v>0.00013680000000000002</v>
      </c>
      <c r="Q136" s="2">
        <f>+Q135+Q103</f>
        <v>54720</v>
      </c>
      <c r="R136" s="2">
        <f>+R135+R103</f>
        <v>54720</v>
      </c>
      <c r="S136" s="2">
        <f>+S132+S135</f>
        <v>54720</v>
      </c>
      <c r="T136" s="2">
        <f>+T132+T135</f>
        <v>54720</v>
      </c>
      <c r="U136" s="2">
        <f>+U132</f>
        <v>163200</v>
      </c>
      <c r="AC136" t="s">
        <v>398</v>
      </c>
      <c r="AD136" s="2">
        <f>+AD132+AD135</f>
        <v>0.00013680000000000002</v>
      </c>
      <c r="AE136" s="2">
        <f>+AE135+AE103</f>
        <v>54720</v>
      </c>
      <c r="AF136" s="2">
        <f>+AF135+AF103</f>
        <v>54720</v>
      </c>
      <c r="AG136" s="2">
        <f>+AG132+AG135</f>
        <v>54720</v>
      </c>
      <c r="AH136" s="2">
        <f>+AH132+AH135</f>
        <v>54720</v>
      </c>
      <c r="AI136" s="2">
        <f>+AI132</f>
        <v>163200</v>
      </c>
    </row>
    <row r="137" spans="1:35" ht="12.75">
      <c r="A137" t="s">
        <v>371</v>
      </c>
      <c r="B137" s="10">
        <f aca="true" t="shared" si="153" ref="B137:G137">+B117/B120</f>
        <v>8.142857136226531E-10</v>
      </c>
      <c r="C137" s="10">
        <f t="shared" si="153"/>
        <v>0.3380281690140845</v>
      </c>
      <c r="D137" s="10">
        <f t="shared" si="153"/>
        <v>0.3380281690140845</v>
      </c>
      <c r="E137" s="10">
        <f t="shared" si="153"/>
        <v>0.3380281690140845</v>
      </c>
      <c r="F137" s="10">
        <f t="shared" si="153"/>
        <v>0.3380281690140845</v>
      </c>
      <c r="G137" s="10">
        <f t="shared" si="153"/>
        <v>0.8571358776078538</v>
      </c>
      <c r="O137" t="s">
        <v>371</v>
      </c>
      <c r="P137" s="10">
        <f aca="true" t="shared" si="154" ref="P137:U137">+P117/P120</f>
        <v>8.142857136226531E-10</v>
      </c>
      <c r="Q137" s="10">
        <f t="shared" si="154"/>
        <v>0.3380281690140845</v>
      </c>
      <c r="R137" s="10">
        <f t="shared" si="154"/>
        <v>0.3380281690140845</v>
      </c>
      <c r="S137" s="10">
        <f t="shared" si="154"/>
        <v>0.3380281690140845</v>
      </c>
      <c r="T137" s="10">
        <f t="shared" si="154"/>
        <v>0.3380281690140845</v>
      </c>
      <c r="U137" s="10">
        <f t="shared" si="154"/>
        <v>0.8571358776078538</v>
      </c>
      <c r="AC137" t="s">
        <v>371</v>
      </c>
      <c r="AD137" s="10">
        <f aca="true" t="shared" si="155" ref="AD137:AI137">+AD117/AD120</f>
        <v>8.142857136226531E-10</v>
      </c>
      <c r="AE137" s="10">
        <f t="shared" si="155"/>
        <v>0.3380281690140845</v>
      </c>
      <c r="AF137" s="10">
        <f t="shared" si="155"/>
        <v>0.3380281690140845</v>
      </c>
      <c r="AG137" s="10">
        <f t="shared" si="155"/>
        <v>0.3380281690140845</v>
      </c>
      <c r="AH137" s="10">
        <f t="shared" si="155"/>
        <v>0.3380281690140845</v>
      </c>
      <c r="AI137" s="10">
        <f t="shared" si="155"/>
        <v>0.8571358776078538</v>
      </c>
    </row>
    <row r="138" spans="1:35" ht="12.75">
      <c r="A138" t="s">
        <v>409</v>
      </c>
      <c r="B138" s="2">
        <f aca="true" t="shared" si="156" ref="B138:G138">+B125*B137*0.9</f>
        <v>0.00010191294634558518</v>
      </c>
      <c r="C138" s="2">
        <f t="shared" si="156"/>
        <v>42306.33802816901</v>
      </c>
      <c r="D138" s="2">
        <f t="shared" si="156"/>
        <v>42306.33802816901</v>
      </c>
      <c r="E138" s="2">
        <f t="shared" si="156"/>
        <v>42306.33802816901</v>
      </c>
      <c r="F138" s="2">
        <f t="shared" si="156"/>
        <v>42306.33802816901</v>
      </c>
      <c r="G138" s="2">
        <f t="shared" si="156"/>
        <v>107275.91218185796</v>
      </c>
      <c r="O138" t="s">
        <v>409</v>
      </c>
      <c r="P138" s="2">
        <f aca="true" t="shared" si="157" ref="P138:U138">+P125*P137*0.9</f>
        <v>0.00010534821419993075</v>
      </c>
      <c r="Q138" s="2">
        <f t="shared" si="157"/>
        <v>43732.394366197186</v>
      </c>
      <c r="R138" s="2">
        <f t="shared" si="157"/>
        <v>43732.394366197186</v>
      </c>
      <c r="S138" s="2">
        <f t="shared" si="157"/>
        <v>43732.394366197186</v>
      </c>
      <c r="T138" s="2">
        <f t="shared" si="157"/>
        <v>43732.394366197186</v>
      </c>
      <c r="U138" s="2">
        <f t="shared" si="157"/>
        <v>110891.95416551609</v>
      </c>
      <c r="AC138" t="s">
        <v>409</v>
      </c>
      <c r="AD138" s="2">
        <f aca="true" t="shared" si="158" ref="AD138:AI138">+AD125*AD137*0.9</f>
        <v>9.160714278254849E-05</v>
      </c>
      <c r="AE138" s="2">
        <f t="shared" si="158"/>
        <v>38028.16901408451</v>
      </c>
      <c r="AF138" s="2">
        <f t="shared" si="158"/>
        <v>38028.16901408451</v>
      </c>
      <c r="AG138" s="2">
        <f t="shared" si="158"/>
        <v>38028.16901408451</v>
      </c>
      <c r="AH138" s="2">
        <f t="shared" si="158"/>
        <v>38028.16901408451</v>
      </c>
      <c r="AI138" s="2">
        <f t="shared" si="158"/>
        <v>96427.78623088356</v>
      </c>
    </row>
    <row r="139" spans="1:35" ht="12.75">
      <c r="A139" t="s">
        <v>25</v>
      </c>
      <c r="B139" s="2">
        <f aca="true" t="shared" si="159" ref="B139:G139">+B136+B138</f>
        <v>0.0002387129463455852</v>
      </c>
      <c r="C139" s="2">
        <f t="shared" si="159"/>
        <v>97026.338028169</v>
      </c>
      <c r="D139" s="2">
        <f t="shared" si="159"/>
        <v>97026.338028169</v>
      </c>
      <c r="E139" s="2">
        <f t="shared" si="159"/>
        <v>97026.338028169</v>
      </c>
      <c r="F139" s="2">
        <f t="shared" si="159"/>
        <v>97026.338028169</v>
      </c>
      <c r="G139" s="2">
        <f t="shared" si="159"/>
        <v>270475.912181858</v>
      </c>
      <c r="O139" t="s">
        <v>25</v>
      </c>
      <c r="P139" s="2">
        <f aca="true" t="shared" si="160" ref="P139:U139">+P136+P138</f>
        <v>0.00024214821419993077</v>
      </c>
      <c r="Q139" s="2">
        <f t="shared" si="160"/>
        <v>98452.39436619719</v>
      </c>
      <c r="R139" s="2">
        <f t="shared" si="160"/>
        <v>98452.39436619719</v>
      </c>
      <c r="S139" s="2">
        <f t="shared" si="160"/>
        <v>98452.39436619719</v>
      </c>
      <c r="T139" s="2">
        <f t="shared" si="160"/>
        <v>98452.39436619719</v>
      </c>
      <c r="U139" s="2">
        <f t="shared" si="160"/>
        <v>274091.9541655161</v>
      </c>
      <c r="AC139" t="s">
        <v>25</v>
      </c>
      <c r="AD139" s="2">
        <f aca="true" t="shared" si="161" ref="AD139:AI139">+AD136+AD138</f>
        <v>0.0002284071427825485</v>
      </c>
      <c r="AE139" s="2">
        <f t="shared" si="161"/>
        <v>92748.1690140845</v>
      </c>
      <c r="AF139" s="2">
        <f t="shared" si="161"/>
        <v>92748.1690140845</v>
      </c>
      <c r="AG139" s="2">
        <f t="shared" si="161"/>
        <v>92748.1690140845</v>
      </c>
      <c r="AH139" s="2">
        <f t="shared" si="161"/>
        <v>92748.1690140845</v>
      </c>
      <c r="AI139" s="2">
        <f t="shared" si="161"/>
        <v>259627.78623088356</v>
      </c>
    </row>
    <row r="141" spans="1:29" ht="12.75">
      <c r="A141" t="s">
        <v>396</v>
      </c>
      <c r="O141" t="s">
        <v>396</v>
      </c>
      <c r="AC141" t="s">
        <v>396</v>
      </c>
    </row>
    <row r="142" spans="1:35" ht="12.75">
      <c r="A142" t="s">
        <v>570</v>
      </c>
      <c r="B142" s="2">
        <v>0</v>
      </c>
      <c r="C142" s="2">
        <f>+C90*0.9+C91+C135</f>
        <v>96087.3864233277</v>
      </c>
      <c r="D142" s="2">
        <f>+D90*0.9+D91+D135</f>
        <v>101486.44946803717</v>
      </c>
      <c r="E142" s="2">
        <f>+E90*0.9+E91+E135</f>
        <v>87955.06944053993</v>
      </c>
      <c r="F142" s="2">
        <f>+F90*0.9+F91+F135</f>
        <v>92855.88231003241</v>
      </c>
      <c r="G142" s="2">
        <f>+G90+G91+G135</f>
        <v>199885.6346363766</v>
      </c>
      <c r="O142" t="s">
        <v>570</v>
      </c>
      <c r="P142" s="2">
        <v>0</v>
      </c>
      <c r="Q142" s="2">
        <f>+Q90*0.9+Q91+Q135</f>
        <v>97481.79270726012</v>
      </c>
      <c r="R142" s="2">
        <f>+R90*0.9+R91+R135</f>
        <v>103062.8466411171</v>
      </c>
      <c r="S142" s="2">
        <f>+S90*0.9+S91+S135</f>
        <v>89075.35268010871</v>
      </c>
      <c r="T142" s="2">
        <f>+T90*0.9+T91+T135</f>
        <v>94141.3614890223</v>
      </c>
      <c r="U142" s="2">
        <f>+U90+U91+U135</f>
        <v>201122.22906232195</v>
      </c>
      <c r="AC142" t="s">
        <v>570</v>
      </c>
      <c r="AD142" s="2">
        <v>0</v>
      </c>
      <c r="AE142" s="2">
        <f>+AE90*0.9+AE91+AE135</f>
        <v>91904.16757153053</v>
      </c>
      <c r="AF142" s="2">
        <f>+AF90*0.9+AF91+AF135</f>
        <v>96757.25794879749</v>
      </c>
      <c r="AG142" s="2">
        <f>+AG90*0.9+AG91+AG135</f>
        <v>84594.21972183365</v>
      </c>
      <c r="AH142" s="2">
        <f>+AH90*0.9+AH91+AH135</f>
        <v>88999.44477306286</v>
      </c>
      <c r="AI142" s="2">
        <f>+AI90+AI91+AI135</f>
        <v>196175.8513585408</v>
      </c>
    </row>
    <row r="143" spans="1:35" ht="12.75">
      <c r="A143" t="s">
        <v>571</v>
      </c>
      <c r="B143" s="2">
        <f aca="true" t="shared" si="162" ref="B143:G143">+B138*B124</f>
        <v>0.0001630607141529363</v>
      </c>
      <c r="C143" s="2">
        <f t="shared" si="162"/>
        <v>67690.14084507042</v>
      </c>
      <c r="D143" s="2">
        <f t="shared" si="162"/>
        <v>67690.14084507042</v>
      </c>
      <c r="E143" s="2">
        <f t="shared" si="162"/>
        <v>67690.14084507042</v>
      </c>
      <c r="F143" s="2">
        <f t="shared" si="162"/>
        <v>67690.14084507042</v>
      </c>
      <c r="G143" s="2">
        <f t="shared" si="162"/>
        <v>171641.45949097275</v>
      </c>
      <c r="O143" t="s">
        <v>571</v>
      </c>
      <c r="P143" s="2">
        <f aca="true" t="shared" si="163" ref="P143:U143">+P138*P124</f>
        <v>0.00016855714271988922</v>
      </c>
      <c r="Q143" s="2">
        <f t="shared" si="163"/>
        <v>69971.8309859155</v>
      </c>
      <c r="R143" s="2">
        <f t="shared" si="163"/>
        <v>69971.8309859155</v>
      </c>
      <c r="S143" s="2">
        <f t="shared" si="163"/>
        <v>69971.8309859155</v>
      </c>
      <c r="T143" s="2">
        <f t="shared" si="163"/>
        <v>69971.8309859155</v>
      </c>
      <c r="U143" s="2">
        <f t="shared" si="163"/>
        <v>177427.12666482574</v>
      </c>
      <c r="AC143" t="s">
        <v>571</v>
      </c>
      <c r="AD143" s="2">
        <f aca="true" t="shared" si="164" ref="AD143:AI143">+AD138*AD124</f>
        <v>0.0001465714284520776</v>
      </c>
      <c r="AE143" s="2">
        <f t="shared" si="164"/>
        <v>60845.07042253522</v>
      </c>
      <c r="AF143" s="2">
        <f t="shared" si="164"/>
        <v>60845.07042253522</v>
      </c>
      <c r="AG143" s="2">
        <f t="shared" si="164"/>
        <v>60845.07042253522</v>
      </c>
      <c r="AH143" s="2">
        <f t="shared" si="164"/>
        <v>60845.07042253522</v>
      </c>
      <c r="AI143" s="2">
        <f t="shared" si="164"/>
        <v>154284.4579694137</v>
      </c>
    </row>
    <row r="144" spans="1:35" ht="12.75">
      <c r="A144" t="s">
        <v>2</v>
      </c>
      <c r="B144" s="2">
        <f aca="true" t="shared" si="165" ref="B144:G144">SUM(B142:B143)</f>
        <v>0.0001630607141529363</v>
      </c>
      <c r="C144" s="2">
        <f t="shared" si="165"/>
        <v>163777.52726839812</v>
      </c>
      <c r="D144" s="2">
        <f t="shared" si="165"/>
        <v>169176.5903131076</v>
      </c>
      <c r="E144" s="2">
        <f t="shared" si="165"/>
        <v>155645.21028561034</v>
      </c>
      <c r="F144" s="2">
        <f t="shared" si="165"/>
        <v>160546.02315510283</v>
      </c>
      <c r="G144" s="2">
        <f t="shared" si="165"/>
        <v>371527.0941273493</v>
      </c>
      <c r="O144" t="s">
        <v>2</v>
      </c>
      <c r="P144" s="2">
        <f aca="true" t="shared" si="166" ref="P144:U144">SUM(P142:P143)</f>
        <v>0.00016855714271988922</v>
      </c>
      <c r="Q144" s="2">
        <f t="shared" si="166"/>
        <v>167453.6236931756</v>
      </c>
      <c r="R144" s="2">
        <f t="shared" si="166"/>
        <v>173034.6776270326</v>
      </c>
      <c r="S144" s="2">
        <f t="shared" si="166"/>
        <v>159047.1836660242</v>
      </c>
      <c r="T144" s="2">
        <f t="shared" si="166"/>
        <v>164113.1924749378</v>
      </c>
      <c r="U144" s="2">
        <f t="shared" si="166"/>
        <v>378549.35572714766</v>
      </c>
      <c r="AC144" t="s">
        <v>2</v>
      </c>
      <c r="AD144" s="2">
        <f aca="true" t="shared" si="167" ref="AD144:AI144">SUM(AD142:AD143)</f>
        <v>0.0001465714284520776</v>
      </c>
      <c r="AE144" s="2">
        <f t="shared" si="167"/>
        <v>152749.23799406574</v>
      </c>
      <c r="AF144" s="2">
        <f t="shared" si="167"/>
        <v>157602.3283713327</v>
      </c>
      <c r="AG144" s="2">
        <f t="shared" si="167"/>
        <v>145439.29014436886</v>
      </c>
      <c r="AH144" s="2">
        <f t="shared" si="167"/>
        <v>149844.51519559807</v>
      </c>
      <c r="AI144" s="2">
        <f t="shared" si="167"/>
        <v>350460.3093279545</v>
      </c>
    </row>
    <row r="145" spans="1:35" ht="12.75">
      <c r="A145" t="s">
        <v>361</v>
      </c>
      <c r="B145" s="6">
        <v>0</v>
      </c>
      <c r="C145" s="6">
        <f>+C144/C139</f>
        <v>1.6879697883769424</v>
      </c>
      <c r="D145" s="6">
        <f>+D144/D139</f>
        <v>1.743615122978172</v>
      </c>
      <c r="E145" s="6">
        <f>+E144/E139</f>
        <v>1.6041542270761875</v>
      </c>
      <c r="F145" s="6">
        <f>+F144/F139</f>
        <v>1.6546643562750207</v>
      </c>
      <c r="G145" s="6">
        <f>+G144/G139</f>
        <v>1.3736051063857704</v>
      </c>
      <c r="O145" t="s">
        <v>361</v>
      </c>
      <c r="P145" s="6">
        <v>0</v>
      </c>
      <c r="Q145" s="6">
        <f>+Q144/Q139</f>
        <v>1.7008588239136764</v>
      </c>
      <c r="R145" s="6">
        <f>+R144/R139</f>
        <v>1.757546667513478</v>
      </c>
      <c r="S145" s="6">
        <f>+S144/S139</f>
        <v>1.6154729876293568</v>
      </c>
      <c r="T145" s="6">
        <f>+T144/T139</f>
        <v>1.6669294183391106</v>
      </c>
      <c r="U145" s="6">
        <f>+U144/U139</f>
        <v>1.381103494554068</v>
      </c>
      <c r="AC145" t="s">
        <v>361</v>
      </c>
      <c r="AD145" s="6">
        <v>0</v>
      </c>
      <c r="AE145" s="6">
        <f>+AE144/AE139</f>
        <v>1.646924565927222</v>
      </c>
      <c r="AF145" s="6">
        <f>+AF144/AF139</f>
        <v>1.699250023441429</v>
      </c>
      <c r="AG145" s="6">
        <f>+AG144/AG139</f>
        <v>1.5681095561280871</v>
      </c>
      <c r="AH145" s="6">
        <f>+AH144/AH139</f>
        <v>1.615606181647026</v>
      </c>
      <c r="AI145" s="6">
        <f>+AI144/AI139</f>
        <v>1.3498567099297099</v>
      </c>
    </row>
    <row r="147" spans="1:29" ht="12.75">
      <c r="A147" t="s">
        <v>399</v>
      </c>
      <c r="O147" t="s">
        <v>399</v>
      </c>
      <c r="AC147" t="s">
        <v>399</v>
      </c>
    </row>
    <row r="148" spans="1:35" ht="12.75">
      <c r="A148" t="s">
        <v>5</v>
      </c>
      <c r="B148" s="2">
        <f>+B89+B90+B91</f>
        <v>222500</v>
      </c>
      <c r="C148" s="2">
        <f>+C89+0.1*C90-C135</f>
        <v>126412.61357667229</v>
      </c>
      <c r="D148" s="2">
        <f>+D89+0.1*D90-D135</f>
        <v>121013.5505319628</v>
      </c>
      <c r="E148" s="2">
        <f>+E89+0.1*E90-E135</f>
        <v>134544.93055946007</v>
      </c>
      <c r="F148" s="2">
        <f>+F89+0.1*F90-F135</f>
        <v>129644.11768996759</v>
      </c>
      <c r="G148" s="2">
        <f>+G9-G142</f>
        <v>22614.365363623394</v>
      </c>
      <c r="O148" t="s">
        <v>5</v>
      </c>
      <c r="P148" s="2">
        <f>+P89+P90+P91</f>
        <v>230000</v>
      </c>
      <c r="Q148" s="2">
        <f>+Q89+0.1*Q90-Q135</f>
        <v>132518.20729273988</v>
      </c>
      <c r="R148" s="2">
        <f>+R89+0.1*R90-R135</f>
        <v>126937.1533588829</v>
      </c>
      <c r="S148" s="2">
        <f>+S89+0.1*S90-S135</f>
        <v>140924.6473198913</v>
      </c>
      <c r="T148" s="2">
        <f>+T89+0.1*T90-T135</f>
        <v>135858.63851097767</v>
      </c>
      <c r="U148" s="2">
        <f>+U9-U142</f>
        <v>28877.770937678055</v>
      </c>
      <c r="AC148" t="s">
        <v>5</v>
      </c>
      <c r="AD148" s="2">
        <f>+AD89+AD90+AD91</f>
        <v>200000</v>
      </c>
      <c r="AE148" s="2">
        <f>+AE89+0.1*AE90-AE135</f>
        <v>108095.8324284695</v>
      </c>
      <c r="AF148" s="2">
        <f>+AF89+0.1*AF90-AF135</f>
        <v>103242.74205120253</v>
      </c>
      <c r="AG148" s="2">
        <f>+AG89+0.1*AG90-AG135</f>
        <v>115405.78027816632</v>
      </c>
      <c r="AH148" s="2">
        <f>+AH89+0.1*AH90-AH135</f>
        <v>111000.55522693713</v>
      </c>
      <c r="AI148" s="2">
        <f>+AI9-AI142</f>
        <v>3824.1486414592073</v>
      </c>
    </row>
    <row r="149" spans="1:35" ht="12.75">
      <c r="A149" t="s">
        <v>27</v>
      </c>
      <c r="B149" s="2">
        <f aca="true" t="shared" si="168" ref="B149:G149">+B123-B143</f>
        <v>222499.9998369393</v>
      </c>
      <c r="C149" s="2">
        <f t="shared" si="168"/>
        <v>154809.85915492958</v>
      </c>
      <c r="D149" s="2">
        <f t="shared" si="168"/>
        <v>154809.85915492958</v>
      </c>
      <c r="E149" s="2">
        <f t="shared" si="168"/>
        <v>154809.85915492958</v>
      </c>
      <c r="F149" s="2">
        <f t="shared" si="168"/>
        <v>154809.85915492958</v>
      </c>
      <c r="G149" s="2">
        <f t="shared" si="168"/>
        <v>50858.540509027254</v>
      </c>
      <c r="O149" t="s">
        <v>27</v>
      </c>
      <c r="P149" s="2">
        <f aca="true" t="shared" si="169" ref="P149:U149">+P123-P143</f>
        <v>229999.99983144287</v>
      </c>
      <c r="Q149" s="2">
        <f t="shared" si="169"/>
        <v>160028.1690140845</v>
      </c>
      <c r="R149" s="2">
        <f t="shared" si="169"/>
        <v>160028.1690140845</v>
      </c>
      <c r="S149" s="2">
        <f t="shared" si="169"/>
        <v>160028.1690140845</v>
      </c>
      <c r="T149" s="2">
        <f t="shared" si="169"/>
        <v>160028.1690140845</v>
      </c>
      <c r="U149" s="2">
        <f t="shared" si="169"/>
        <v>52572.873335174256</v>
      </c>
      <c r="AC149" t="s">
        <v>27</v>
      </c>
      <c r="AD149" s="2">
        <f aca="true" t="shared" si="170" ref="AD149:AI149">+AD123-AD143</f>
        <v>199999.99985342857</v>
      </c>
      <c r="AE149" s="2">
        <f t="shared" si="170"/>
        <v>139154.9295774648</v>
      </c>
      <c r="AF149" s="2">
        <f t="shared" si="170"/>
        <v>139154.9295774648</v>
      </c>
      <c r="AG149" s="2">
        <f t="shared" si="170"/>
        <v>139154.9295774648</v>
      </c>
      <c r="AH149" s="2">
        <f t="shared" si="170"/>
        <v>139154.9295774648</v>
      </c>
      <c r="AI149" s="2">
        <f t="shared" si="170"/>
        <v>45715.54203058631</v>
      </c>
    </row>
    <row r="150" spans="1:35" ht="12.75">
      <c r="A150" t="s">
        <v>2</v>
      </c>
      <c r="B150" s="2">
        <f aca="true" t="shared" si="171" ref="B150:G150">SUM(B148:B149)</f>
        <v>444999.99983693927</v>
      </c>
      <c r="C150" s="2">
        <f t="shared" si="171"/>
        <v>281222.47273160185</v>
      </c>
      <c r="D150" s="2">
        <f t="shared" si="171"/>
        <v>275823.4096868924</v>
      </c>
      <c r="E150" s="2">
        <f t="shared" si="171"/>
        <v>289354.78971438966</v>
      </c>
      <c r="F150" s="2">
        <f t="shared" si="171"/>
        <v>284453.97684489714</v>
      </c>
      <c r="G150" s="2">
        <f t="shared" si="171"/>
        <v>73472.90587265065</v>
      </c>
      <c r="O150" t="s">
        <v>2</v>
      </c>
      <c r="P150" s="2">
        <f aca="true" t="shared" si="172" ref="P150:U150">SUM(P148:P149)</f>
        <v>459999.99983144284</v>
      </c>
      <c r="Q150" s="2">
        <f t="shared" si="172"/>
        <v>292546.3763068244</v>
      </c>
      <c r="R150" s="2">
        <f t="shared" si="172"/>
        <v>286965.3223729674</v>
      </c>
      <c r="S150" s="2">
        <f t="shared" si="172"/>
        <v>300952.81633397576</v>
      </c>
      <c r="T150" s="2">
        <f t="shared" si="172"/>
        <v>295886.8075250622</v>
      </c>
      <c r="U150" s="2">
        <f t="shared" si="172"/>
        <v>81450.64427285231</v>
      </c>
      <c r="AC150" t="s">
        <v>2</v>
      </c>
      <c r="AD150" s="2">
        <f aca="true" t="shared" si="173" ref="AD150:AI150">SUM(AD148:AD149)</f>
        <v>399999.99985342857</v>
      </c>
      <c r="AE150" s="2">
        <f t="shared" si="173"/>
        <v>247250.7620059343</v>
      </c>
      <c r="AF150" s="2">
        <f t="shared" si="173"/>
        <v>242397.67162866733</v>
      </c>
      <c r="AG150" s="2">
        <f t="shared" si="173"/>
        <v>254560.7098556311</v>
      </c>
      <c r="AH150" s="2">
        <f t="shared" si="173"/>
        <v>250155.48480440193</v>
      </c>
      <c r="AI150" s="2">
        <f t="shared" si="173"/>
        <v>49539.690672045515</v>
      </c>
    </row>
    <row r="151" spans="1:35" ht="12.75">
      <c r="A151" t="s">
        <v>25</v>
      </c>
      <c r="B151" s="2">
        <f aca="true" t="shared" si="174" ref="B151:G151">+B127-B139</f>
        <v>333689.31794310524</v>
      </c>
      <c r="C151" s="2">
        <f t="shared" si="174"/>
        <v>235726.1560967802</v>
      </c>
      <c r="D151" s="2">
        <f t="shared" si="174"/>
        <v>229928.29862263193</v>
      </c>
      <c r="E151" s="2">
        <f t="shared" si="174"/>
        <v>228615.23840195267</v>
      </c>
      <c r="F151" s="2">
        <f t="shared" si="174"/>
        <v>223826.83947013674</v>
      </c>
      <c r="G151" s="2">
        <f t="shared" si="174"/>
        <v>54400.95318176539</v>
      </c>
      <c r="O151" t="s">
        <v>25</v>
      </c>
      <c r="P151" s="2">
        <f aca="true" t="shared" si="175" ref="P151:U151">+P127-P139</f>
        <v>344937.2724851245</v>
      </c>
      <c r="Q151" s="2">
        <f t="shared" si="175"/>
        <v>245516.47596521105</v>
      </c>
      <c r="R151" s="2">
        <f t="shared" si="175"/>
        <v>239523.1850930578</v>
      </c>
      <c r="S151" s="2">
        <f t="shared" si="175"/>
        <v>238165.8644155016</v>
      </c>
      <c r="T151" s="2">
        <f t="shared" si="175"/>
        <v>233216.0587781188</v>
      </c>
      <c r="U151" s="2">
        <f t="shared" si="175"/>
        <v>61735.81677216198</v>
      </c>
      <c r="AC151" t="s">
        <v>25</v>
      </c>
      <c r="AD151" s="2">
        <f aca="true" t="shared" si="176" ref="AD151:AI151">+AD127-AD139</f>
        <v>299945.4543170474</v>
      </c>
      <c r="AE151" s="2">
        <f t="shared" si="176"/>
        <v>206355.19649148785</v>
      </c>
      <c r="AF151" s="2">
        <f t="shared" si="176"/>
        <v>201143.63921135454</v>
      </c>
      <c r="AG151" s="2">
        <f t="shared" si="176"/>
        <v>199963.36036130576</v>
      </c>
      <c r="AH151" s="2">
        <f t="shared" si="176"/>
        <v>195659.1815461903</v>
      </c>
      <c r="AI151" s="2">
        <f t="shared" si="176"/>
        <v>32396.362410575617</v>
      </c>
    </row>
    <row r="152" spans="1:35" ht="12.75">
      <c r="A152" t="s">
        <v>361</v>
      </c>
      <c r="B152" s="3">
        <f aca="true" t="shared" si="177" ref="B152:G152">+B150/B151</f>
        <v>1.3335758021262543</v>
      </c>
      <c r="C152" s="3">
        <f t="shared" si="177"/>
        <v>1.1930049570576402</v>
      </c>
      <c r="D152" s="3">
        <f t="shared" si="177"/>
        <v>1.1996061874036021</v>
      </c>
      <c r="E152" s="3">
        <f t="shared" si="177"/>
        <v>1.2656846137510938</v>
      </c>
      <c r="F152" s="3">
        <f t="shared" si="177"/>
        <v>1.2708662532084287</v>
      </c>
      <c r="G152" s="3">
        <f t="shared" si="177"/>
        <v>1.3505812228539769</v>
      </c>
      <c r="O152" t="s">
        <v>361</v>
      </c>
      <c r="P152" s="3">
        <f aca="true" t="shared" si="178" ref="P152:U152">+P150/P151</f>
        <v>1.3335758021084267</v>
      </c>
      <c r="Q152" s="3">
        <f t="shared" si="178"/>
        <v>1.1915549665525393</v>
      </c>
      <c r="R152" s="3">
        <f t="shared" si="178"/>
        <v>1.1980690815441424</v>
      </c>
      <c r="S152" s="3">
        <f t="shared" si="178"/>
        <v>1.2636269982373995</v>
      </c>
      <c r="T152" s="3">
        <f t="shared" si="178"/>
        <v>1.2687239852833985</v>
      </c>
      <c r="U152" s="3">
        <f t="shared" si="178"/>
        <v>1.319341810499544</v>
      </c>
      <c r="AC152" t="s">
        <v>361</v>
      </c>
      <c r="AD152" s="3">
        <f aca="true" t="shared" si="179" ref="AD152:AI152">+AD150/AD151</f>
        <v>1.33357580218776</v>
      </c>
      <c r="AE152" s="3">
        <f t="shared" si="179"/>
        <v>1.198180449098278</v>
      </c>
      <c r="AF152" s="3">
        <f t="shared" si="179"/>
        <v>1.205097375085098</v>
      </c>
      <c r="AG152" s="3">
        <f t="shared" si="179"/>
        <v>1.2730367673141498</v>
      </c>
      <c r="AH152" s="3">
        <f t="shared" si="179"/>
        <v>1.2785266851652777</v>
      </c>
      <c r="AI152" s="3">
        <f t="shared" si="179"/>
        <v>1.5291744808939893</v>
      </c>
    </row>
    <row r="154" spans="1:35" ht="12.75">
      <c r="A154" t="s">
        <v>572</v>
      </c>
      <c r="B154" s="2">
        <f aca="true" t="shared" si="180" ref="B154:G154">+B150+B144</f>
        <v>445000</v>
      </c>
      <c r="C154" s="2">
        <f t="shared" si="180"/>
        <v>445000</v>
      </c>
      <c r="D154" s="2">
        <f t="shared" si="180"/>
        <v>445000</v>
      </c>
      <c r="E154" s="2">
        <f t="shared" si="180"/>
        <v>445000</v>
      </c>
      <c r="F154" s="2">
        <f t="shared" si="180"/>
        <v>445000</v>
      </c>
      <c r="G154" s="2">
        <f t="shared" si="180"/>
        <v>445000</v>
      </c>
      <c r="O154" t="s">
        <v>572</v>
      </c>
      <c r="P154" s="2">
        <f aca="true" t="shared" si="181" ref="P154:U154">+P150+P144</f>
        <v>460000</v>
      </c>
      <c r="Q154" s="2">
        <f t="shared" si="181"/>
        <v>460000</v>
      </c>
      <c r="R154" s="2">
        <f t="shared" si="181"/>
        <v>460000</v>
      </c>
      <c r="S154" s="2">
        <f t="shared" si="181"/>
        <v>460000</v>
      </c>
      <c r="T154" s="2">
        <f t="shared" si="181"/>
        <v>460000</v>
      </c>
      <c r="U154" s="2">
        <f t="shared" si="181"/>
        <v>460000</v>
      </c>
      <c r="AC154" t="s">
        <v>572</v>
      </c>
      <c r="AD154" s="2">
        <f aca="true" t="shared" si="182" ref="AD154:AI154">+AD150+AD144</f>
        <v>400000</v>
      </c>
      <c r="AE154" s="2">
        <f t="shared" si="182"/>
        <v>400000</v>
      </c>
      <c r="AF154" s="2">
        <f t="shared" si="182"/>
        <v>400000</v>
      </c>
      <c r="AG154" s="2">
        <f t="shared" si="182"/>
        <v>400000</v>
      </c>
      <c r="AH154" s="2">
        <f t="shared" si="182"/>
        <v>400000</v>
      </c>
      <c r="AI154" s="2">
        <f t="shared" si="182"/>
        <v>400000</v>
      </c>
    </row>
  </sheetData>
  <mergeCells count="6">
    <mergeCell ref="AD44:AF44"/>
    <mergeCell ref="AG44:AI44"/>
    <mergeCell ref="B44:D44"/>
    <mergeCell ref="E44:G44"/>
    <mergeCell ref="P44:R44"/>
    <mergeCell ref="S44:U44"/>
  </mergeCells>
  <printOptions/>
  <pageMargins left="0.75" right="0.75" top="1" bottom="1" header="0.5" footer="0.5"/>
  <pageSetup fitToHeight="0" fitToWidth="1" horizontalDpi="600" verticalDpi="600" orientation="portrait" scale="83" r:id="rId1"/>
  <rowBreaks count="2" manualBreakCount="2">
    <brk id="43" max="6" man="1"/>
    <brk id="10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2"/>
  <sheetViews>
    <sheetView view="pageBreakPreview" zoomScale="60" zoomScaleNormal="75" workbookViewId="0" topLeftCell="A1">
      <selection activeCell="A288" sqref="A288:IV291"/>
    </sheetView>
  </sheetViews>
  <sheetFormatPr defaultColWidth="9.140625" defaultRowHeight="12.75"/>
  <cols>
    <col min="1" max="1" width="5.57421875" style="0" customWidth="1"/>
    <col min="2" max="2" width="51.57421875" style="0" customWidth="1"/>
    <col min="3" max="3" width="16.7109375" style="0" customWidth="1"/>
    <col min="4" max="4" width="19.8515625" style="0" customWidth="1"/>
    <col min="5" max="5" width="15.57421875" style="0" customWidth="1"/>
    <col min="6" max="6" width="3.8515625" style="0" customWidth="1"/>
    <col min="7" max="7" width="5.140625" style="0" customWidth="1"/>
    <col min="8" max="8" width="4.140625" style="0" customWidth="1"/>
    <col min="9" max="9" width="3.7109375" style="0" customWidth="1"/>
    <col min="10" max="10" width="5.28125" style="0" customWidth="1"/>
    <col min="11" max="11" width="3.8515625" style="0" customWidth="1"/>
    <col min="12" max="12" width="3.421875" style="0" customWidth="1"/>
    <col min="13" max="13" width="3.8515625" style="0" customWidth="1"/>
    <col min="14" max="14" width="4.140625" style="0" customWidth="1"/>
    <col min="15" max="15" width="5.140625" style="0" customWidth="1"/>
    <col min="16" max="16" width="42.421875" style="0" customWidth="1"/>
    <col min="17" max="17" width="16.28125" style="0" customWidth="1"/>
    <col min="18" max="18" width="14.7109375" style="0" customWidth="1"/>
    <col min="19" max="19" width="13.7109375" style="0" customWidth="1"/>
    <col min="20" max="20" width="5.140625" style="0" customWidth="1"/>
    <col min="21" max="21" width="3.7109375" style="0" customWidth="1"/>
    <col min="22" max="23" width="4.8515625" style="0" customWidth="1"/>
    <col min="24" max="24" width="3.8515625" style="0" customWidth="1"/>
    <col min="25" max="25" width="5.28125" style="0" customWidth="1"/>
    <col min="26" max="26" width="4.57421875" style="0" customWidth="1"/>
    <col min="27" max="27" width="3.421875" style="0" customWidth="1"/>
    <col min="28" max="28" width="3.00390625" style="0" customWidth="1"/>
    <col min="29" max="29" width="5.28125" style="0" customWidth="1"/>
    <col min="30" max="30" width="43.7109375" style="0" customWidth="1"/>
    <col min="31" max="31" width="15.8515625" style="0" customWidth="1"/>
    <col min="32" max="32" width="16.8515625" style="0" customWidth="1"/>
    <col min="33" max="33" width="13.42187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364</v>
      </c>
      <c r="B3" s="17"/>
      <c r="C3" s="18"/>
      <c r="D3" s="21"/>
      <c r="E3" s="21"/>
      <c r="O3" s="17" t="s">
        <v>364</v>
      </c>
      <c r="P3" s="17"/>
      <c r="Q3" s="18"/>
      <c r="R3" s="21"/>
      <c r="S3" s="21"/>
      <c r="AC3" s="17" t="s">
        <v>364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+'Sensitivity Anal'!B4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462</v>
      </c>
      <c r="D39" s="21"/>
      <c r="E39" s="21"/>
      <c r="O39" s="11"/>
      <c r="P39" s="11"/>
      <c r="Q39" s="21" t="s">
        <v>384</v>
      </c>
      <c r="R39" s="21"/>
      <c r="S39" s="21"/>
      <c r="AC39" s="11"/>
      <c r="AD39" s="11"/>
      <c r="AE39" s="21" t="s">
        <v>384</v>
      </c>
      <c r="AF39" s="21"/>
      <c r="AG39" s="21"/>
    </row>
    <row r="40" spans="1:33" ht="12.75">
      <c r="A40" s="11"/>
      <c r="B40" s="11"/>
      <c r="C40" s="24" t="s">
        <v>92</v>
      </c>
      <c r="D40" s="24" t="s">
        <v>551</v>
      </c>
      <c r="E40" s="24" t="s">
        <v>40</v>
      </c>
      <c r="O40" s="11"/>
      <c r="P40" s="11"/>
      <c r="Q40" s="24" t="s">
        <v>92</v>
      </c>
      <c r="R40" s="24" t="s">
        <v>551</v>
      </c>
      <c r="S40" s="24" t="s">
        <v>40</v>
      </c>
      <c r="AC40" s="11"/>
      <c r="AD40" s="11"/>
      <c r="AE40" s="24" t="s">
        <v>92</v>
      </c>
      <c r="AF40" s="24" t="s">
        <v>551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280299.02703401435</v>
      </c>
      <c r="D43" s="30">
        <f>+'mode ch'!B139</f>
        <v>0.0002387129463455852</v>
      </c>
      <c r="E43" s="30">
        <f>+'mode ch'!B129</f>
        <v>280299.0272727273</v>
      </c>
      <c r="O43" s="11" t="s">
        <v>96</v>
      </c>
      <c r="P43" s="11" t="s">
        <v>365</v>
      </c>
      <c r="Q43" s="30">
        <f>+S43-R43</f>
        <v>289747.30884876085</v>
      </c>
      <c r="R43" s="30">
        <f>+'mode ch'!P139</f>
        <v>0.00024214821419993077</v>
      </c>
      <c r="S43" s="30">
        <f>+'mode ch'!P129</f>
        <v>289747.3090909091</v>
      </c>
      <c r="AC43" s="11" t="s">
        <v>96</v>
      </c>
      <c r="AD43" s="11" t="s">
        <v>365</v>
      </c>
      <c r="AE43" s="30">
        <f>+AG43-AF43</f>
        <v>251954.18158977464</v>
      </c>
      <c r="AF43" s="30">
        <f>+'mode ch'!AD139</f>
        <v>0.0002284071427825485</v>
      </c>
      <c r="AG43" s="30">
        <f>+'mode ch'!AD129</f>
        <v>251954.1818181818</v>
      </c>
    </row>
    <row r="44" spans="1:33" ht="12.75">
      <c r="A44" s="11" t="s">
        <v>97</v>
      </c>
      <c r="B44" s="11" t="s">
        <v>98</v>
      </c>
      <c r="C44" s="30">
        <f>+'mode ch'!B112</f>
        <v>24000</v>
      </c>
      <c r="D44" s="30">
        <f>+'mode ch'!B111</f>
        <v>2.2800000000000002E-05</v>
      </c>
      <c r="E44" s="14"/>
      <c r="O44" s="11" t="s">
        <v>97</v>
      </c>
      <c r="P44" s="11" t="s">
        <v>98</v>
      </c>
      <c r="Q44" s="30">
        <f>+'mode ch'!P112</f>
        <v>24000</v>
      </c>
      <c r="R44" s="30">
        <f>+'mode ch'!P111</f>
        <v>2.2800000000000002E-05</v>
      </c>
      <c r="S44" s="14"/>
      <c r="AC44" s="11" t="s">
        <v>97</v>
      </c>
      <c r="AD44" s="11" t="s">
        <v>98</v>
      </c>
      <c r="AE44" s="30">
        <f>+'mode ch'!AD112</f>
        <v>24000</v>
      </c>
      <c r="AF44" s="30">
        <f>+'mode ch'!AD111</f>
        <v>2.2800000000000002E-05</v>
      </c>
      <c r="AG44" s="14"/>
    </row>
    <row r="45" spans="1:33" ht="12.75">
      <c r="A45" s="11" t="s">
        <v>99</v>
      </c>
      <c r="B45" s="11" t="s">
        <v>65</v>
      </c>
      <c r="C45" s="14">
        <f>C43/C44</f>
        <v>11.679126126417264</v>
      </c>
      <c r="D45" s="14"/>
      <c r="E45" s="14"/>
      <c r="O45" s="11" t="s">
        <v>99</v>
      </c>
      <c r="P45" s="11" t="s">
        <v>65</v>
      </c>
      <c r="Q45" s="14">
        <f>Q43/Q44</f>
        <v>12.072804535365036</v>
      </c>
      <c r="R45" s="14"/>
      <c r="S45" s="14"/>
      <c r="AC45" s="11" t="s">
        <v>99</v>
      </c>
      <c r="AD45" s="11" t="s">
        <v>65</v>
      </c>
      <c r="AE45" s="14">
        <f>AE43/AE44</f>
        <v>10.498090899573944</v>
      </c>
      <c r="AF45" s="14"/>
      <c r="AG45" s="14"/>
    </row>
    <row r="46" spans="1:33" ht="12.75">
      <c r="A46" s="11" t="s">
        <v>100</v>
      </c>
      <c r="B46" s="11" t="s">
        <v>67</v>
      </c>
      <c r="C46" s="14">
        <f>C44</f>
        <v>24000</v>
      </c>
      <c r="D46" s="14"/>
      <c r="E46" s="14"/>
      <c r="O46" s="11" t="s">
        <v>100</v>
      </c>
      <c r="P46" s="11" t="s">
        <v>67</v>
      </c>
      <c r="Q46" s="14">
        <f>Q44</f>
        <v>24000</v>
      </c>
      <c r="R46" s="14"/>
      <c r="S46" s="14"/>
      <c r="AC46" s="11" t="s">
        <v>100</v>
      </c>
      <c r="AD46" s="11" t="s">
        <v>67</v>
      </c>
      <c r="AE46" s="14">
        <f>AE44</f>
        <v>24000</v>
      </c>
      <c r="AF46" s="14"/>
      <c r="AG46" s="14"/>
    </row>
    <row r="47" spans="1:33" ht="12.75">
      <c r="A47" s="11" t="s">
        <v>101</v>
      </c>
      <c r="B47" s="11" t="s">
        <v>69</v>
      </c>
      <c r="C47" s="31">
        <f>0.0551483782*(C45)^3-0.0189486676*(C45)^4+0.0023287974*((C45)^5)-(0.0001133801*((C45)^6))+(0.0000018954*((C45)^7))</f>
        <v>9.783133859728451</v>
      </c>
      <c r="D47" s="31"/>
      <c r="E47" s="31"/>
      <c r="O47" s="11" t="s">
        <v>101</v>
      </c>
      <c r="P47" s="11" t="s">
        <v>69</v>
      </c>
      <c r="Q47" s="31">
        <f>0.0551483782*(Q45)^3-0.0189486676*(Q45)^4+0.0023287974*((Q45)^5)-(0.0001133801*((Q45)^6))+(0.0000018954*((Q45)^7))</f>
        <v>11.561179657689067</v>
      </c>
      <c r="R47" s="31"/>
      <c r="S47" s="31"/>
      <c r="AC47" s="11" t="s">
        <v>101</v>
      </c>
      <c r="AD47" s="11" t="s">
        <v>69</v>
      </c>
      <c r="AE47" s="31">
        <f>0.0551483782*(AE45)^3-0.0189486676*(AE45)^4+0.0023287974*((AE45)^5)-(0.0001133801*((AE45)^6))+(0.0000018954*((AE45)^7))</f>
        <v>5.463320087968899</v>
      </c>
      <c r="AF47" s="31"/>
      <c r="AG47" s="31"/>
    </row>
    <row r="48" spans="1:33" ht="12.75">
      <c r="A48" s="11" t="s">
        <v>102</v>
      </c>
      <c r="B48" s="11" t="s">
        <v>71</v>
      </c>
      <c r="C48" s="31">
        <f>1/((1/60)+C47/1000)</f>
        <v>37.80746849119211</v>
      </c>
      <c r="D48" s="31"/>
      <c r="E48" s="31"/>
      <c r="O48" s="11" t="s">
        <v>102</v>
      </c>
      <c r="P48" s="11" t="s">
        <v>71</v>
      </c>
      <c r="Q48" s="31">
        <f>1/((1/60)+Q47/1000)</f>
        <v>35.42601119863592</v>
      </c>
      <c r="R48" s="31"/>
      <c r="S48" s="31"/>
      <c r="AC48" s="11" t="s">
        <v>102</v>
      </c>
      <c r="AD48" s="11" t="s">
        <v>71</v>
      </c>
      <c r="AE48" s="31">
        <f>1/((1/60)+AE47/1000)</f>
        <v>45.187555288099304</v>
      </c>
      <c r="AF48" s="31"/>
      <c r="AG48" s="31"/>
    </row>
    <row r="49" spans="1:33" ht="12.75">
      <c r="A49" s="11" t="s">
        <v>103</v>
      </c>
      <c r="B49" s="11" t="s">
        <v>73</v>
      </c>
      <c r="C49" s="14">
        <f>(1/C48)*C15</f>
        <v>7413.853359106222</v>
      </c>
      <c r="D49" s="14"/>
      <c r="E49" s="14"/>
      <c r="O49" s="11" t="s">
        <v>103</v>
      </c>
      <c r="P49" s="11" t="s">
        <v>73</v>
      </c>
      <c r="Q49" s="14">
        <f>(1/Q48)*Q15</f>
        <v>8178.942513913783</v>
      </c>
      <c r="R49" s="14"/>
      <c r="S49" s="14"/>
      <c r="AC49" s="11" t="s">
        <v>103</v>
      </c>
      <c r="AD49" s="11" t="s">
        <v>73</v>
      </c>
      <c r="AE49" s="14">
        <f>(1/AE48)*AE15</f>
        <v>5575.7427064114045</v>
      </c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>
        <f>+C19/C28</f>
        <v>1.1075949367088607</v>
      </c>
      <c r="D51" s="14"/>
      <c r="E51" s="14"/>
      <c r="O51" s="11"/>
      <c r="P51" s="11" t="s">
        <v>402</v>
      </c>
      <c r="Q51" s="31">
        <f>+Q19/Q28</f>
        <v>1.1075949367088607</v>
      </c>
      <c r="R51" s="14"/>
      <c r="S51" s="14"/>
      <c r="AC51" s="11"/>
      <c r="AD51" s="11" t="s">
        <v>402</v>
      </c>
      <c r="AE51" s="31">
        <f>+AE19/AE28</f>
        <v>1.1075949367088604</v>
      </c>
      <c r="AF51" s="14"/>
      <c r="AG51" s="14"/>
    </row>
    <row r="52" spans="1:33" ht="12.75">
      <c r="A52" s="11"/>
      <c r="B52" s="11" t="s">
        <v>403</v>
      </c>
      <c r="C52" s="14">
        <f>+C44*C16*C51</f>
        <v>1419235581.127733</v>
      </c>
      <c r="D52" s="14"/>
      <c r="E52" s="14"/>
      <c r="O52" s="11"/>
      <c r="P52" s="11" t="s">
        <v>403</v>
      </c>
      <c r="Q52" s="14">
        <f>+Q44*Q16*Q51</f>
        <v>1467074982.7387803</v>
      </c>
      <c r="R52" s="14"/>
      <c r="S52" s="14"/>
      <c r="AC52" s="11"/>
      <c r="AD52" s="11" t="s">
        <v>403</v>
      </c>
      <c r="AE52" s="14">
        <f>+AE44*AE16*AE51</f>
        <v>1275717376.2945914</v>
      </c>
      <c r="AF52" s="14"/>
      <c r="AG52" s="14"/>
    </row>
    <row r="53" spans="1:33" ht="12.75">
      <c r="A53" s="11"/>
      <c r="B53" s="11" t="s">
        <v>472</v>
      </c>
      <c r="C53" s="14">
        <f>+C43*C29</f>
        <v>1121196108.1360574</v>
      </c>
      <c r="D53" s="14"/>
      <c r="E53" s="14"/>
      <c r="O53" s="11"/>
      <c r="P53" s="11" t="s">
        <v>472</v>
      </c>
      <c r="Q53" s="14">
        <f>+Q43*Q29</f>
        <v>1158989235.3950434</v>
      </c>
      <c r="R53" s="14"/>
      <c r="S53" s="14"/>
      <c r="AC53" s="11"/>
      <c r="AD53" s="11" t="s">
        <v>472</v>
      </c>
      <c r="AE53" s="14">
        <f>+AE43*AE29</f>
        <v>1007816726.3590986</v>
      </c>
      <c r="AF53" s="14"/>
      <c r="AG53" s="14"/>
    </row>
    <row r="54" spans="1:33" ht="12.75">
      <c r="A54" s="11"/>
      <c r="B54" s="11" t="s">
        <v>405</v>
      </c>
      <c r="C54" s="14">
        <f>+C52-C53</f>
        <v>298039472.9916756</v>
      </c>
      <c r="D54" s="14"/>
      <c r="E54" s="14"/>
      <c r="O54" s="11"/>
      <c r="P54" s="11" t="s">
        <v>405</v>
      </c>
      <c r="Q54" s="14">
        <f>+Q52-Q53</f>
        <v>308085747.3437369</v>
      </c>
      <c r="R54" s="14"/>
      <c r="S54" s="14"/>
      <c r="AC54" s="11"/>
      <c r="AD54" s="11" t="s">
        <v>405</v>
      </c>
      <c r="AE54" s="14">
        <f>+AE52-AE53</f>
        <v>267900649.93549287</v>
      </c>
      <c r="AF54" s="14"/>
      <c r="AG54" s="14"/>
    </row>
    <row r="55" spans="1:33" ht="12.75">
      <c r="A55" s="11"/>
      <c r="B55" s="11" t="s">
        <v>406</v>
      </c>
      <c r="C55" s="14">
        <f>+C44*C51</f>
        <v>26582.278481012658</v>
      </c>
      <c r="D55" s="14"/>
      <c r="E55" s="14"/>
      <c r="O55" s="11"/>
      <c r="P55" s="11" t="s">
        <v>406</v>
      </c>
      <c r="Q55" s="14">
        <f>+Q44*Q51</f>
        <v>26582.278481012658</v>
      </c>
      <c r="R55" s="14"/>
      <c r="S55" s="14"/>
      <c r="AC55" s="11"/>
      <c r="AD55" s="11" t="s">
        <v>406</v>
      </c>
      <c r="AE55" s="14">
        <f>+AE44*AE51</f>
        <v>26582.27848101265</v>
      </c>
      <c r="AF55" s="14"/>
      <c r="AG55" s="14"/>
    </row>
    <row r="56" spans="1:33" ht="12.75">
      <c r="A56" s="11"/>
      <c r="B56" s="11" t="s">
        <v>407</v>
      </c>
      <c r="C56" s="14">
        <f>+C29</f>
        <v>4000</v>
      </c>
      <c r="D56" s="14"/>
      <c r="E56" s="14"/>
      <c r="O56" s="11"/>
      <c r="P56" s="11" t="s">
        <v>407</v>
      </c>
      <c r="Q56" s="14">
        <f>+Q29</f>
        <v>4000</v>
      </c>
      <c r="R56" s="14"/>
      <c r="S56" s="14"/>
      <c r="AC56" s="11"/>
      <c r="AD56" s="11" t="s">
        <v>407</v>
      </c>
      <c r="AE56" s="14">
        <f>+AE29</f>
        <v>4000</v>
      </c>
      <c r="AF56" s="14"/>
      <c r="AG56" s="14"/>
    </row>
    <row r="57" spans="1:33" ht="12.75">
      <c r="A57" s="11"/>
      <c r="B57" s="11" t="s">
        <v>408</v>
      </c>
      <c r="C57" s="14">
        <f>SUM(C55:C56)</f>
        <v>30582.278481012658</v>
      </c>
      <c r="D57" s="14"/>
      <c r="E57" s="14"/>
      <c r="O57" s="11"/>
      <c r="P57" s="11" t="s">
        <v>408</v>
      </c>
      <c r="Q57" s="14">
        <f>SUM(Q55:Q56)</f>
        <v>30582.278481012658</v>
      </c>
      <c r="R57" s="14"/>
      <c r="S57" s="14"/>
      <c r="AC57" s="11"/>
      <c r="AD57" s="11" t="s">
        <v>408</v>
      </c>
      <c r="AE57" s="14">
        <f>SUM(AE55:AE56)</f>
        <v>30582.27848101265</v>
      </c>
      <c r="AF57" s="14"/>
      <c r="AG57" s="14"/>
    </row>
    <row r="58" spans="1:33" ht="12.75">
      <c r="A58" s="11" t="s">
        <v>104</v>
      </c>
      <c r="B58" s="11" t="s">
        <v>105</v>
      </c>
      <c r="C58" s="14">
        <f>+C54/C57</f>
        <v>9745.49601255893</v>
      </c>
      <c r="D58" s="14">
        <v>0</v>
      </c>
      <c r="E58" s="14"/>
      <c r="O58" s="11" t="s">
        <v>104</v>
      </c>
      <c r="P58" s="11" t="s">
        <v>105</v>
      </c>
      <c r="Q58" s="14">
        <f>+Q54/Q57</f>
        <v>10073.995877547688</v>
      </c>
      <c r="R58" s="14">
        <v>0</v>
      </c>
      <c r="S58" s="14"/>
      <c r="AC58" s="11" t="s">
        <v>104</v>
      </c>
      <c r="AD58" s="11" t="s">
        <v>105</v>
      </c>
      <c r="AE58" s="14">
        <f>+AE54/AE57</f>
        <v>8759.99641759269</v>
      </c>
      <c r="AF58" s="14">
        <v>0</v>
      </c>
      <c r="AG58" s="14"/>
    </row>
    <row r="59" spans="1:33" ht="12.75">
      <c r="A59" s="11" t="s">
        <v>106</v>
      </c>
      <c r="B59" s="11" t="s">
        <v>107</v>
      </c>
      <c r="C59" s="14">
        <f>+C43+C58</f>
        <v>290044.5230465733</v>
      </c>
      <c r="D59" s="14">
        <f>D43+D58</f>
        <v>0.0002387129463455852</v>
      </c>
      <c r="E59" s="14"/>
      <c r="O59" s="11" t="s">
        <v>106</v>
      </c>
      <c r="P59" s="11" t="s">
        <v>107</v>
      </c>
      <c r="Q59" s="14">
        <f>+Q43+Q58</f>
        <v>299821.30472630856</v>
      </c>
      <c r="R59" s="14">
        <f>R43+R58</f>
        <v>0.00024214821419993077</v>
      </c>
      <c r="S59" s="14"/>
      <c r="AC59" s="11" t="s">
        <v>106</v>
      </c>
      <c r="AD59" s="11" t="s">
        <v>107</v>
      </c>
      <c r="AE59" s="14">
        <f>+AE43+AE58</f>
        <v>260714.17800736733</v>
      </c>
      <c r="AF59" s="14">
        <f>AF43+AF58</f>
        <v>0.0002284071427825485</v>
      </c>
      <c r="AG59" s="14"/>
    </row>
    <row r="60" spans="1:33" ht="12.75">
      <c r="A60" s="11" t="s">
        <v>108</v>
      </c>
      <c r="B60" s="11" t="s">
        <v>109</v>
      </c>
      <c r="C60" s="31">
        <f>C59/C44</f>
        <v>12.085188460273887</v>
      </c>
      <c r="D60" s="31"/>
      <c r="E60" s="31"/>
      <c r="O60" s="11" t="s">
        <v>108</v>
      </c>
      <c r="P60" s="11" t="s">
        <v>109</v>
      </c>
      <c r="Q60" s="31">
        <f>Q59/Q44</f>
        <v>12.49255436359619</v>
      </c>
      <c r="R60" s="31"/>
      <c r="S60" s="31"/>
      <c r="AC60" s="11" t="s">
        <v>108</v>
      </c>
      <c r="AD60" s="11" t="s">
        <v>109</v>
      </c>
      <c r="AE60" s="31">
        <f>AE59/AE44</f>
        <v>10.863090750306972</v>
      </c>
      <c r="AF60" s="31"/>
      <c r="AG60" s="31"/>
    </row>
    <row r="61" spans="1:33" ht="12.75">
      <c r="A61" s="11" t="s">
        <v>110</v>
      </c>
      <c r="B61" s="11" t="s">
        <v>111</v>
      </c>
      <c r="C61" s="31">
        <f>0.0551483782*(C60)^3-0.0189486676*(C60)^4+0.0023287974*((C60)^5)-(0.0001133801*((C60)^6))+(0.0000018954*((C60)^7))</f>
        <v>11.619627784915636</v>
      </c>
      <c r="D61" s="31"/>
      <c r="E61" s="31"/>
      <c r="O61" s="11" t="s">
        <v>110</v>
      </c>
      <c r="P61" s="11" t="s">
        <v>111</v>
      </c>
      <c r="Q61" s="31">
        <f>0.0551483782*(Q60)^3-0.0189486676*(Q60)^4+0.0023287974*((Q60)^5)-(0.0001133801*((Q60)^6))+(0.0000018954*((Q60)^7))</f>
        <v>13.621303401579198</v>
      </c>
      <c r="R61" s="31"/>
      <c r="S61" s="31"/>
      <c r="AC61" s="11" t="s">
        <v>110</v>
      </c>
      <c r="AD61" s="11" t="s">
        <v>111</v>
      </c>
      <c r="AE61" s="31">
        <f>0.0551483782*(AE60)^3-0.0189486676*(AE60)^4+0.0023287974*((AE60)^5)-(0.0001133801*((AE60)^6))+(0.0000018954*((AE60)^7))</f>
        <v>6.629636942126545</v>
      </c>
      <c r="AF61" s="31"/>
      <c r="AG61" s="31"/>
    </row>
    <row r="62" spans="1:33" ht="12.75">
      <c r="A62" s="11" t="s">
        <v>112</v>
      </c>
      <c r="B62" s="11" t="s">
        <v>113</v>
      </c>
      <c r="C62" s="31">
        <f>1/((1/60)+C61/1000)</f>
        <v>35.35281023506637</v>
      </c>
      <c r="D62" s="31"/>
      <c r="E62" s="31"/>
      <c r="O62" s="11" t="s">
        <v>112</v>
      </c>
      <c r="P62" s="11" t="s">
        <v>113</v>
      </c>
      <c r="Q62" s="31">
        <f>1/((1/60)+Q61/1000)</f>
        <v>33.01640875062827</v>
      </c>
      <c r="R62" s="31"/>
      <c r="S62" s="31"/>
      <c r="AC62" s="11" t="s">
        <v>112</v>
      </c>
      <c r="AD62" s="11" t="s">
        <v>113</v>
      </c>
      <c r="AE62" s="31">
        <f>1/((1/60)+AE61/1000)</f>
        <v>42.92526474554311</v>
      </c>
      <c r="AF62" s="31"/>
      <c r="AG62" s="31"/>
    </row>
    <row r="63" spans="1:33" ht="12.75">
      <c r="A63" s="11" t="s">
        <v>114</v>
      </c>
      <c r="B63" s="11" t="s">
        <v>115</v>
      </c>
      <c r="C63" s="14">
        <f>(1/C62)*C15</f>
        <v>7928.620819928462</v>
      </c>
      <c r="D63" s="14"/>
      <c r="E63" s="14"/>
      <c r="O63" s="11" t="s">
        <v>114</v>
      </c>
      <c r="P63" s="11" t="s">
        <v>115</v>
      </c>
      <c r="Q63" s="14">
        <f>(1/Q62)*Q15</f>
        <v>8775.857825100236</v>
      </c>
      <c r="R63" s="14"/>
      <c r="S63" s="14"/>
      <c r="AC63" s="11" t="s">
        <v>114</v>
      </c>
      <c r="AD63" s="11" t="s">
        <v>115</v>
      </c>
      <c r="AE63" s="14">
        <f>(1/AE62)*AE15</f>
        <v>5869.60111514145</v>
      </c>
      <c r="AF63" s="14"/>
      <c r="AG63" s="14"/>
    </row>
    <row r="64" spans="1:33" ht="12.75">
      <c r="A64" s="11" t="s">
        <v>116</v>
      </c>
      <c r="B64" s="11" t="s">
        <v>117</v>
      </c>
      <c r="C64" s="14">
        <f>+C58/1000</f>
        <v>9.74549601255893</v>
      </c>
      <c r="D64" s="14"/>
      <c r="E64" s="14"/>
      <c r="O64" s="11" t="s">
        <v>116</v>
      </c>
      <c r="P64" s="11" t="s">
        <v>117</v>
      </c>
      <c r="Q64" s="14">
        <f>+Q58/1000</f>
        <v>10.073995877547688</v>
      </c>
      <c r="R64" s="14"/>
      <c r="S64" s="14"/>
      <c r="AC64" s="11" t="s">
        <v>116</v>
      </c>
      <c r="AD64" s="11" t="s">
        <v>117</v>
      </c>
      <c r="AE64" s="14">
        <f>+AE58/1000</f>
        <v>8.75999641759269</v>
      </c>
      <c r="AF64" s="14"/>
      <c r="AG64" s="14"/>
    </row>
    <row r="65" spans="1:33" ht="12.75">
      <c r="A65" s="11" t="s">
        <v>118</v>
      </c>
      <c r="B65" s="11" t="s">
        <v>119</v>
      </c>
      <c r="C65" s="14">
        <f>+C43/1000</f>
        <v>280.29902703401433</v>
      </c>
      <c r="D65" s="14"/>
      <c r="E65" s="14"/>
      <c r="O65" s="11" t="s">
        <v>118</v>
      </c>
      <c r="P65" s="11" t="s">
        <v>119</v>
      </c>
      <c r="Q65" s="14">
        <f>+Q43/1000</f>
        <v>289.74730884876084</v>
      </c>
      <c r="R65" s="14"/>
      <c r="S65" s="14"/>
      <c r="AC65" s="11" t="s">
        <v>118</v>
      </c>
      <c r="AD65" s="11" t="s">
        <v>119</v>
      </c>
      <c r="AE65" s="14">
        <f>+AE43/1000</f>
        <v>251.95418158977463</v>
      </c>
      <c r="AF65" s="14"/>
      <c r="AG65" s="14"/>
    </row>
    <row r="66" spans="1:33" ht="12.75">
      <c r="A66" s="11" t="s">
        <v>120</v>
      </c>
      <c r="B66" s="11" t="s">
        <v>121</v>
      </c>
      <c r="C66" s="14">
        <f>C63-C49</f>
        <v>514.7674608222396</v>
      </c>
      <c r="D66" s="14"/>
      <c r="E66" s="14"/>
      <c r="O66" s="11" t="s">
        <v>120</v>
      </c>
      <c r="P66" s="11" t="s">
        <v>121</v>
      </c>
      <c r="Q66" s="14">
        <f>Q63-Q49</f>
        <v>596.9153111864534</v>
      </c>
      <c r="R66" s="14"/>
      <c r="S66" s="14"/>
      <c r="AC66" s="11" t="s">
        <v>120</v>
      </c>
      <c r="AD66" s="11" t="s">
        <v>121</v>
      </c>
      <c r="AE66" s="14">
        <f>AE63-AE49</f>
        <v>293.8584087300451</v>
      </c>
      <c r="AF66" s="14"/>
      <c r="AG66" s="14"/>
    </row>
    <row r="67" spans="1:33" ht="12.75">
      <c r="A67" s="11" t="s">
        <v>122</v>
      </c>
      <c r="B67" s="11" t="s">
        <v>123</v>
      </c>
      <c r="C67" s="31">
        <f>C66/C64</f>
        <v>52.8210632028235</v>
      </c>
      <c r="D67" s="31"/>
      <c r="E67" s="31"/>
      <c r="O67" s="11" t="s">
        <v>122</v>
      </c>
      <c r="P67" s="11" t="s">
        <v>123</v>
      </c>
      <c r="Q67" s="31">
        <f>Q66/Q64</f>
        <v>59.2530827332203</v>
      </c>
      <c r="R67" s="31"/>
      <c r="S67" s="31"/>
      <c r="AC67" s="11" t="s">
        <v>122</v>
      </c>
      <c r="AD67" s="11" t="s">
        <v>123</v>
      </c>
      <c r="AE67" s="31">
        <f>AE66/AE64</f>
        <v>33.54549416708546</v>
      </c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>
        <f>C59/C24</f>
        <v>12510.06262593548</v>
      </c>
      <c r="D70" s="14">
        <f>D43/D24</f>
        <v>1.0296053240164518E-05</v>
      </c>
      <c r="E70" s="14"/>
      <c r="O70" s="11" t="s">
        <v>125</v>
      </c>
      <c r="P70" s="11" t="s">
        <v>126</v>
      </c>
      <c r="Q70" s="14">
        <f>Q59/Q24</f>
        <v>13738.83921432839</v>
      </c>
      <c r="R70" s="14">
        <f>R43/R24</f>
        <v>1.1096060456305703E-05</v>
      </c>
      <c r="S70" s="14"/>
      <c r="AC70" s="11" t="s">
        <v>125</v>
      </c>
      <c r="AD70" s="11" t="s">
        <v>126</v>
      </c>
      <c r="AE70" s="14">
        <f>AE59/AE24</f>
        <v>9013.025457524807</v>
      </c>
      <c r="AF70" s="14">
        <f>AF43/AF24</f>
        <v>7.896154186443746E-06</v>
      </c>
      <c r="AG70" s="14"/>
    </row>
    <row r="71" spans="1:33" ht="12.75">
      <c r="A71" s="11" t="s">
        <v>127</v>
      </c>
      <c r="B71" s="11" t="s">
        <v>128</v>
      </c>
      <c r="C71" s="14">
        <f>C59/C62</f>
        <v>8204.284782964121</v>
      </c>
      <c r="D71" s="14"/>
      <c r="E71" s="14"/>
      <c r="O71" s="11" t="s">
        <v>127</v>
      </c>
      <c r="P71" s="11" t="s">
        <v>128</v>
      </c>
      <c r="Q71" s="14">
        <f>Q59/Q62</f>
        <v>9080.978703372857</v>
      </c>
      <c r="R71" s="14"/>
      <c r="S71" s="14"/>
      <c r="AC71" s="11" t="s">
        <v>127</v>
      </c>
      <c r="AD71" s="11" t="s">
        <v>128</v>
      </c>
      <c r="AE71" s="14">
        <f>AE59/AE62</f>
        <v>6073.676645976588</v>
      </c>
      <c r="AF71" s="14"/>
      <c r="AG71" s="14"/>
    </row>
    <row r="72" spans="1:33" ht="12.75">
      <c r="A72" s="11" t="s">
        <v>129</v>
      </c>
      <c r="B72" s="11" t="s">
        <v>130</v>
      </c>
      <c r="C72" s="14">
        <f>C70-C71</f>
        <v>4305.777842971358</v>
      </c>
      <c r="D72" s="14"/>
      <c r="E72" s="14"/>
      <c r="O72" s="11" t="s">
        <v>129</v>
      </c>
      <c r="P72" s="11" t="s">
        <v>130</v>
      </c>
      <c r="Q72" s="14">
        <f>Q70-Q71</f>
        <v>4657.860510955534</v>
      </c>
      <c r="R72" s="14"/>
      <c r="S72" s="14"/>
      <c r="AC72" s="11" t="s">
        <v>129</v>
      </c>
      <c r="AD72" s="11" t="s">
        <v>130</v>
      </c>
      <c r="AE72" s="14">
        <f>AE70-AE71</f>
        <v>2939.3488115482196</v>
      </c>
      <c r="AF72" s="14"/>
      <c r="AG72" s="14"/>
    </row>
    <row r="73" spans="1:33" ht="12.75">
      <c r="A73" s="11" t="s">
        <v>131</v>
      </c>
      <c r="B73" s="11" t="s">
        <v>132</v>
      </c>
      <c r="C73" s="14">
        <f>C72/((+C67/1000)-(1/(+C7*C62)))</f>
        <v>22165.87718023223</v>
      </c>
      <c r="D73" s="14">
        <v>0</v>
      </c>
      <c r="E73" s="14"/>
      <c r="O73" s="11" t="s">
        <v>131</v>
      </c>
      <c r="P73" s="11" t="s">
        <v>132</v>
      </c>
      <c r="Q73" s="14">
        <f>Q72/((+Q67/1000)-(1/(+Q7*Q62)))</f>
        <v>22107.340967670953</v>
      </c>
      <c r="R73" s="14">
        <v>0</v>
      </c>
      <c r="S73" s="14"/>
      <c r="AC73" s="11" t="s">
        <v>131</v>
      </c>
      <c r="AD73" s="11" t="s">
        <v>132</v>
      </c>
      <c r="AE73" s="14">
        <f>AE72/((+AE67/1000)-(1/(+AE7*AE62)))</f>
        <v>19592.130565216285</v>
      </c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>
        <f>C59+C73</f>
        <v>312210.4002268055</v>
      </c>
      <c r="D75" s="14">
        <f>D59+D73</f>
        <v>0.0002387129463455852</v>
      </c>
      <c r="E75" s="14">
        <f>SUM(C75:D75)</f>
        <v>312210.4004655184</v>
      </c>
      <c r="O75" s="11" t="s">
        <v>134</v>
      </c>
      <c r="P75" s="11" t="s">
        <v>135</v>
      </c>
      <c r="Q75" s="14">
        <f>Q59+Q73</f>
        <v>321928.6456939795</v>
      </c>
      <c r="R75" s="14">
        <f>R59+R73</f>
        <v>0.00024214821419993077</v>
      </c>
      <c r="S75" s="14">
        <f>SUM(Q75:R75)</f>
        <v>321928.64593612775</v>
      </c>
      <c r="AC75" s="11" t="s">
        <v>134</v>
      </c>
      <c r="AD75" s="11" t="s">
        <v>135</v>
      </c>
      <c r="AE75" s="14">
        <f>AE59+AE73</f>
        <v>280306.3085725836</v>
      </c>
      <c r="AF75" s="14">
        <f>AF59+AF73</f>
        <v>0.0002284071427825485</v>
      </c>
      <c r="AG75" s="14">
        <f>SUM(AE75:AF75)</f>
        <v>280306.30880099075</v>
      </c>
    </row>
    <row r="76" spans="1:33" ht="12.75">
      <c r="A76" s="11" t="s">
        <v>136</v>
      </c>
      <c r="B76" s="11" t="s">
        <v>137</v>
      </c>
      <c r="C76" s="13">
        <f>(+C75-C15)/C15</f>
        <v>0.11384760505440086</v>
      </c>
      <c r="D76" s="13"/>
      <c r="E76" s="13"/>
      <c r="O76" s="11" t="s">
        <v>136</v>
      </c>
      <c r="P76" s="11" t="s">
        <v>137</v>
      </c>
      <c r="Q76" s="13">
        <f>(+Q75-Q15)/Q15</f>
        <v>0.11106690413809311</v>
      </c>
      <c r="R76" s="13"/>
      <c r="S76" s="13"/>
      <c r="AC76" s="11" t="s">
        <v>136</v>
      </c>
      <c r="AD76" s="11" t="s">
        <v>137</v>
      </c>
      <c r="AE76" s="13">
        <f>(+AE75-AE15)/AE15</f>
        <v>0.11252889930146746</v>
      </c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>
        <f>C75/C44</f>
        <v>13.008766676116895</v>
      </c>
      <c r="D79" s="31"/>
      <c r="E79" s="31"/>
      <c r="O79" s="11" t="s">
        <v>139</v>
      </c>
      <c r="P79" s="11" t="s">
        <v>140</v>
      </c>
      <c r="Q79" s="31">
        <f>Q75/Q44</f>
        <v>13.41369357058248</v>
      </c>
      <c r="R79" s="31"/>
      <c r="S79" s="31"/>
      <c r="AC79" s="11" t="s">
        <v>139</v>
      </c>
      <c r="AD79" s="11" t="s">
        <v>140</v>
      </c>
      <c r="AE79" s="31">
        <f>AE75/AE44</f>
        <v>11.67942952385765</v>
      </c>
      <c r="AF79" s="31"/>
      <c r="AG79" s="31"/>
    </row>
    <row r="80" spans="1:33" ht="12.75">
      <c r="A80" s="11" t="s">
        <v>141</v>
      </c>
      <c r="B80" s="11" t="s">
        <v>142</v>
      </c>
      <c r="C80" s="31">
        <f>0.0551483782*(C79)^3-0.0189486676*(C79)^4+0.0023287974*((C79)^5)-(0.0001133801*((C79)^6))+(0.0000018954*((C79)^7))</f>
        <v>16.35161454354568</v>
      </c>
      <c r="D80" s="31"/>
      <c r="E80" s="31"/>
      <c r="O80" s="11" t="s">
        <v>141</v>
      </c>
      <c r="P80" s="11" t="s">
        <v>142</v>
      </c>
      <c r="Q80" s="31">
        <f>0.0551483782*(Q79)^3-0.0189486676*(Q79)^4+0.0023287974*((Q79)^5)-(0.0001133801*((Q79)^6))+(0.0000018954*((Q79)^7))</f>
        <v>18.609111611308492</v>
      </c>
      <c r="R80" s="31"/>
      <c r="S80" s="31"/>
      <c r="AC80" s="11" t="s">
        <v>141</v>
      </c>
      <c r="AD80" s="11" t="s">
        <v>142</v>
      </c>
      <c r="AE80" s="31">
        <f>0.0551483782*(AE79)^3-0.0189486676*(AE79)^4+0.0023287974*((AE79)^5)-(0.0001133801*((AE79)^6))+(0.0000018954*((AE79)^7))</f>
        <v>9.78444253581663</v>
      </c>
      <c r="AF80" s="31"/>
      <c r="AG80" s="31"/>
    </row>
    <row r="81" spans="1:33" ht="12.75">
      <c r="A81" s="11" t="s">
        <v>143</v>
      </c>
      <c r="B81" s="11" t="s">
        <v>144</v>
      </c>
      <c r="C81" s="31">
        <f>1/((1/60)+C80/1000)</f>
        <v>30.286252444015965</v>
      </c>
      <c r="D81" s="31">
        <v>60</v>
      </c>
      <c r="E81" s="31"/>
      <c r="O81" s="11" t="s">
        <v>143</v>
      </c>
      <c r="P81" s="11" t="s">
        <v>144</v>
      </c>
      <c r="Q81" s="31">
        <f>1/((1/60)+Q80/1000)</f>
        <v>28.348063425275626</v>
      </c>
      <c r="R81" s="31">
        <v>60</v>
      </c>
      <c r="S81" s="31"/>
      <c r="AC81" s="11" t="s">
        <v>143</v>
      </c>
      <c r="AD81" s="11" t="s">
        <v>144</v>
      </c>
      <c r="AE81" s="31">
        <f>1/((1/60)+AE80/1000)</f>
        <v>37.80559795602513</v>
      </c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>
        <f>C43/C81</f>
        <v>9254.992097557997</v>
      </c>
      <c r="D82" s="14">
        <f>D43/D81</f>
        <v>3.978549105759754E-06</v>
      </c>
      <c r="E82" s="14"/>
      <c r="O82" s="11" t="s">
        <v>145</v>
      </c>
      <c r="P82" s="11" t="s">
        <v>146</v>
      </c>
      <c r="Q82" s="14">
        <f>Q43/Q81</f>
        <v>10221.061823588878</v>
      </c>
      <c r="R82" s="14">
        <f>R43/R81</f>
        <v>4.035803569998846E-06</v>
      </c>
      <c r="S82" s="14"/>
      <c r="AC82" s="11" t="s">
        <v>145</v>
      </c>
      <c r="AD82" s="11" t="s">
        <v>146</v>
      </c>
      <c r="AE82" s="14">
        <f>AE43/AE81</f>
        <v>6664.467571253435</v>
      </c>
      <c r="AF82" s="14">
        <f>AF43/AF81</f>
        <v>3.806785713042475E-06</v>
      </c>
      <c r="AG82" s="14"/>
    </row>
    <row r="83" spans="1:33" ht="12.75">
      <c r="A83" s="11" t="s">
        <v>147</v>
      </c>
      <c r="B83" s="11" t="s">
        <v>148</v>
      </c>
      <c r="C83" s="14">
        <f>C70-C82</f>
        <v>3255.0705283774823</v>
      </c>
      <c r="D83" s="14">
        <f>D70-D82</f>
        <v>6.317504134404764E-06</v>
      </c>
      <c r="E83" s="14"/>
      <c r="O83" s="11" t="s">
        <v>147</v>
      </c>
      <c r="P83" s="11" t="s">
        <v>148</v>
      </c>
      <c r="Q83" s="14">
        <f>Q70-Q82</f>
        <v>3517.777390739513</v>
      </c>
      <c r="R83" s="14">
        <f>R70-R82</f>
        <v>7.060256886306857E-06</v>
      </c>
      <c r="S83" s="14"/>
      <c r="AC83" s="11" t="s">
        <v>147</v>
      </c>
      <c r="AD83" s="11" t="s">
        <v>148</v>
      </c>
      <c r="AE83" s="14">
        <f>AE70-AE82</f>
        <v>2348.557886271372</v>
      </c>
      <c r="AF83" s="14">
        <f>AF70-AF82</f>
        <v>4.0893684734012705E-06</v>
      </c>
      <c r="AG83" s="14"/>
    </row>
    <row r="84" spans="1:33" ht="12.75">
      <c r="A84" s="11" t="s">
        <v>149</v>
      </c>
      <c r="B84" s="11" t="s">
        <v>150</v>
      </c>
      <c r="C84" s="31">
        <f>(+C83/C43)*60</f>
        <v>0.6967709940675203</v>
      </c>
      <c r="D84" s="31">
        <f>(+D83/D43)*60</f>
        <v>1.5878914565259232</v>
      </c>
      <c r="E84" s="31"/>
      <c r="O84" s="11" t="s">
        <v>149</v>
      </c>
      <c r="P84" s="11" t="s">
        <v>150</v>
      </c>
      <c r="Q84" s="31">
        <f>(+Q83/Q43)*60</f>
        <v>0.7284507465591029</v>
      </c>
      <c r="R84" s="31">
        <f>(+R83/R43)*60</f>
        <v>1.749405481176299</v>
      </c>
      <c r="S84" s="31"/>
      <c r="AC84" s="11" t="s">
        <v>149</v>
      </c>
      <c r="AD84" s="11" t="s">
        <v>150</v>
      </c>
      <c r="AE84" s="31">
        <f>(+AE83/AE43)*60</f>
        <v>0.5592821372804759</v>
      </c>
      <c r="AF84" s="31">
        <f>(+AF83/AF43)*60</f>
        <v>1.0742313283856866</v>
      </c>
      <c r="AG84" s="31"/>
    </row>
    <row r="85" spans="1:33" ht="12.75">
      <c r="A85" s="11"/>
      <c r="B85" s="11" t="s">
        <v>151</v>
      </c>
      <c r="C85" s="35">
        <f>+'mode ch'!B152</f>
        <v>1.3335758021262543</v>
      </c>
      <c r="D85" s="35">
        <f>+'mode ch'!B145</f>
        <v>0</v>
      </c>
      <c r="E85" s="31"/>
      <c r="O85" s="11"/>
      <c r="P85" s="11" t="s">
        <v>151</v>
      </c>
      <c r="Q85" s="35">
        <f>+'mode ch'!P152</f>
        <v>1.3335758021084267</v>
      </c>
      <c r="R85" s="35">
        <f>+'mode ch'!P145</f>
        <v>0</v>
      </c>
      <c r="S85" s="31"/>
      <c r="AC85" s="11"/>
      <c r="AD85" s="11" t="s">
        <v>151</v>
      </c>
      <c r="AE85" s="35">
        <f>+'mode ch'!AD152</f>
        <v>1.33357580218776</v>
      </c>
      <c r="AF85" s="35">
        <f>+'mode ch'!AD145</f>
        <v>0</v>
      </c>
      <c r="AG85" s="31"/>
    </row>
    <row r="86" spans="1:33" ht="12.75">
      <c r="A86" s="11"/>
      <c r="B86" s="11" t="s">
        <v>152</v>
      </c>
      <c r="C86" s="31">
        <f>+C85*C83</f>
        <v>4340.883290858531</v>
      </c>
      <c r="D86" s="31">
        <f>+D85*D83</f>
        <v>0</v>
      </c>
      <c r="E86" s="31"/>
      <c r="O86" s="11"/>
      <c r="P86" s="11" t="s">
        <v>152</v>
      </c>
      <c r="Q86" s="31">
        <f>+Q85*Q83</f>
        <v>4691.222805494334</v>
      </c>
      <c r="R86" s="31">
        <f>+R85*R83</f>
        <v>0</v>
      </c>
      <c r="S86" s="31"/>
      <c r="AC86" s="11"/>
      <c r="AD86" s="11" t="s">
        <v>152</v>
      </c>
      <c r="AE86" s="31">
        <f>+AE85*AE83</f>
        <v>3131.9799671687347</v>
      </c>
      <c r="AF86" s="31">
        <f>+AF85*AF83</f>
        <v>0</v>
      </c>
      <c r="AG86" s="31"/>
    </row>
    <row r="87" spans="1:33" ht="12.75">
      <c r="A87" s="11" t="s">
        <v>153</v>
      </c>
      <c r="B87" s="11" t="s">
        <v>154</v>
      </c>
      <c r="C87" s="36">
        <f>+'Sensitivity Anal'!B5</f>
        <v>9</v>
      </c>
      <c r="D87" s="36">
        <f>+C87</f>
        <v>9</v>
      </c>
      <c r="E87" s="36"/>
      <c r="O87" s="11" t="s">
        <v>153</v>
      </c>
      <c r="P87" s="11" t="s">
        <v>154</v>
      </c>
      <c r="Q87" s="36">
        <f>+C87</f>
        <v>9</v>
      </c>
      <c r="R87" s="36">
        <f>+C87</f>
        <v>9</v>
      </c>
      <c r="S87" s="36"/>
      <c r="AC87" s="11" t="s">
        <v>153</v>
      </c>
      <c r="AD87" s="11" t="s">
        <v>154</v>
      </c>
      <c r="AE87" s="36">
        <f>+C87</f>
        <v>9</v>
      </c>
      <c r="AF87" s="36">
        <f>+AE87</f>
        <v>9</v>
      </c>
      <c r="AG87" s="36"/>
    </row>
    <row r="88" spans="1:33" ht="12.75">
      <c r="A88" s="11" t="s">
        <v>155</v>
      </c>
      <c r="B88" s="11" t="s">
        <v>156</v>
      </c>
      <c r="C88" s="37">
        <f>C86*C87</f>
        <v>39067.94961772678</v>
      </c>
      <c r="D88" s="37">
        <f>D86*D87</f>
        <v>0</v>
      </c>
      <c r="E88" s="37"/>
      <c r="O88" s="11" t="s">
        <v>155</v>
      </c>
      <c r="P88" s="11" t="s">
        <v>156</v>
      </c>
      <c r="Q88" s="37">
        <f>Q86*Q87</f>
        <v>42221.00524944901</v>
      </c>
      <c r="R88" s="37">
        <f>R86*R87</f>
        <v>0</v>
      </c>
      <c r="S88" s="37"/>
      <c r="AC88" s="11" t="s">
        <v>155</v>
      </c>
      <c r="AD88" s="11" t="s">
        <v>156</v>
      </c>
      <c r="AE88" s="37">
        <f>AE86*AE87</f>
        <v>28187.819704518613</v>
      </c>
      <c r="AF88" s="37">
        <f>AF86*AF87</f>
        <v>0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>
        <f>C58</f>
        <v>9745.49601255893</v>
      </c>
      <c r="D91" s="14">
        <f>D58</f>
        <v>0</v>
      </c>
      <c r="E91" s="14"/>
      <c r="O91" s="11" t="s">
        <v>158</v>
      </c>
      <c r="P91" s="11" t="s">
        <v>159</v>
      </c>
      <c r="Q91" s="14">
        <f>Q58</f>
        <v>10073.995877547688</v>
      </c>
      <c r="R91" s="14">
        <f>R58</f>
        <v>0</v>
      </c>
      <c r="S91" s="14"/>
      <c r="AC91" s="11" t="s">
        <v>158</v>
      </c>
      <c r="AD91" s="11" t="s">
        <v>159</v>
      </c>
      <c r="AE91" s="14">
        <f>AE58</f>
        <v>8759.99641759269</v>
      </c>
      <c r="AF91" s="14">
        <f>AF58</f>
        <v>0</v>
      </c>
      <c r="AG91" s="14"/>
    </row>
    <row r="92" spans="1:33" ht="12.75">
      <c r="A92" s="11" t="s">
        <v>160</v>
      </c>
      <c r="B92" s="11" t="s">
        <v>161</v>
      </c>
      <c r="C92" s="31">
        <f>C101</f>
        <v>0.34838549703376015</v>
      </c>
      <c r="D92" s="31">
        <f>D101</f>
        <v>0.7939457282629616</v>
      </c>
      <c r="E92" s="31"/>
      <c r="O92" s="11" t="s">
        <v>160</v>
      </c>
      <c r="P92" s="11" t="s">
        <v>161</v>
      </c>
      <c r="Q92" s="31">
        <f>Q101</f>
        <v>0.36422537327955146</v>
      </c>
      <c r="R92" s="31">
        <f>R101</f>
        <v>0.8747027405881495</v>
      </c>
      <c r="S92" s="31"/>
      <c r="AC92" s="11" t="s">
        <v>160</v>
      </c>
      <c r="AD92" s="11" t="s">
        <v>161</v>
      </c>
      <c r="AE92" s="31">
        <f>AE101</f>
        <v>0.27964106864023797</v>
      </c>
      <c r="AF92" s="31">
        <f>AF101</f>
        <v>0.5371156641928433</v>
      </c>
      <c r="AG92" s="31"/>
    </row>
    <row r="93" spans="1:33" ht="12.75">
      <c r="A93" s="11" t="s">
        <v>162</v>
      </c>
      <c r="B93" s="11" t="s">
        <v>163</v>
      </c>
      <c r="C93" s="31">
        <f>(+C91*C92)/60</f>
        <v>56.58649120293117</v>
      </c>
      <c r="D93" s="31">
        <f>(+D91*D92)/60</f>
        <v>0</v>
      </c>
      <c r="E93" s="31"/>
      <c r="O93" s="11" t="s">
        <v>162</v>
      </c>
      <c r="P93" s="11" t="s">
        <v>163</v>
      </c>
      <c r="Q93" s="31">
        <f>(+Q91*Q92)/60</f>
        <v>61.15341514860782</v>
      </c>
      <c r="R93" s="31">
        <f>(+R91*R92)/60</f>
        <v>0</v>
      </c>
      <c r="S93" s="31"/>
      <c r="AC93" s="11" t="s">
        <v>162</v>
      </c>
      <c r="AD93" s="11" t="s">
        <v>163</v>
      </c>
      <c r="AE93" s="31">
        <f>(+AE91*AE92)/60</f>
        <v>40.827579325004606</v>
      </c>
      <c r="AF93" s="31">
        <f>(+AF91*AF92)/60</f>
        <v>0</v>
      </c>
      <c r="AG93" s="31"/>
    </row>
    <row r="94" spans="1:33" ht="12.75">
      <c r="A94" s="11"/>
      <c r="B94" s="11" t="s">
        <v>151</v>
      </c>
      <c r="C94" s="31">
        <f>+C85</f>
        <v>1.3335758021262543</v>
      </c>
      <c r="D94" s="31">
        <f>+D85</f>
        <v>0</v>
      </c>
      <c r="E94" s="31"/>
      <c r="O94" s="11"/>
      <c r="P94" s="11" t="s">
        <v>151</v>
      </c>
      <c r="Q94" s="31">
        <f>+Q85</f>
        <v>1.3335758021084267</v>
      </c>
      <c r="R94" s="31">
        <f>+R85</f>
        <v>0</v>
      </c>
      <c r="S94" s="31"/>
      <c r="AC94" s="11"/>
      <c r="AD94" s="11" t="s">
        <v>151</v>
      </c>
      <c r="AE94" s="31">
        <f>+AE85</f>
        <v>1.33357580218776</v>
      </c>
      <c r="AF94" s="31">
        <f>+AF85</f>
        <v>0</v>
      </c>
      <c r="AG94" s="31"/>
    </row>
    <row r="95" spans="1:33" ht="12.75">
      <c r="A95" s="11"/>
      <c r="B95" s="11" t="s">
        <v>152</v>
      </c>
      <c r="C95" s="31">
        <f>+C94*C93</f>
        <v>75.46237539545916</v>
      </c>
      <c r="D95" s="31">
        <f>+D94*D93</f>
        <v>0</v>
      </c>
      <c r="E95" s="31"/>
      <c r="O95" s="11"/>
      <c r="P95" s="11" t="s">
        <v>152</v>
      </c>
      <c r="Q95" s="31">
        <f>+Q94*Q93</f>
        <v>81.55271465847429</v>
      </c>
      <c r="R95" s="31">
        <f>+R94*R93</f>
        <v>0</v>
      </c>
      <c r="S95" s="31"/>
      <c r="AC95" s="11"/>
      <c r="AD95" s="11" t="s">
        <v>152</v>
      </c>
      <c r="AE95" s="31">
        <f>+AE94*AE93</f>
        <v>54.44667184972742</v>
      </c>
      <c r="AF95" s="31">
        <f>+AF94*AF93</f>
        <v>0</v>
      </c>
      <c r="AG95" s="31"/>
    </row>
    <row r="96" spans="1:33" ht="12.75">
      <c r="A96" s="11" t="s">
        <v>164</v>
      </c>
      <c r="B96" s="11" t="s">
        <v>154</v>
      </c>
      <c r="C96" s="38">
        <f>C87</f>
        <v>9</v>
      </c>
      <c r="D96" s="38">
        <f>D87</f>
        <v>9</v>
      </c>
      <c r="E96" s="38"/>
      <c r="O96" s="11" t="s">
        <v>164</v>
      </c>
      <c r="P96" s="11" t="s">
        <v>154</v>
      </c>
      <c r="Q96" s="38">
        <f>Q87</f>
        <v>9</v>
      </c>
      <c r="R96" s="38">
        <f>R87</f>
        <v>9</v>
      </c>
      <c r="S96" s="38"/>
      <c r="AC96" s="11" t="s">
        <v>164</v>
      </c>
      <c r="AD96" s="11" t="s">
        <v>154</v>
      </c>
      <c r="AE96" s="38">
        <f>AE87</f>
        <v>9</v>
      </c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>
        <f>C95*C96</f>
        <v>679.1613785591325</v>
      </c>
      <c r="D97" s="37">
        <f>D95*D96</f>
        <v>0</v>
      </c>
      <c r="E97" s="37"/>
      <c r="O97" s="11" t="s">
        <v>165</v>
      </c>
      <c r="P97" s="11" t="s">
        <v>156</v>
      </c>
      <c r="Q97" s="37">
        <f>Q95*Q96</f>
        <v>733.9744319262686</v>
      </c>
      <c r="R97" s="37">
        <f>R95*R96</f>
        <v>0</v>
      </c>
      <c r="S97" s="37"/>
      <c r="AC97" s="11" t="s">
        <v>165</v>
      </c>
      <c r="AD97" s="11" t="s">
        <v>156</v>
      </c>
      <c r="AE97" s="37">
        <f>AE95*AE96</f>
        <v>490.0200466475468</v>
      </c>
      <c r="AF97" s="37">
        <f>AF95*AF96</f>
        <v>0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>
        <f>C73</f>
        <v>22165.87718023223</v>
      </c>
      <c r="D100" s="14">
        <f>D73</f>
        <v>0</v>
      </c>
      <c r="E100" s="14"/>
      <c r="O100" s="11" t="s">
        <v>167</v>
      </c>
      <c r="P100" s="11" t="s">
        <v>132</v>
      </c>
      <c r="Q100" s="14">
        <f>Q73</f>
        <v>22107.340967670953</v>
      </c>
      <c r="R100" s="14">
        <f>R73</f>
        <v>0</v>
      </c>
      <c r="S100" s="14"/>
      <c r="AC100" s="11" t="s">
        <v>167</v>
      </c>
      <c r="AD100" s="11" t="s">
        <v>132</v>
      </c>
      <c r="AE100" s="14">
        <f>AE73</f>
        <v>19592.130565216285</v>
      </c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>
        <f>C84/2</f>
        <v>0.34838549703376015</v>
      </c>
      <c r="D101" s="31">
        <f>D84/2</f>
        <v>0.7939457282629616</v>
      </c>
      <c r="E101" s="31"/>
      <c r="O101" s="11" t="s">
        <v>168</v>
      </c>
      <c r="P101" s="11" t="s">
        <v>169</v>
      </c>
      <c r="Q101" s="31">
        <f>Q84/2</f>
        <v>0.36422537327955146</v>
      </c>
      <c r="R101" s="31">
        <f>R84/2</f>
        <v>0.8747027405881495</v>
      </c>
      <c r="S101" s="31"/>
      <c r="AC101" s="11" t="s">
        <v>168</v>
      </c>
      <c r="AD101" s="11" t="s">
        <v>169</v>
      </c>
      <c r="AE101" s="31">
        <f>AE84/2</f>
        <v>0.27964106864023797</v>
      </c>
      <c r="AF101" s="31">
        <f>AF84/2</f>
        <v>0.5371156641928433</v>
      </c>
      <c r="AG101" s="31"/>
    </row>
    <row r="102" spans="1:33" ht="12.75">
      <c r="A102" s="11" t="s">
        <v>170</v>
      </c>
      <c r="B102" s="11" t="s">
        <v>171</v>
      </c>
      <c r="C102" s="31">
        <f>(+C100*C101)/60</f>
        <v>128.70450231040812</v>
      </c>
      <c r="D102" s="31">
        <f>(+D100*D101)/60</f>
        <v>0</v>
      </c>
      <c r="E102" s="31"/>
      <c r="O102" s="11" t="s">
        <v>170</v>
      </c>
      <c r="P102" s="11" t="s">
        <v>171</v>
      </c>
      <c r="Q102" s="31">
        <f>(+Q100*Q101)/60</f>
        <v>134.20090860280456</v>
      </c>
      <c r="R102" s="31">
        <f>(+R100*R101)/60</f>
        <v>0</v>
      </c>
      <c r="S102" s="31"/>
      <c r="AC102" s="11" t="s">
        <v>170</v>
      </c>
      <c r="AD102" s="11" t="s">
        <v>171</v>
      </c>
      <c r="AE102" s="31">
        <f>(+AE100*AE101)/60</f>
        <v>91.31273880326918</v>
      </c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>
        <f>+C94</f>
        <v>1.3335758021262543</v>
      </c>
      <c r="D103" s="31">
        <f>+D94</f>
        <v>0</v>
      </c>
      <c r="E103" s="31"/>
      <c r="O103" s="11"/>
      <c r="P103" s="11" t="s">
        <v>151</v>
      </c>
      <c r="Q103" s="31">
        <f>+Q94</f>
        <v>1.3335758021084267</v>
      </c>
      <c r="R103" s="31">
        <f>+R94</f>
        <v>0</v>
      </c>
      <c r="S103" s="31"/>
      <c r="AC103" s="11"/>
      <c r="AD103" s="11" t="s">
        <v>151</v>
      </c>
      <c r="AE103" s="31">
        <f>+AE94</f>
        <v>1.33357580218776</v>
      </c>
      <c r="AF103" s="31">
        <f>+AF94</f>
        <v>0</v>
      </c>
      <c r="AG103" s="31"/>
    </row>
    <row r="104" spans="1:33" ht="12.75">
      <c r="A104" s="11"/>
      <c r="B104" s="11" t="s">
        <v>152</v>
      </c>
      <c r="C104" s="31">
        <f>+C103*C102</f>
        <v>171.63720990586285</v>
      </c>
      <c r="D104" s="31">
        <f>+D103*D102</f>
        <v>0</v>
      </c>
      <c r="E104" s="31"/>
      <c r="O104" s="11"/>
      <c r="P104" s="11" t="s">
        <v>152</v>
      </c>
      <c r="Q104" s="31">
        <f>+Q103*Q102</f>
        <v>178.96708433366476</v>
      </c>
      <c r="R104" s="31">
        <f>+R103*R102</f>
        <v>0</v>
      </c>
      <c r="S104" s="31"/>
      <c r="AC104" s="11"/>
      <c r="AD104" s="11" t="s">
        <v>152</v>
      </c>
      <c r="AE104" s="31">
        <f>+AE103*AE102</f>
        <v>121.7724588995311</v>
      </c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>
        <f>C87</f>
        <v>9</v>
      </c>
      <c r="D105" s="38">
        <f>D87</f>
        <v>9</v>
      </c>
      <c r="E105" s="38"/>
      <c r="O105" s="11" t="s">
        <v>172</v>
      </c>
      <c r="P105" s="11" t="s">
        <v>154</v>
      </c>
      <c r="Q105" s="38">
        <f>Q87</f>
        <v>9</v>
      </c>
      <c r="R105" s="38">
        <f>R87</f>
        <v>9</v>
      </c>
      <c r="S105" s="38"/>
      <c r="AC105" s="11" t="s">
        <v>172</v>
      </c>
      <c r="AD105" s="11" t="s">
        <v>154</v>
      </c>
      <c r="AE105" s="38">
        <f>AE87</f>
        <v>9</v>
      </c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>
        <f>C104*C105</f>
        <v>1544.7348891527656</v>
      </c>
      <c r="D106" s="37">
        <f>D104*D105</f>
        <v>0</v>
      </c>
      <c r="E106" s="37"/>
      <c r="O106" s="11" t="s">
        <v>173</v>
      </c>
      <c r="P106" s="11" t="s">
        <v>156</v>
      </c>
      <c r="Q106" s="37">
        <f>Q104*Q105</f>
        <v>1610.703759002983</v>
      </c>
      <c r="R106" s="37">
        <f>R104*R105</f>
        <v>0</v>
      </c>
      <c r="S106" s="37"/>
      <c r="AC106" s="11" t="s">
        <v>173</v>
      </c>
      <c r="AD106" s="11" t="s">
        <v>156</v>
      </c>
      <c r="AE106" s="37">
        <f>AE104*AE105</f>
        <v>1095.95213009578</v>
      </c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>
        <f>+C88+C97+C106</f>
        <v>41291.84588543868</v>
      </c>
      <c r="D108" s="37">
        <f>+D88+D97+D106</f>
        <v>0</v>
      </c>
      <c r="E108" s="37">
        <f>SUM(C108:D108)</f>
        <v>41291.84588543868</v>
      </c>
      <c r="O108" s="11"/>
      <c r="P108" s="11" t="s">
        <v>391</v>
      </c>
      <c r="Q108" s="37">
        <f>+Q88+Q97+Q106</f>
        <v>44565.683440378256</v>
      </c>
      <c r="R108" s="37">
        <f>+R88+R97+R106</f>
        <v>0</v>
      </c>
      <c r="S108" s="37">
        <f>SUM(Q108:R108)</f>
        <v>44565.683440378256</v>
      </c>
      <c r="AC108" s="11"/>
      <c r="AD108" s="11" t="s">
        <v>391</v>
      </c>
      <c r="AE108" s="37">
        <f>+AE88+AE97+AE106</f>
        <v>29773.79188126194</v>
      </c>
      <c r="AF108" s="37">
        <f>+AF88+AF97+AF106</f>
        <v>0</v>
      </c>
      <c r="AG108" s="37">
        <f>SUM(AE108:AF108)</f>
        <v>29773.79188126194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3628.9404488218947</v>
      </c>
      <c r="D117" s="14"/>
      <c r="E117" s="14"/>
      <c r="O117" s="11" t="s">
        <v>180</v>
      </c>
      <c r="P117" s="11" t="s">
        <v>181</v>
      </c>
      <c r="Q117" s="14">
        <f>(1/Q116)*Q121</f>
        <v>3920.7610206873164</v>
      </c>
      <c r="R117" s="14"/>
      <c r="S117" s="14"/>
      <c r="AC117" s="11" t="s">
        <v>180</v>
      </c>
      <c r="AD117" s="11" t="s">
        <v>181</v>
      </c>
      <c r="AE117" s="14">
        <f>(1/AE116)*AE121</f>
        <v>2874.7790609657063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C58</f>
        <v>9745.49601255893</v>
      </c>
      <c r="D120" s="14"/>
      <c r="E120" s="14"/>
      <c r="O120" s="11" t="s">
        <v>182</v>
      </c>
      <c r="P120" s="11" t="s">
        <v>183</v>
      </c>
      <c r="Q120" s="14">
        <f>Q58</f>
        <v>10073.995877547688</v>
      </c>
      <c r="R120" s="14"/>
      <c r="S120" s="14"/>
      <c r="AC120" s="11" t="s">
        <v>182</v>
      </c>
      <c r="AD120" s="11" t="s">
        <v>183</v>
      </c>
      <c r="AE120" s="14">
        <f>AE58</f>
        <v>8759.99641759269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43644.79489653199</v>
      </c>
      <c r="D121" s="14"/>
      <c r="E121" s="14"/>
      <c r="O121" s="11" t="s">
        <v>184</v>
      </c>
      <c r="P121" s="11" t="s">
        <v>185</v>
      </c>
      <c r="Q121" s="14">
        <f>Q16-Q120</f>
        <v>45115.967758815954</v>
      </c>
      <c r="R121" s="14"/>
      <c r="S121" s="14"/>
      <c r="AC121" s="11" t="s">
        <v>184</v>
      </c>
      <c r="AD121" s="11" t="s">
        <v>185</v>
      </c>
      <c r="AE121" s="14">
        <f>AE16-AE120</f>
        <v>39231.27630968005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10.911198724132998</v>
      </c>
      <c r="D122" s="31"/>
      <c r="E122" s="31"/>
      <c r="O122" s="11" t="s">
        <v>186</v>
      </c>
      <c r="P122" s="11" t="s">
        <v>187</v>
      </c>
      <c r="Q122" s="31">
        <f>Q121/Q114</f>
        <v>11.278991939703989</v>
      </c>
      <c r="R122" s="31"/>
      <c r="S122" s="31"/>
      <c r="AC122" s="11" t="s">
        <v>186</v>
      </c>
      <c r="AD122" s="11" t="s">
        <v>187</v>
      </c>
      <c r="AE122" s="31">
        <f>AE121/AE114</f>
        <v>9.807819077420012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41.93731883668741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43.92593266280571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36.86967328462442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408.69997350034964</v>
      </c>
      <c r="D124" s="31"/>
      <c r="E124" s="31"/>
      <c r="O124" s="11" t="s">
        <v>190</v>
      </c>
      <c r="P124" s="11" t="s">
        <v>191</v>
      </c>
      <c r="Q124" s="31">
        <f>Q120*Q123/1000</f>
        <v>442.50966456254207</v>
      </c>
      <c r="R124" s="31"/>
      <c r="S124" s="31"/>
      <c r="AC124" s="11" t="s">
        <v>190</v>
      </c>
      <c r="AD124" s="11" t="s">
        <v>191</v>
      </c>
      <c r="AE124" s="31">
        <f>AE120*AE123/1000</f>
        <v>322.97820589112285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14.939349489629004</v>
      </c>
      <c r="D125" s="31"/>
      <c r="E125" s="31"/>
      <c r="O125" s="11" t="s">
        <v>192</v>
      </c>
      <c r="P125" s="11" t="s">
        <v>193</v>
      </c>
      <c r="Q125" s="31">
        <f>1/((1/40)+(Q123/1000))</f>
        <v>14.508327437397549</v>
      </c>
      <c r="R125" s="31"/>
      <c r="S125" s="31"/>
      <c r="AC125" s="11" t="s">
        <v>192</v>
      </c>
      <c r="AD125" s="11" t="s">
        <v>193</v>
      </c>
      <c r="AE125" s="31">
        <f>1/((1/40)+(AE123/1000))</f>
        <v>16.16300760793763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2921.4655515509894</v>
      </c>
      <c r="D126" s="14"/>
      <c r="E126" s="14"/>
      <c r="O126" s="11" t="s">
        <v>194</v>
      </c>
      <c r="P126" s="11" t="s">
        <v>195</v>
      </c>
      <c r="Q126" s="14">
        <f>(1/Q125)*Q121</f>
        <v>3109.6601557614617</v>
      </c>
      <c r="R126" s="14"/>
      <c r="S126" s="14"/>
      <c r="AC126" s="11" t="s">
        <v>194</v>
      </c>
      <c r="AD126" s="11" t="s">
        <v>195</v>
      </c>
      <c r="AE126" s="14">
        <f>(1/AE125)*AE121</f>
        <v>2427.226247818731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9.74549601255893</v>
      </c>
      <c r="D127" s="14"/>
      <c r="E127" s="14"/>
      <c r="O127" s="11" t="s">
        <v>196</v>
      </c>
      <c r="P127" s="11" t="s">
        <v>197</v>
      </c>
      <c r="Q127" s="14">
        <f>Q120/1000</f>
        <v>10.073995877547688</v>
      </c>
      <c r="R127" s="14"/>
      <c r="S127" s="14"/>
      <c r="AC127" s="11" t="s">
        <v>196</v>
      </c>
      <c r="AD127" s="11" t="s">
        <v>197</v>
      </c>
      <c r="AE127" s="14">
        <f>AE120/1000</f>
        <v>8.75999641759269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43.64479489653199</v>
      </c>
      <c r="D128" s="14"/>
      <c r="E128" s="14"/>
      <c r="O128" s="11" t="s">
        <v>198</v>
      </c>
      <c r="P128" s="11" t="s">
        <v>199</v>
      </c>
      <c r="Q128" s="14">
        <f>Q121/1000</f>
        <v>45.115967758815955</v>
      </c>
      <c r="R128" s="14"/>
      <c r="S128" s="14"/>
      <c r="AC128" s="11" t="s">
        <v>198</v>
      </c>
      <c r="AD128" s="11" t="s">
        <v>199</v>
      </c>
      <c r="AE128" s="14">
        <f>AE121/1000</f>
        <v>39.23127630968005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707.4748972709053</v>
      </c>
      <c r="D129" s="14"/>
      <c r="E129" s="14"/>
      <c r="O129" s="11" t="s">
        <v>200</v>
      </c>
      <c r="P129" s="11" t="s">
        <v>201</v>
      </c>
      <c r="Q129" s="14">
        <f>Q117-Q126</f>
        <v>811.1008649258547</v>
      </c>
      <c r="R129" s="14"/>
      <c r="S129" s="14"/>
      <c r="AC129" s="11" t="s">
        <v>200</v>
      </c>
      <c r="AD129" s="11" t="s">
        <v>201</v>
      </c>
      <c r="AE129" s="14">
        <f>AE117-AE126</f>
        <v>447.5528131469755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72.59506302800689</v>
      </c>
      <c r="D130" s="31"/>
      <c r="E130" s="31"/>
      <c r="O130" s="11" t="s">
        <v>202</v>
      </c>
      <c r="P130" s="11" t="s">
        <v>203</v>
      </c>
      <c r="Q130" s="31">
        <f>Q129/Q127</f>
        <v>80.51431376238571</v>
      </c>
      <c r="R130" s="31"/>
      <c r="S130" s="31"/>
      <c r="AC130" s="11" t="s">
        <v>202</v>
      </c>
      <c r="AD130" s="11" t="s">
        <v>203</v>
      </c>
      <c r="AE130" s="31">
        <f>AE129/AE127</f>
        <v>51.09052467740235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1003.4823966751084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1040.8466035566266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896.069247424929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44648.277293207095</v>
      </c>
      <c r="D135" s="14"/>
      <c r="E135" s="14"/>
      <c r="O135" s="11" t="s">
        <v>207</v>
      </c>
      <c r="P135" s="11" t="s">
        <v>208</v>
      </c>
      <c r="Q135" s="14">
        <f>Q121+Q133</f>
        <v>46156.81436237258</v>
      </c>
      <c r="R135" s="14"/>
      <c r="S135" s="14"/>
      <c r="AC135" s="11" t="s">
        <v>207</v>
      </c>
      <c r="AD135" s="11" t="s">
        <v>208</v>
      </c>
      <c r="AE135" s="14">
        <f>AE121+AE133</f>
        <v>40127.34555710498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-0.16373789067321404</v>
      </c>
      <c r="D136" s="13"/>
      <c r="E136" s="13"/>
      <c r="O136" s="11" t="s">
        <v>209</v>
      </c>
      <c r="P136" s="11" t="s">
        <v>210</v>
      </c>
      <c r="Q136" s="13">
        <f>(+Q135-Q16)/Q16</f>
        <v>-0.16367376745360443</v>
      </c>
      <c r="R136" s="13"/>
      <c r="S136" s="13"/>
      <c r="AC136" s="11" t="s">
        <v>209</v>
      </c>
      <c r="AD136" s="11" t="s">
        <v>210</v>
      </c>
      <c r="AE136" s="13">
        <f>(+AE135-AE16)/AE16</f>
        <v>-0.1638616090649916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C75+C135</f>
        <v>356858.6775200126</v>
      </c>
      <c r="D138" s="14"/>
      <c r="E138" s="14">
        <f>SUM(C138:D138)</f>
        <v>356858.6775200126</v>
      </c>
      <c r="O138" s="11" t="s">
        <v>213</v>
      </c>
      <c r="P138" s="11" t="s">
        <v>214</v>
      </c>
      <c r="Q138" s="14">
        <f>Q75+Q135</f>
        <v>368085.4600563521</v>
      </c>
      <c r="R138" s="14"/>
      <c r="S138" s="14">
        <f>SUM(Q138:R138)</f>
        <v>368085.4600563521</v>
      </c>
      <c r="AC138" s="11" t="s">
        <v>213</v>
      </c>
      <c r="AD138" s="11" t="s">
        <v>214</v>
      </c>
      <c r="AE138" s="14">
        <f>AE75+AE135</f>
        <v>320433.65412968857</v>
      </c>
      <c r="AF138" s="14"/>
      <c r="AG138" s="14">
        <f>SUM(AE138:AF138)</f>
        <v>320433.65412968857</v>
      </c>
    </row>
    <row r="139" spans="1:33" ht="12.75">
      <c r="A139" s="11" t="s">
        <v>215</v>
      </c>
      <c r="B139" s="11" t="s">
        <v>216</v>
      </c>
      <c r="C139" s="13">
        <f>(+C138-C137)/C138</f>
        <v>0.064925867851133</v>
      </c>
      <c r="D139" s="13"/>
      <c r="E139" s="13"/>
      <c r="O139" s="11" t="s">
        <v>215</v>
      </c>
      <c r="P139" s="11" t="s">
        <v>216</v>
      </c>
      <c r="Q139" s="13">
        <f>(+Q138-Q137)/Q138</f>
        <v>0.06288807856071114</v>
      </c>
      <c r="R139" s="13"/>
      <c r="S139" s="13"/>
      <c r="AC139" s="11" t="s">
        <v>215</v>
      </c>
      <c r="AD139" s="11" t="s">
        <v>216</v>
      </c>
      <c r="AE139" s="13">
        <f>(+AE138-AE137)/AE138</f>
        <v>0.06393897557321455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11.162069323301774</v>
      </c>
      <c r="D142" s="31"/>
      <c r="E142" s="31"/>
      <c r="O142" s="11" t="s">
        <v>217</v>
      </c>
      <c r="P142" s="11" t="s">
        <v>218</v>
      </c>
      <c r="Q142" s="31">
        <f>Q135/Q114</f>
        <v>11.539203590593145</v>
      </c>
      <c r="R142" s="31"/>
      <c r="S142" s="31"/>
      <c r="AC142" s="11" t="s">
        <v>217</v>
      </c>
      <c r="AD142" s="11" t="s">
        <v>218</v>
      </c>
      <c r="AE142" s="31">
        <f>AE135/AE114</f>
        <v>10.031836389276245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43.2766506618638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45.42915184085206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37.795506311915666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14.646295480316434</v>
      </c>
      <c r="D144" s="31"/>
      <c r="E144" s="31"/>
      <c r="O144" s="11" t="s">
        <v>221</v>
      </c>
      <c r="P144" s="11" t="s">
        <v>222</v>
      </c>
      <c r="Q144" s="31">
        <f>1/((1/40)+Q143/1000)</f>
        <v>14.198665948152955</v>
      </c>
      <c r="R144" s="31"/>
      <c r="S144" s="31"/>
      <c r="AC144" s="11" t="s">
        <v>221</v>
      </c>
      <c r="AD144" s="11" t="s">
        <v>222</v>
      </c>
      <c r="AE144" s="31">
        <f>1/((1/40)+AE143/1000)</f>
        <v>15.924706379988955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2979.920414359211</v>
      </c>
      <c r="D145" s="14"/>
      <c r="E145" s="14"/>
      <c r="O145" s="11" t="s">
        <v>223</v>
      </c>
      <c r="P145" s="11" t="s">
        <v>224</v>
      </c>
      <c r="Q145" s="14">
        <f>(+Q121)/Q144</f>
        <v>3177.4793437326343</v>
      </c>
      <c r="R145" s="14"/>
      <c r="S145" s="14"/>
      <c r="AC145" s="11" t="s">
        <v>223</v>
      </c>
      <c r="AD145" s="11" t="s">
        <v>224</v>
      </c>
      <c r="AE145" s="14">
        <f>(+AE121)/AE144</f>
        <v>2463.5478591290207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3628.9404488218947</v>
      </c>
      <c r="D146" s="14"/>
      <c r="E146" s="14"/>
      <c r="O146" s="11" t="s">
        <v>225</v>
      </c>
      <c r="P146" s="11" t="s">
        <v>226</v>
      </c>
      <c r="Q146" s="14">
        <f>Q121/Q116</f>
        <v>3920.761020687317</v>
      </c>
      <c r="R146" s="14"/>
      <c r="S146" s="14"/>
      <c r="AC146" s="11" t="s">
        <v>225</v>
      </c>
      <c r="AD146" s="11" t="s">
        <v>226</v>
      </c>
      <c r="AE146" s="14">
        <f>AE121/AE116</f>
        <v>2874.7790609657063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649.0200344626837</v>
      </c>
      <c r="D147" s="14"/>
      <c r="E147" s="14"/>
      <c r="O147" s="11" t="s">
        <v>227</v>
      </c>
      <c r="P147" s="11" t="s">
        <v>148</v>
      </c>
      <c r="Q147" s="14">
        <f>Q146-Q145</f>
        <v>743.2816769546826</v>
      </c>
      <c r="R147" s="14"/>
      <c r="S147" s="14"/>
      <c r="AC147" s="11" t="s">
        <v>227</v>
      </c>
      <c r="AD147" s="11" t="s">
        <v>148</v>
      </c>
      <c r="AE147" s="14">
        <f>AE146-AE145</f>
        <v>411.2312018366856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0.8922301539067443</v>
      </c>
      <c r="D148" s="31"/>
      <c r="E148" s="31"/>
      <c r="O148" s="11" t="s">
        <v>228</v>
      </c>
      <c r="P148" s="11" t="s">
        <v>150</v>
      </c>
      <c r="Q148" s="31">
        <f>(+Q147/Q121)*60</f>
        <v>0.9884948241760021</v>
      </c>
      <c r="R148" s="31"/>
      <c r="S148" s="31"/>
      <c r="AC148" s="11" t="s">
        <v>228</v>
      </c>
      <c r="AD148" s="11" t="s">
        <v>150</v>
      </c>
      <c r="AE148" s="31">
        <f>(+AE147/AE121)*60</f>
        <v>0.6289337087948125</v>
      </c>
      <c r="AF148" s="31"/>
      <c r="AG148" s="31"/>
    </row>
    <row r="149" spans="1:33" ht="12.75">
      <c r="A149" s="11"/>
      <c r="B149" s="11" t="s">
        <v>151</v>
      </c>
      <c r="C149" s="31">
        <f>+C85</f>
        <v>1.3335758021262543</v>
      </c>
      <c r="D149" s="31"/>
      <c r="E149" s="31"/>
      <c r="O149" s="11"/>
      <c r="P149" s="11" t="s">
        <v>151</v>
      </c>
      <c r="Q149" s="31">
        <f>+Q85</f>
        <v>1.3335758021084267</v>
      </c>
      <c r="R149" s="31"/>
      <c r="S149" s="31"/>
      <c r="AC149" s="11"/>
      <c r="AD149" s="11" t="s">
        <v>151</v>
      </c>
      <c r="AE149" s="31">
        <f>+AE85</f>
        <v>1.33357580218776</v>
      </c>
      <c r="AF149" s="31"/>
      <c r="AG149" s="31"/>
    </row>
    <row r="150" spans="1:33" ht="12.75">
      <c r="A150" s="11"/>
      <c r="B150" s="11" t="s">
        <v>152</v>
      </c>
      <c r="C150" s="31">
        <f>+C149*C147</f>
        <v>865.5174130545827</v>
      </c>
      <c r="D150" s="31"/>
      <c r="E150" s="31"/>
      <c r="O150" s="11"/>
      <c r="P150" s="11" t="s">
        <v>152</v>
      </c>
      <c r="Q150" s="31">
        <f>+Q149*Q147</f>
        <v>991.2224585373373</v>
      </c>
      <c r="R150" s="31"/>
      <c r="S150" s="31"/>
      <c r="AC150" s="11"/>
      <c r="AD150" s="11" t="s">
        <v>152</v>
      </c>
      <c r="AE150" s="31">
        <f>+AE149*AE147</f>
        <v>548.4079798739947</v>
      </c>
      <c r="AF150" s="31"/>
      <c r="AG150" s="31"/>
    </row>
    <row r="151" spans="1:33" ht="12.75">
      <c r="A151" s="11" t="s">
        <v>229</v>
      </c>
      <c r="B151" s="11" t="s">
        <v>154</v>
      </c>
      <c r="C151" s="38">
        <f>C105</f>
        <v>9</v>
      </c>
      <c r="D151" s="38"/>
      <c r="E151" s="38"/>
      <c r="O151" s="11" t="s">
        <v>229</v>
      </c>
      <c r="P151" s="11" t="s">
        <v>154</v>
      </c>
      <c r="Q151" s="38">
        <f>Q105</f>
        <v>9</v>
      </c>
      <c r="R151" s="38"/>
      <c r="S151" s="38"/>
      <c r="AC151" s="11" t="s">
        <v>229</v>
      </c>
      <c r="AD151" s="11" t="s">
        <v>154</v>
      </c>
      <c r="AE151" s="38">
        <f>AE105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7789.656717491244</v>
      </c>
      <c r="D152" s="37"/>
      <c r="E152" s="37"/>
      <c r="O152" s="11" t="s">
        <v>230</v>
      </c>
      <c r="P152" s="11" t="s">
        <v>156</v>
      </c>
      <c r="Q152" s="37">
        <f>Q150*Q151</f>
        <v>8921.002126836036</v>
      </c>
      <c r="R152" s="37"/>
      <c r="S152" s="37"/>
      <c r="AC152" s="11" t="s">
        <v>230</v>
      </c>
      <c r="AD152" s="11" t="s">
        <v>156</v>
      </c>
      <c r="AE152" s="37">
        <f>AE150*AE151</f>
        <v>4935.671818865952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1003.4823966751084</v>
      </c>
      <c r="D155" s="14"/>
      <c r="E155" s="14"/>
      <c r="O155" s="11" t="s">
        <v>231</v>
      </c>
      <c r="P155" s="11" t="s">
        <v>205</v>
      </c>
      <c r="Q155" s="14">
        <f>Q133</f>
        <v>1040.8466035566266</v>
      </c>
      <c r="R155" s="14"/>
      <c r="S155" s="14"/>
      <c r="AC155" s="11" t="s">
        <v>231</v>
      </c>
      <c r="AD155" s="11" t="s">
        <v>205</v>
      </c>
      <c r="AE155" s="14">
        <f>AE133</f>
        <v>896.069247424929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0.44611507695337216</v>
      </c>
      <c r="D156" s="31"/>
      <c r="E156" s="31"/>
      <c r="O156" s="11" t="s">
        <v>232</v>
      </c>
      <c r="P156" s="11" t="s">
        <v>169</v>
      </c>
      <c r="Q156" s="31">
        <f>Q148/2</f>
        <v>0.49424741208800105</v>
      </c>
      <c r="R156" s="31"/>
      <c r="S156" s="31"/>
      <c r="AC156" s="11" t="s">
        <v>232</v>
      </c>
      <c r="AD156" s="11" t="s">
        <v>169</v>
      </c>
      <c r="AE156" s="31">
        <f>AE148/2</f>
        <v>0.31446685439740624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7.461143776901172</v>
      </c>
      <c r="D157" s="31"/>
      <c r="E157" s="31"/>
      <c r="O157" s="11" t="s">
        <v>233</v>
      </c>
      <c r="P157" s="11" t="s">
        <v>234</v>
      </c>
      <c r="Q157" s="31">
        <f>(+Q155*Q156)/60</f>
        <v>8.573929003140806</v>
      </c>
      <c r="R157" s="31"/>
      <c r="S157" s="31"/>
      <c r="AC157" s="11" t="s">
        <v>233</v>
      </c>
      <c r="AD157" s="11" t="s">
        <v>234</v>
      </c>
      <c r="AE157" s="31">
        <f>(+AE155*AE156)/60</f>
        <v>4.696401292666142</v>
      </c>
      <c r="AF157" s="31"/>
      <c r="AG157" s="31"/>
    </row>
    <row r="158" spans="1:33" ht="12.75">
      <c r="A158" s="11"/>
      <c r="B158" s="11" t="s">
        <v>151</v>
      </c>
      <c r="C158" s="31">
        <f>+C85</f>
        <v>1.3335758021262543</v>
      </c>
      <c r="D158" s="31"/>
      <c r="E158" s="31"/>
      <c r="O158" s="11"/>
      <c r="P158" s="11" t="s">
        <v>151</v>
      </c>
      <c r="Q158" s="31">
        <f>+Q85</f>
        <v>1.3335758021084267</v>
      </c>
      <c r="R158" s="31"/>
      <c r="S158" s="31"/>
      <c r="AC158" s="11"/>
      <c r="AD158" s="11" t="s">
        <v>151</v>
      </c>
      <c r="AE158" s="31">
        <f>+AE85</f>
        <v>1.33357580218776</v>
      </c>
      <c r="AF158" s="31"/>
      <c r="AG158" s="31"/>
    </row>
    <row r="159" spans="1:33" ht="12.75">
      <c r="A159" s="11"/>
      <c r="B159" s="11" t="s">
        <v>152</v>
      </c>
      <c r="C159" s="31">
        <f>+C158*C157</f>
        <v>9.95000079706029</v>
      </c>
      <c r="D159" s="31"/>
      <c r="E159" s="31"/>
      <c r="O159" s="11"/>
      <c r="P159" s="11" t="s">
        <v>152</v>
      </c>
      <c r="Q159" s="31">
        <f>+Q158*Q157</f>
        <v>11.433984247584204</v>
      </c>
      <c r="R159" s="31"/>
      <c r="S159" s="31"/>
      <c r="AC159" s="11"/>
      <c r="AD159" s="11" t="s">
        <v>152</v>
      </c>
      <c r="AE159" s="31">
        <f>+AE158*AE157</f>
        <v>6.263007121262883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89.55000717354261</v>
      </c>
      <c r="D161" s="37"/>
      <c r="E161" s="37"/>
      <c r="O161" s="11" t="s">
        <v>236</v>
      </c>
      <c r="P161" s="11" t="s">
        <v>156</v>
      </c>
      <c r="Q161" s="37">
        <f>Q159*Q160</f>
        <v>102.90585822825784</v>
      </c>
      <c r="R161" s="37"/>
      <c r="S161" s="37"/>
      <c r="AC161" s="11" t="s">
        <v>236</v>
      </c>
      <c r="AD161" s="11" t="s">
        <v>156</v>
      </c>
      <c r="AE161" s="37">
        <f>AE159*AE160</f>
        <v>56.36706409136595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7879.206724664787</v>
      </c>
      <c r="D163" s="37">
        <f>+D143+D152+D161</f>
        <v>0</v>
      </c>
      <c r="E163" s="37">
        <f>SUM(C163:D163)</f>
        <v>7879.206724664787</v>
      </c>
      <c r="O163" s="18"/>
      <c r="P163" s="11" t="s">
        <v>391</v>
      </c>
      <c r="Q163" s="37">
        <f>+Q152+Q161</f>
        <v>9023.907985064294</v>
      </c>
      <c r="R163" s="37">
        <f>+R143+R152+R161</f>
        <v>0</v>
      </c>
      <c r="S163" s="37">
        <f>SUM(Q163:R163)</f>
        <v>9023.907985064294</v>
      </c>
      <c r="AC163" s="18"/>
      <c r="AD163" s="11" t="s">
        <v>391</v>
      </c>
      <c r="AE163" s="37">
        <f>+AE152+AE161</f>
        <v>4992.0388829573185</v>
      </c>
      <c r="AF163" s="37">
        <f>+AF143+AF152+AF161</f>
        <v>0</v>
      </c>
      <c r="AG163" s="37">
        <f>SUM(AE163:AF163)</f>
        <v>4992.0388829573185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551</v>
      </c>
      <c r="E166" s="18"/>
      <c r="O166" s="18"/>
      <c r="P166" s="18"/>
      <c r="Q166" s="39" t="s">
        <v>92</v>
      </c>
      <c r="R166" s="24" t="s">
        <v>551</v>
      </c>
      <c r="S166" s="18"/>
      <c r="AC166" s="18"/>
      <c r="AD166" s="18"/>
      <c r="AE166" s="39" t="s">
        <v>92</v>
      </c>
      <c r="AF166" s="24" t="s">
        <v>551</v>
      </c>
      <c r="AG166" s="18"/>
    </row>
    <row r="167" spans="1:33" ht="12.75">
      <c r="A167" s="11" t="s">
        <v>237</v>
      </c>
      <c r="B167" s="11" t="s">
        <v>238</v>
      </c>
      <c r="C167" s="37">
        <f>C88</f>
        <v>39067.94961772678</v>
      </c>
      <c r="D167" s="37">
        <f>D88</f>
        <v>0</v>
      </c>
      <c r="E167" s="37"/>
      <c r="O167" s="11" t="s">
        <v>237</v>
      </c>
      <c r="P167" s="11" t="s">
        <v>238</v>
      </c>
      <c r="Q167" s="37">
        <f>Q88</f>
        <v>42221.00524944901</v>
      </c>
      <c r="R167" s="37">
        <f>R88</f>
        <v>0</v>
      </c>
      <c r="S167" s="37"/>
      <c r="AC167" s="11" t="s">
        <v>237</v>
      </c>
      <c r="AD167" s="11" t="s">
        <v>238</v>
      </c>
      <c r="AE167" s="37">
        <f>AE88</f>
        <v>28187.819704518613</v>
      </c>
      <c r="AF167" s="37">
        <f>AF88</f>
        <v>0</v>
      </c>
      <c r="AG167" s="37"/>
    </row>
    <row r="168" spans="1:33" ht="12.75">
      <c r="A168" s="11" t="s">
        <v>239</v>
      </c>
      <c r="B168" s="11" t="s">
        <v>240</v>
      </c>
      <c r="C168" s="37">
        <f>C97</f>
        <v>679.1613785591325</v>
      </c>
      <c r="D168" s="37">
        <f>D97</f>
        <v>0</v>
      </c>
      <c r="E168" s="37"/>
      <c r="O168" s="11" t="s">
        <v>239</v>
      </c>
      <c r="P168" s="11" t="s">
        <v>240</v>
      </c>
      <c r="Q168" s="37">
        <f>Q97</f>
        <v>733.9744319262686</v>
      </c>
      <c r="R168" s="37">
        <f>R97</f>
        <v>0</v>
      </c>
      <c r="S168" s="37"/>
      <c r="AC168" s="11" t="s">
        <v>239</v>
      </c>
      <c r="AD168" s="11" t="s">
        <v>240</v>
      </c>
      <c r="AE168" s="37">
        <f>AE97</f>
        <v>490.0200466475468</v>
      </c>
      <c r="AF168" s="37">
        <f>AF97</f>
        <v>0</v>
      </c>
      <c r="AG168" s="37"/>
    </row>
    <row r="169" spans="1:33" ht="12.75">
      <c r="A169" s="11" t="s">
        <v>241</v>
      </c>
      <c r="B169" s="11" t="s">
        <v>242</v>
      </c>
      <c r="C169" s="37">
        <f>C106</f>
        <v>1544.7348891527656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1610.703759002983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1095.95213009578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7789.656717491244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8921.002126836036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4935.671818865952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89.55000717354261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102.90585822825784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56.36706409136595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49171.05261010346</v>
      </c>
      <c r="D172" s="37">
        <f>SUM(D167:D171)</f>
        <v>0</v>
      </c>
      <c r="E172" s="37">
        <f>SUM(C172:D172)</f>
        <v>49171.05261010346</v>
      </c>
      <c r="O172" s="11" t="s">
        <v>247</v>
      </c>
      <c r="P172" s="11" t="s">
        <v>248</v>
      </c>
      <c r="Q172" s="37">
        <f>SUM(Q167:Q171)</f>
        <v>53589.59142544255</v>
      </c>
      <c r="R172" s="37">
        <f>SUM(R167:R171)</f>
        <v>0</v>
      </c>
      <c r="S172" s="37">
        <f>SUM(Q172:R172)</f>
        <v>53589.59142544255</v>
      </c>
      <c r="AC172" s="11" t="s">
        <v>247</v>
      </c>
      <c r="AD172" s="11" t="s">
        <v>248</v>
      </c>
      <c r="AE172" s="37">
        <f>SUM(AE167:AE171)</f>
        <v>34765.83076421925</v>
      </c>
      <c r="AF172" s="37">
        <f>SUM(AF167:AF171)</f>
        <v>0</v>
      </c>
      <c r="AG172" s="37">
        <f>SUM(AE172:AF172)</f>
        <v>34765.83076421925</v>
      </c>
    </row>
    <row r="173" spans="1:33" ht="12.75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312210.4002268055</v>
      </c>
      <c r="D185" s="14">
        <f>D75</f>
        <v>0.0002387129463455852</v>
      </c>
      <c r="E185" s="14"/>
      <c r="O185" s="11" t="s">
        <v>258</v>
      </c>
      <c r="P185" s="11" t="s">
        <v>259</v>
      </c>
      <c r="Q185" s="14">
        <f>Q75</f>
        <v>321928.6456939795</v>
      </c>
      <c r="R185" s="14">
        <f>R75</f>
        <v>0.00024214821419993077</v>
      </c>
      <c r="S185" s="14"/>
      <c r="AC185" s="11" t="s">
        <v>258</v>
      </c>
      <c r="AD185" s="11" t="s">
        <v>259</v>
      </c>
      <c r="AE185" s="14">
        <f>AE75</f>
        <v>280306.3085725836</v>
      </c>
      <c r="AF185" s="14">
        <f>AF75</f>
        <v>0.0002284071427825485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44648.277293207095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46156.81436237258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40127.34555710498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356858.6775200126</v>
      </c>
      <c r="D187" s="14">
        <f>D185+D186</f>
        <v>0.0002387129463455852</v>
      </c>
      <c r="E187" s="14"/>
      <c r="O187" s="11" t="s">
        <v>262</v>
      </c>
      <c r="P187" s="11" t="s">
        <v>263</v>
      </c>
      <c r="Q187" s="14">
        <f>Q185+Q186</f>
        <v>368085.4600563521</v>
      </c>
      <c r="R187" s="14">
        <f>R185+R186</f>
        <v>0.00024214821419993077</v>
      </c>
      <c r="S187" s="14"/>
      <c r="AC187" s="11" t="s">
        <v>262</v>
      </c>
      <c r="AD187" s="11" t="s">
        <v>263</v>
      </c>
      <c r="AE187" s="14">
        <f>AE185+AE186</f>
        <v>320433.65412968857</v>
      </c>
      <c r="AF187" s="14">
        <f>AF185+AF186</f>
        <v>0.0002284071427825485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31911.372954078193</v>
      </c>
      <c r="D189" s="14">
        <f>D185-D181</f>
        <v>0.0002387129463455852</v>
      </c>
      <c r="E189" s="14"/>
      <c r="O189" s="11" t="s">
        <v>264</v>
      </c>
      <c r="P189" s="11" t="s">
        <v>265</v>
      </c>
      <c r="Q189" s="14">
        <f>Q185-Q181</f>
        <v>32181.336603070435</v>
      </c>
      <c r="R189" s="14">
        <f>R185-R181</f>
        <v>0.00024214821419993077</v>
      </c>
      <c r="S189" s="14"/>
      <c r="AC189" s="11" t="s">
        <v>264</v>
      </c>
      <c r="AD189" s="11" t="s">
        <v>265</v>
      </c>
      <c r="AE189" s="14">
        <f>AE185-AE181</f>
        <v>28352.126754401805</v>
      </c>
      <c r="AF189" s="14">
        <f>AF185-AF181</f>
        <v>0.0002284071427825485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-8742.013615883821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-9033.149273991068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-7863.927170167757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23169.359338194372</v>
      </c>
      <c r="D191" s="14">
        <f>D189+D190</f>
        <v>-0.0025642773404660393</v>
      </c>
      <c r="E191" s="14"/>
      <c r="O191" s="11" t="s">
        <v>268</v>
      </c>
      <c r="P191" s="11" t="s">
        <v>269</v>
      </c>
      <c r="Q191" s="14">
        <f>Q189+Q190</f>
        <v>23148.187329079366</v>
      </c>
      <c r="R191" s="14">
        <f>R189+R190</f>
        <v>-0.0026553248912682646</v>
      </c>
      <c r="S191" s="14"/>
      <c r="AC191" s="11" t="s">
        <v>268</v>
      </c>
      <c r="AD191" s="11" t="s">
        <v>269</v>
      </c>
      <c r="AE191" s="14">
        <f>AE189+AE190</f>
        <v>20488.199584234048</v>
      </c>
      <c r="AF191" s="14">
        <f>AF189+AF190</f>
        <v>-0.0022911346880593606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>
        <f>(1/C81)*C185</f>
        <v>10308.650791441607</v>
      </c>
      <c r="D199" s="14">
        <f>(1/D81)*D185</f>
        <v>3.978549105759754E-06</v>
      </c>
      <c r="E199" s="14"/>
      <c r="O199" s="11" t="s">
        <v>280</v>
      </c>
      <c r="P199" s="11" t="s">
        <v>281</v>
      </c>
      <c r="Q199" s="14">
        <f>(1/Q81)*Q185</f>
        <v>11356.283526829644</v>
      </c>
      <c r="R199" s="14">
        <f>(1/R81)*R185</f>
        <v>4.035803569998846E-06</v>
      </c>
      <c r="S199" s="14"/>
      <c r="AC199" s="11" t="s">
        <v>280</v>
      </c>
      <c r="AD199" s="11" t="s">
        <v>281</v>
      </c>
      <c r="AE199" s="14">
        <f>(1/AE81)*AE185</f>
        <v>7414.412778198388</v>
      </c>
      <c r="AF199" s="14">
        <f>(1/AF81)*AF185</f>
        <v>3.806785713042475E-06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3048.434831402327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3250.785287217559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2519.8169812116066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>
        <f>C199+C200</f>
        <v>13357.085622843933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>
        <f>Q199+Q200</f>
        <v>14607.068814047203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>
        <f>AE199+AE200</f>
        <v>9934.229759409995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>
        <f>C187/C201</f>
        <v>26.716806914054338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>
        <f>Q187/Q201</f>
        <v>25.19913233395428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>
        <f>AE187/AE201</f>
        <v>32.25551068276475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>
        <f>1/C202</f>
        <v>0.03742962260486119</v>
      </c>
      <c r="D203" s="41" t="e">
        <f>1/D202</f>
        <v>#DIV/0!</v>
      </c>
      <c r="E203" s="41"/>
      <c r="O203" s="11" t="s">
        <v>288</v>
      </c>
      <c r="P203" s="11" t="s">
        <v>289</v>
      </c>
      <c r="Q203" s="41">
        <f>1/Q202</f>
        <v>0.03968390604673961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>
        <f>1/AE202</f>
        <v>0.03100245442817729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>
        <f>(C203-C197)/C197</f>
        <v>-0.2443654205131598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>
        <f>(Q203-Q197)/Q197</f>
        <v>-0.24262047282973545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>
        <f>(AE203-AE197)/AE197</f>
        <v>-0.23945883029292647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0.06943392573798249</v>
      </c>
      <c r="D206" s="13">
        <f>D191/D183</f>
        <v>-0.9148363276645104</v>
      </c>
      <c r="E206" s="13"/>
      <c r="O206" s="11" t="s">
        <v>292</v>
      </c>
      <c r="P206" s="11" t="s">
        <v>293</v>
      </c>
      <c r="Q206" s="13">
        <f>Q191/Q183</f>
        <v>0.0671083966834215</v>
      </c>
      <c r="R206" s="13">
        <f>R191/R183</f>
        <v>-0.9164277957428002</v>
      </c>
      <c r="S206" s="13"/>
      <c r="AC206" s="11" t="s">
        <v>292</v>
      </c>
      <c r="AD206" s="11" t="s">
        <v>293</v>
      </c>
      <c r="AE206" s="13">
        <f>AE191/AE183</f>
        <v>0.06830641796283402</v>
      </c>
      <c r="AF206" s="13">
        <f>AF191/AF183</f>
        <v>-0.9093457627944103</v>
      </c>
      <c r="AG206" s="13"/>
    </row>
    <row r="207" spans="1:33" ht="12.75" hidden="1">
      <c r="A207" s="11" t="s">
        <v>294</v>
      </c>
      <c r="B207" s="11" t="s">
        <v>295</v>
      </c>
      <c r="C207" s="33">
        <f>C206/C205</f>
        <v>-0.28413973463255726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>
        <f>Q206/Q205</f>
        <v>-0.2765982437538005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>
        <f>AE206/AE205</f>
        <v>-0.28525328499799224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290044.5230465733</v>
      </c>
      <c r="D210" s="14">
        <f>D59</f>
        <v>0.0002387129463455852</v>
      </c>
      <c r="E210" s="14"/>
      <c r="O210" s="11" t="s">
        <v>297</v>
      </c>
      <c r="P210" s="11" t="s">
        <v>298</v>
      </c>
      <c r="Q210" s="14">
        <f>Q59</f>
        <v>299821.30472630856</v>
      </c>
      <c r="R210" s="14">
        <f>R59</f>
        <v>0.00024214821419993077</v>
      </c>
      <c r="S210" s="14"/>
      <c r="AC210" s="11" t="s">
        <v>297</v>
      </c>
      <c r="AD210" s="11" t="s">
        <v>298</v>
      </c>
      <c r="AE210" s="14">
        <f>AE59</f>
        <v>260714.17800736733</v>
      </c>
      <c r="AF210" s="14">
        <f>AF59</f>
        <v>0.0002284071427825485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35.35281023506637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33.01640875062827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42.92526474554311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>
        <f>(1/C211)*C210</f>
        <v>8204.284782964121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>
        <f>(1/Q211)*Q210</f>
        <v>9080.978703372855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>
        <f>(1/AE211)*AE210</f>
        <v>6073.676645976587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43644.79489653199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45115.967758815954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39231.27630968005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14.939349489629004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14.508327437397549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16.16300760793763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2921.4655515509894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3109.6601557614617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2427.226247818731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333689.31794310524</v>
      </c>
      <c r="D216" s="14">
        <f>D210+D213</f>
        <v>0.0002387129463455852</v>
      </c>
      <c r="E216" s="14"/>
      <c r="O216" s="11" t="s">
        <v>309</v>
      </c>
      <c r="P216" s="11" t="s">
        <v>310</v>
      </c>
      <c r="Q216" s="14">
        <f>Q210+Q213</f>
        <v>344937.27248512453</v>
      </c>
      <c r="R216" s="14">
        <f>R210+R213</f>
        <v>0.00024214821419993077</v>
      </c>
      <c r="S216" s="14"/>
      <c r="AC216" s="11" t="s">
        <v>309</v>
      </c>
      <c r="AD216" s="11" t="s">
        <v>310</v>
      </c>
      <c r="AE216" s="14">
        <f>AE210+AE213</f>
        <v>299945.4543170474</v>
      </c>
      <c r="AF216" s="14">
        <f>AF210+AF213</f>
        <v>0.0002284071427825485</v>
      </c>
      <c r="AG216" s="14"/>
    </row>
    <row r="217" spans="1:33" ht="12.75" hidden="1">
      <c r="A217" s="11" t="s">
        <v>311</v>
      </c>
      <c r="B217" s="11" t="s">
        <v>312</v>
      </c>
      <c r="C217" s="14">
        <f>C212+C215</f>
        <v>11125.75033451511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>
        <f>Q212+Q215</f>
        <v>12190.638859134317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>
        <f>AE212+AE215</f>
        <v>8500.902893795317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>
        <f>C216/C217</f>
        <v>29.992522563436463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>
        <f>Q216/Q217</f>
        <v>28.295258064073213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>
        <f>AE216/AE217</f>
        <v>35.28395254767268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>
        <f>1/C218</f>
        <v>0.03334164366751493</v>
      </c>
      <c r="D219" s="42" t="e">
        <f>1/D218</f>
        <v>#DIV/0!</v>
      </c>
      <c r="E219" s="42"/>
      <c r="O219" s="11" t="s">
        <v>315</v>
      </c>
      <c r="P219" s="11" t="s">
        <v>316</v>
      </c>
      <c r="Q219" s="42">
        <f>1/Q218</f>
        <v>0.035341610871176696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>
        <f>1/AE218</f>
        <v>0.028341496000168484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>
        <f>C203</f>
        <v>0.03742962260486119</v>
      </c>
      <c r="D220" s="42" t="e">
        <f>D203</f>
        <v>#DIV/0!</v>
      </c>
      <c r="E220" s="42"/>
      <c r="O220" s="11" t="s">
        <v>317</v>
      </c>
      <c r="P220" s="11" t="s">
        <v>289</v>
      </c>
      <c r="Q220" s="42">
        <f>Q203</f>
        <v>0.03968390604673961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>
        <f>AE203</f>
        <v>0.03100245442817729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>
        <f>(C220-C219)/C219</f>
        <v>0.12260880051721078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>
        <f>(Q220-Q219)/Q219</f>
        <v>0.12286636258293276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>
        <f>(AE220-AE219)/AE219</f>
        <v>0.09388913090519245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0.06943392573798249</v>
      </c>
      <c r="D222" s="13">
        <f>D206</f>
        <v>-0.9148363276645104</v>
      </c>
      <c r="E222" s="13"/>
      <c r="O222" s="11" t="s">
        <v>319</v>
      </c>
      <c r="P222" s="11" t="s">
        <v>293</v>
      </c>
      <c r="Q222" s="13">
        <f>Q206</f>
        <v>0.0671083966834215</v>
      </c>
      <c r="R222" s="13">
        <f>R206</f>
        <v>-0.9164277957428002</v>
      </c>
      <c r="S222" s="13"/>
      <c r="AC222" s="11" t="s">
        <v>319</v>
      </c>
      <c r="AD222" s="11" t="s">
        <v>293</v>
      </c>
      <c r="AE222" s="13">
        <f>AE206</f>
        <v>0.06830641796283402</v>
      </c>
      <c r="AF222" s="13">
        <f>AF206</f>
        <v>-0.9093457627944103</v>
      </c>
      <c r="AG222" s="13"/>
    </row>
    <row r="223" spans="1:33" ht="12.75" hidden="1">
      <c r="A223" s="11" t="s">
        <v>320</v>
      </c>
      <c r="B223" s="11" t="s">
        <v>321</v>
      </c>
      <c r="C223" s="42">
        <f>C221/C222</f>
        <v>1.7658341972466063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>
        <f>Q221/Q222</f>
        <v>1.8308642234822716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>
        <f>AE221/AE222</f>
        <v>1.3745286856687196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 hidden="1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551</v>
      </c>
      <c r="E229" s="24" t="s">
        <v>40</v>
      </c>
      <c r="O229" s="11"/>
      <c r="P229" s="11"/>
      <c r="Q229" s="24" t="s">
        <v>92</v>
      </c>
      <c r="R229" s="24" t="s">
        <v>551</v>
      </c>
      <c r="S229" s="24" t="s">
        <v>40</v>
      </c>
      <c r="AC229" s="11"/>
      <c r="AD229" s="11"/>
      <c r="AE229" s="24" t="s">
        <v>92</v>
      </c>
      <c r="AF229" s="24" t="s">
        <v>551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>
        <f>+C43</f>
        <v>280299.02703401435</v>
      </c>
      <c r="D231" s="14">
        <f>+D43</f>
        <v>0.0002387129463455852</v>
      </c>
      <c r="E231" s="14">
        <f>SUM(C231:D231)</f>
        <v>280299.0272727273</v>
      </c>
      <c r="O231" s="11"/>
      <c r="P231" s="11" t="s">
        <v>325</v>
      </c>
      <c r="Q231" s="14">
        <f>+Q43</f>
        <v>289747.30884876085</v>
      </c>
      <c r="R231" s="14">
        <f>+R43</f>
        <v>0.00024214821419993077</v>
      </c>
      <c r="S231" s="14">
        <f>SUM(Q231:R231)</f>
        <v>289747.3090909091</v>
      </c>
      <c r="AC231" s="11"/>
      <c r="AD231" s="11" t="s">
        <v>325</v>
      </c>
      <c r="AE231" s="14">
        <f>+AE43</f>
        <v>251954.18158977464</v>
      </c>
      <c r="AF231" s="14">
        <f>+AF43</f>
        <v>0.0002284071427825485</v>
      </c>
      <c r="AG231" s="14">
        <f>SUM(AE231:AF231)</f>
        <v>251954.1818181818</v>
      </c>
    </row>
    <row r="232" spans="1:33" ht="12.75">
      <c r="A232" s="11"/>
      <c r="B232" s="11" t="s">
        <v>326</v>
      </c>
      <c r="C232" s="14">
        <f>C58</f>
        <v>9745.49601255893</v>
      </c>
      <c r="D232" s="14">
        <f>D58</f>
        <v>0</v>
      </c>
      <c r="E232" s="14"/>
      <c r="O232" s="11"/>
      <c r="P232" s="11" t="s">
        <v>326</v>
      </c>
      <c r="Q232" s="14">
        <f>Q58</f>
        <v>10073.995877547688</v>
      </c>
      <c r="R232" s="14">
        <f>R58</f>
        <v>0</v>
      </c>
      <c r="S232" s="14"/>
      <c r="AC232" s="11"/>
      <c r="AD232" s="11" t="s">
        <v>326</v>
      </c>
      <c r="AE232" s="14">
        <f>AE58</f>
        <v>8759.99641759269</v>
      </c>
      <c r="AF232" s="14">
        <f>AF58</f>
        <v>0</v>
      </c>
      <c r="AG232" s="14"/>
    </row>
    <row r="233" spans="1:33" ht="12.75">
      <c r="A233" s="11"/>
      <c r="B233" s="11" t="s">
        <v>327</v>
      </c>
      <c r="C233" s="14">
        <f>C73</f>
        <v>22165.87718023223</v>
      </c>
      <c r="D233" s="14">
        <f>D73</f>
        <v>0</v>
      </c>
      <c r="E233" s="14"/>
      <c r="O233" s="11"/>
      <c r="P233" s="11" t="s">
        <v>327</v>
      </c>
      <c r="Q233" s="14">
        <f>Q73</f>
        <v>22107.340967670953</v>
      </c>
      <c r="R233" s="14">
        <f>R73</f>
        <v>0</v>
      </c>
      <c r="S233" s="14"/>
      <c r="AC233" s="11"/>
      <c r="AD233" s="11" t="s">
        <v>327</v>
      </c>
      <c r="AE233" s="14">
        <f>AE73</f>
        <v>19592.130565216285</v>
      </c>
      <c r="AF233" s="14">
        <f>AF73</f>
        <v>0</v>
      </c>
      <c r="AG233" s="14"/>
    </row>
    <row r="234" spans="1:33" ht="12.75">
      <c r="A234" s="11"/>
      <c r="B234" s="11" t="s">
        <v>328</v>
      </c>
      <c r="C234" s="14">
        <f>C231+C232+C233</f>
        <v>312210.4002268055</v>
      </c>
      <c r="D234" s="14">
        <f>D231+D232+D233</f>
        <v>0.0002387129463455852</v>
      </c>
      <c r="E234" s="14">
        <f>SUM(C234:D234)</f>
        <v>312210.4004655184</v>
      </c>
      <c r="O234" s="11"/>
      <c r="P234" s="11" t="s">
        <v>328</v>
      </c>
      <c r="Q234" s="14">
        <f>Q231+Q232+Q233</f>
        <v>321928.6456939795</v>
      </c>
      <c r="R234" s="14">
        <f>R231+R232+R233</f>
        <v>0.00024214821419993077</v>
      </c>
      <c r="S234" s="14">
        <f>SUM(Q234:R234)</f>
        <v>321928.64593612775</v>
      </c>
      <c r="AC234" s="11"/>
      <c r="AD234" s="11" t="s">
        <v>328</v>
      </c>
      <c r="AE234" s="14">
        <f>AE231+AE232+AE233</f>
        <v>280306.3085725836</v>
      </c>
      <c r="AF234" s="14">
        <f>AF231+AF232+AF233</f>
        <v>0.0002284071427825485</v>
      </c>
      <c r="AG234" s="14">
        <f>SUM(AE234:AF234)</f>
        <v>280306.30880099075</v>
      </c>
    </row>
    <row r="235" spans="1:33" ht="12.75">
      <c r="A235" s="11"/>
      <c r="B235" s="11" t="s">
        <v>293</v>
      </c>
      <c r="C235" s="13">
        <f>(+C234-C231)/C231</f>
        <v>0.11384760600299436</v>
      </c>
      <c r="D235" s="13">
        <f>(+D234-D231)/D231</f>
        <v>0</v>
      </c>
      <c r="E235" s="13">
        <f>(+E234-E231)/E231</f>
        <v>0.11384760590603756</v>
      </c>
      <c r="O235" s="11"/>
      <c r="P235" s="11" t="s">
        <v>293</v>
      </c>
      <c r="Q235" s="13">
        <f>(+Q234-Q231)/Q231</f>
        <v>0.1110669050666363</v>
      </c>
      <c r="R235" s="13">
        <f>(+R234-R231)/R231</f>
        <v>0</v>
      </c>
      <c r="S235" s="13">
        <f>(+S234-S231)/S231</f>
        <v>0.11106690497381523</v>
      </c>
      <c r="AC235" s="11"/>
      <c r="AD235" s="11" t="s">
        <v>293</v>
      </c>
      <c r="AE235" s="13">
        <f>(+AE234-AE231)/AE231</f>
        <v>0.1125289003100221</v>
      </c>
      <c r="AF235" s="13">
        <f>(+AF234-AF231)/AF231</f>
        <v>0</v>
      </c>
      <c r="AG235" s="13">
        <f>(+AG234-AG231)/AG231</f>
        <v>0.11252890020800989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-9745.49601255893</v>
      </c>
      <c r="D239" s="14">
        <f>-D120</f>
        <v>0</v>
      </c>
      <c r="E239" s="14"/>
      <c r="O239" s="11"/>
      <c r="P239" s="11" t="s">
        <v>326</v>
      </c>
      <c r="Q239" s="14">
        <f>-Q120</f>
        <v>-10073.995877547688</v>
      </c>
      <c r="R239" s="14">
        <f>-R120</f>
        <v>0</v>
      </c>
      <c r="S239" s="14"/>
      <c r="AC239" s="11"/>
      <c r="AD239" s="11" t="s">
        <v>326</v>
      </c>
      <c r="AE239" s="14">
        <f>-AE120</f>
        <v>-8759.99641759269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1003.4823966751084</v>
      </c>
      <c r="D240" s="14">
        <f>D133</f>
        <v>0</v>
      </c>
      <c r="E240" s="14"/>
      <c r="O240" s="11"/>
      <c r="P240" s="11" t="s">
        <v>327</v>
      </c>
      <c r="Q240" s="14">
        <f>Q133</f>
        <v>1040.8466035566266</v>
      </c>
      <c r="R240" s="14">
        <f>R133</f>
        <v>0</v>
      </c>
      <c r="S240" s="14"/>
      <c r="AC240" s="11"/>
      <c r="AD240" s="11" t="s">
        <v>327</v>
      </c>
      <c r="AE240" s="14">
        <f>AE133</f>
        <v>896.069247424929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44648.277293207095</v>
      </c>
      <c r="D241" s="14">
        <f>D238+D239+D240</f>
        <v>0.0028029902868116244</v>
      </c>
      <c r="E241" s="14">
        <f>SUM(C241:D241)</f>
        <v>44648.280096197384</v>
      </c>
      <c r="O241" s="11"/>
      <c r="P241" s="11" t="s">
        <v>328</v>
      </c>
      <c r="Q241" s="14">
        <f>Q238+Q239+Q240</f>
        <v>46156.81436237258</v>
      </c>
      <c r="R241" s="14">
        <f>R238+R239+R240</f>
        <v>0.0028974731054681956</v>
      </c>
      <c r="S241" s="14">
        <f>SUM(Q241:R241)</f>
        <v>46156.81725984568</v>
      </c>
      <c r="AC241" s="11"/>
      <c r="AD241" s="11" t="s">
        <v>328</v>
      </c>
      <c r="AE241" s="14">
        <f>AE238+AE239+AE240</f>
        <v>40127.34555710498</v>
      </c>
      <c r="AF241" s="14">
        <f>AF238+AF239+AF240</f>
        <v>0.002519541830841909</v>
      </c>
      <c r="AG241" s="14">
        <f>SUM(AE241:AF241)</f>
        <v>40127.348076646806</v>
      </c>
    </row>
    <row r="242" spans="1:33" ht="12.75">
      <c r="A242" s="11"/>
      <c r="B242" s="11" t="s">
        <v>293</v>
      </c>
      <c r="C242" s="13">
        <f>(+C241-C238)/C238</f>
        <v>-0.16373789067321404</v>
      </c>
      <c r="D242" s="13">
        <f>(+D241-D238)/D238</f>
        <v>0</v>
      </c>
      <c r="E242" s="13">
        <f>(+E241-E238)/E238</f>
        <v>-0.16373788207697518</v>
      </c>
      <c r="O242" s="11"/>
      <c r="P242" s="11" t="s">
        <v>293</v>
      </c>
      <c r="Q242" s="13">
        <f>(+Q241-Q238)/Q238</f>
        <v>-0.16367376745360443</v>
      </c>
      <c r="R242" s="13">
        <f>(+R241-R238)/R238</f>
        <v>0</v>
      </c>
      <c r="S242" s="13">
        <f>(+S241-S238)/S238</f>
        <v>-0.16367375886073204</v>
      </c>
      <c r="AC242" s="11"/>
      <c r="AD242" s="11" t="s">
        <v>293</v>
      </c>
      <c r="AE242" s="13">
        <f>(+AE241-AE238)/AE238</f>
        <v>-0.1638616090649916</v>
      </c>
      <c r="AF242" s="13">
        <f>(+AF241-AF238)/AF238</f>
        <v>0</v>
      </c>
      <c r="AG242" s="13">
        <f>(+AG241-AG238)/AG238</f>
        <v>-0.16386160046225753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333689.31794310524</v>
      </c>
      <c r="D245" s="14">
        <f t="shared" si="0"/>
        <v>0.0030417032331572095</v>
      </c>
      <c r="E245" s="14">
        <f>SUM(C245:D245)</f>
        <v>333689.3209848085</v>
      </c>
      <c r="O245" s="11"/>
      <c r="P245" s="11" t="s">
        <v>325</v>
      </c>
      <c r="Q245" s="14">
        <f aca="true" t="shared" si="1" ref="Q245:R247">Q231+Q238</f>
        <v>344937.2724851245</v>
      </c>
      <c r="R245" s="14">
        <f t="shared" si="1"/>
        <v>0.0031396213196681266</v>
      </c>
      <c r="S245" s="14">
        <f>SUM(Q245:R245)</f>
        <v>344937.2756247458</v>
      </c>
      <c r="AC245" s="11"/>
      <c r="AD245" s="11" t="s">
        <v>325</v>
      </c>
      <c r="AE245" s="14">
        <f aca="true" t="shared" si="2" ref="AE245:AF247">AE231+AE238</f>
        <v>299945.4543170474</v>
      </c>
      <c r="AF245" s="14">
        <f t="shared" si="2"/>
        <v>0.002747948973624457</v>
      </c>
      <c r="AG245" s="14">
        <f>SUM(AE245:AF245)</f>
        <v>299945.45706499636</v>
      </c>
    </row>
    <row r="246" spans="1:33" ht="12.75">
      <c r="A246" s="11"/>
      <c r="B246" s="11" t="s">
        <v>326</v>
      </c>
      <c r="C246" s="14">
        <f t="shared" si="0"/>
        <v>0</v>
      </c>
      <c r="D246" s="14">
        <f t="shared" si="0"/>
        <v>0</v>
      </c>
      <c r="E246" s="14"/>
      <c r="O246" s="11"/>
      <c r="P246" s="11" t="s">
        <v>326</v>
      </c>
      <c r="Q246" s="14">
        <f t="shared" si="1"/>
        <v>0</v>
      </c>
      <c r="R246" s="14">
        <f t="shared" si="1"/>
        <v>0</v>
      </c>
      <c r="S246" s="14"/>
      <c r="AC246" s="11"/>
      <c r="AD246" s="11" t="s">
        <v>326</v>
      </c>
      <c r="AE246" s="14">
        <f t="shared" si="2"/>
        <v>0</v>
      </c>
      <c r="AF246" s="14">
        <f t="shared" si="2"/>
        <v>0</v>
      </c>
      <c r="AG246" s="14"/>
    </row>
    <row r="247" spans="1:33" ht="12.75">
      <c r="A247" s="11"/>
      <c r="B247" s="11" t="s">
        <v>327</v>
      </c>
      <c r="C247" s="14">
        <f t="shared" si="0"/>
        <v>23169.35957690734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23148.18757122758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20488.199812641215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356858.6775200126</v>
      </c>
      <c r="D248" s="14">
        <f>D245+D246+D247</f>
        <v>0.0030417032331572095</v>
      </c>
      <c r="E248" s="14">
        <f>SUM(C248:D248)</f>
        <v>356858.68056171585</v>
      </c>
      <c r="O248" s="11"/>
      <c r="P248" s="11" t="s">
        <v>328</v>
      </c>
      <c r="Q248" s="14">
        <f>Q245+Q246+Q247</f>
        <v>368085.4600563521</v>
      </c>
      <c r="R248" s="14">
        <f>R245+R246+R247</f>
        <v>0.0031396213196681266</v>
      </c>
      <c r="S248" s="14">
        <f>SUM(Q248:R248)</f>
        <v>368085.4631959734</v>
      </c>
      <c r="AC248" s="11"/>
      <c r="AD248" s="11" t="s">
        <v>328</v>
      </c>
      <c r="AE248" s="14">
        <f>AE245+AE246+AE247</f>
        <v>320433.65412968857</v>
      </c>
      <c r="AF248" s="14">
        <f>AF245+AF246+AF247</f>
        <v>0.002747948973624457</v>
      </c>
      <c r="AG248" s="14">
        <f>SUM(AE248:AF248)</f>
        <v>320433.65687763755</v>
      </c>
    </row>
    <row r="249" spans="1:33" ht="12.75">
      <c r="A249" s="11"/>
      <c r="B249" s="11" t="s">
        <v>293</v>
      </c>
      <c r="C249" s="13">
        <f>(+C248-C245)/C245</f>
        <v>0.06943392650302874</v>
      </c>
      <c r="D249" s="13">
        <f>D139</f>
        <v>0</v>
      </c>
      <c r="E249" s="13">
        <f>(+E248-E245)/E245</f>
        <v>0.06943392587011248</v>
      </c>
      <c r="O249" s="11"/>
      <c r="P249" s="11" t="s">
        <v>293</v>
      </c>
      <c r="Q249" s="13">
        <f>(+Q248-Q245)/Q245</f>
        <v>0.06710839743253864</v>
      </c>
      <c r="R249" s="13">
        <f>R139</f>
        <v>0</v>
      </c>
      <c r="S249" s="13">
        <f>(+S248-S245)/S245</f>
        <v>0.06710839682171757</v>
      </c>
      <c r="AC249" s="11"/>
      <c r="AD249" s="11" t="s">
        <v>293</v>
      </c>
      <c r="AE249" s="13">
        <f>(+AE248-AE245)/AE245</f>
        <v>0.06830641877634465</v>
      </c>
      <c r="AF249" s="13">
        <f>AF139</f>
        <v>0</v>
      </c>
      <c r="AG249" s="13">
        <f>(+AG248-AG245)/AG245</f>
        <v>0.0683064181505557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551</v>
      </c>
      <c r="E252" s="24" t="s">
        <v>40</v>
      </c>
      <c r="O252" s="11"/>
      <c r="P252" s="11"/>
      <c r="Q252" s="24" t="s">
        <v>92</v>
      </c>
      <c r="R252" s="24" t="s">
        <v>551</v>
      </c>
      <c r="S252" s="24" t="s">
        <v>40</v>
      </c>
      <c r="AC252" s="11"/>
      <c r="AD252" s="11"/>
      <c r="AE252" s="24" t="s">
        <v>92</v>
      </c>
      <c r="AF252" s="24" t="s">
        <v>551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30.286252444015965</v>
      </c>
      <c r="D255" s="33">
        <f>D81</f>
        <v>60</v>
      </c>
      <c r="E255" s="33"/>
      <c r="O255" s="11"/>
      <c r="P255" s="11" t="s">
        <v>333</v>
      </c>
      <c r="Q255" s="33">
        <f>Q81</f>
        <v>28.348063425275626</v>
      </c>
      <c r="R255" s="33">
        <f>R81</f>
        <v>60</v>
      </c>
      <c r="S255" s="33"/>
      <c r="AC255" s="11"/>
      <c r="AD255" s="11" t="s">
        <v>333</v>
      </c>
      <c r="AE255" s="33">
        <f>AE81</f>
        <v>37.80559795602513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14.646295480316434</v>
      </c>
      <c r="D259" s="33">
        <f>D144</f>
        <v>0</v>
      </c>
      <c r="E259" s="33"/>
      <c r="O259" s="11"/>
      <c r="P259" s="11" t="s">
        <v>333</v>
      </c>
      <c r="Q259" s="33">
        <f>Q144</f>
        <v>14.198665948152955</v>
      </c>
      <c r="R259" s="33">
        <f>R144</f>
        <v>0</v>
      </c>
      <c r="S259" s="33"/>
      <c r="AC259" s="11"/>
      <c r="AD259" s="11" t="s">
        <v>333</v>
      </c>
      <c r="AE259" s="33">
        <f>AE144</f>
        <v>15.924706379988955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39067.94961772678</v>
      </c>
      <c r="D262" s="37">
        <f t="shared" si="3"/>
        <v>0</v>
      </c>
      <c r="E262" s="37"/>
      <c r="O262" s="11"/>
      <c r="P262" s="11" t="s">
        <v>238</v>
      </c>
      <c r="Q262" s="37">
        <f aca="true" t="shared" si="4" ref="Q262:R266">Q167</f>
        <v>42221.00524944901</v>
      </c>
      <c r="R262" s="37">
        <f t="shared" si="4"/>
        <v>0</v>
      </c>
      <c r="S262" s="37"/>
      <c r="AC262" s="11"/>
      <c r="AD262" s="11" t="s">
        <v>238</v>
      </c>
      <c r="AE262" s="37">
        <f aca="true" t="shared" si="5" ref="AE262:AF266">AE167</f>
        <v>28187.819704518613</v>
      </c>
      <c r="AF262" s="37">
        <f t="shared" si="5"/>
        <v>0</v>
      </c>
      <c r="AG262" s="37"/>
    </row>
    <row r="263" spans="1:33" ht="12.75">
      <c r="A263" s="11"/>
      <c r="B263" s="11" t="s">
        <v>240</v>
      </c>
      <c r="C263" s="37">
        <f t="shared" si="3"/>
        <v>679.1613785591325</v>
      </c>
      <c r="D263" s="37">
        <f t="shared" si="3"/>
        <v>0</v>
      </c>
      <c r="E263" s="37"/>
      <c r="O263" s="11"/>
      <c r="P263" s="11" t="s">
        <v>240</v>
      </c>
      <c r="Q263" s="37">
        <f t="shared" si="4"/>
        <v>733.9744319262686</v>
      </c>
      <c r="R263" s="37">
        <f t="shared" si="4"/>
        <v>0</v>
      </c>
      <c r="S263" s="37"/>
      <c r="AC263" s="11"/>
      <c r="AD263" s="11" t="s">
        <v>240</v>
      </c>
      <c r="AE263" s="37">
        <f t="shared" si="5"/>
        <v>490.0200466475468</v>
      </c>
      <c r="AF263" s="37">
        <f t="shared" si="5"/>
        <v>0</v>
      </c>
      <c r="AG263" s="37"/>
    </row>
    <row r="264" spans="1:33" ht="12.75">
      <c r="A264" s="11"/>
      <c r="B264" s="11" t="s">
        <v>242</v>
      </c>
      <c r="C264" s="37">
        <f t="shared" si="3"/>
        <v>1544.7348891527656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1610.703759002983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1095.95213009578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7789.656717491244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8921.002126836036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4935.671818865952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89.55000717354261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102.90585822825784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56.36706409136595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49171.05261010346</v>
      </c>
      <c r="D267" s="37">
        <f>D172</f>
        <v>0</v>
      </c>
      <c r="E267" s="37">
        <f>SUM(C267:D267)</f>
        <v>49171.05261010346</v>
      </c>
      <c r="O267" s="11"/>
      <c r="P267" s="11" t="s">
        <v>248</v>
      </c>
      <c r="Q267" s="37">
        <f>SUM(Q262:Q266)</f>
        <v>53589.59142544255</v>
      </c>
      <c r="R267" s="37">
        <f>R172</f>
        <v>0</v>
      </c>
      <c r="S267" s="37">
        <f>SUM(Q267:R267)</f>
        <v>53589.59142544255</v>
      </c>
      <c r="AC267" s="11"/>
      <c r="AD267" s="11" t="s">
        <v>248</v>
      </c>
      <c r="AE267" s="37">
        <f>SUM(AE262:AE266)</f>
        <v>34765.83076421925</v>
      </c>
      <c r="AF267" s="37">
        <f>AF172</f>
        <v>0</v>
      </c>
      <c r="AG267" s="37">
        <f>SUM(AE267:AF267)</f>
        <v>34765.83076421925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60/C255</f>
        <v>1.9810968726127407</v>
      </c>
      <c r="D271" s="33">
        <f>60/D255</f>
        <v>1</v>
      </c>
      <c r="E271" s="11"/>
      <c r="O271" s="11"/>
      <c r="P271" s="11" t="s">
        <v>335</v>
      </c>
      <c r="Q271" s="33">
        <f>60/Q255</f>
        <v>2.1165466966785096</v>
      </c>
      <c r="R271" s="33">
        <f>60/R255</f>
        <v>1</v>
      </c>
      <c r="S271" s="11"/>
      <c r="AC271" s="11"/>
      <c r="AD271" s="11" t="s">
        <v>335</v>
      </c>
      <c r="AE271" s="33">
        <f>60/AE255</f>
        <v>1.5870665521489977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0.9810968726127407</v>
      </c>
      <c r="E272" s="11"/>
      <c r="O272" s="11"/>
      <c r="P272" s="11" t="s">
        <v>385</v>
      </c>
      <c r="Q272" s="33"/>
      <c r="R272" s="33">
        <f>+Q271-R271</f>
        <v>1.1165466966785096</v>
      </c>
      <c r="S272" s="11"/>
      <c r="AC272" s="11"/>
      <c r="AD272" s="11" t="s">
        <v>385</v>
      </c>
      <c r="AE272" s="33"/>
      <c r="AF272" s="33">
        <f>+AE271-AF271</f>
        <v>0.5870665521489977</v>
      </c>
      <c r="AG272" s="11"/>
    </row>
    <row r="273" spans="1:33" ht="12.75">
      <c r="A273" s="11"/>
      <c r="B273" s="11" t="s">
        <v>461</v>
      </c>
      <c r="C273" s="33"/>
      <c r="D273" s="79">
        <f>+'Sensitivity Anal'!B18</f>
        <v>0</v>
      </c>
      <c r="E273" s="11"/>
      <c r="O273" s="11"/>
      <c r="P273" s="11" t="s">
        <v>461</v>
      </c>
      <c r="Q273" s="33"/>
      <c r="R273" s="79">
        <f>+D273</f>
        <v>0</v>
      </c>
      <c r="S273" s="11"/>
      <c r="AC273" s="11"/>
      <c r="AD273" s="11" t="s">
        <v>461</v>
      </c>
      <c r="AE273" s="33"/>
      <c r="AF273" s="79">
        <f>+D273</f>
        <v>0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</v>
      </c>
      <c r="E274" s="11"/>
      <c r="O274" s="11"/>
      <c r="P274" s="11" t="s">
        <v>336</v>
      </c>
      <c r="Q274" s="33"/>
      <c r="R274" s="38">
        <f>+R272*R273/60</f>
        <v>0</v>
      </c>
      <c r="S274" s="11"/>
      <c r="AC274" s="11"/>
      <c r="AD274" s="11" t="s">
        <v>336</v>
      </c>
      <c r="AE274" s="33"/>
      <c r="AF274" s="38">
        <f>+AF272*AF273/60</f>
        <v>0</v>
      </c>
      <c r="AG274" s="11"/>
    </row>
    <row r="275" spans="1:33" ht="12.75">
      <c r="A275" s="11"/>
      <c r="B275" s="11" t="s">
        <v>464</v>
      </c>
      <c r="C275" s="33"/>
      <c r="D275" s="30">
        <f>+'mode ch'!B135</f>
        <v>0.00013680000000000002</v>
      </c>
      <c r="E275" s="11"/>
      <c r="O275" s="11"/>
      <c r="P275" s="11" t="s">
        <v>464</v>
      </c>
      <c r="Q275" s="33"/>
      <c r="R275" s="30">
        <f>+'mode ch'!P135</f>
        <v>0.00013680000000000002</v>
      </c>
      <c r="S275" s="11"/>
      <c r="AC275" s="11"/>
      <c r="AD275" s="11" t="s">
        <v>464</v>
      </c>
      <c r="AE275" s="33"/>
      <c r="AF275" s="30">
        <f>+'mode ch'!AD135</f>
        <v>0.00013680000000000002</v>
      </c>
      <c r="AG275" s="11"/>
    </row>
    <row r="276" spans="1:33" ht="12.75">
      <c r="A276" s="11"/>
      <c r="B276" s="11" t="s">
        <v>465</v>
      </c>
      <c r="C276" s="33"/>
      <c r="D276" s="30">
        <f>+'mode ch'!B138</f>
        <v>0.00010191294634558518</v>
      </c>
      <c r="E276" s="11"/>
      <c r="O276" s="11"/>
      <c r="P276" s="11" t="s">
        <v>465</v>
      </c>
      <c r="Q276" s="33"/>
      <c r="R276" s="30">
        <f>+'mode ch'!P138</f>
        <v>0.00010534821419993075</v>
      </c>
      <c r="S276" s="11"/>
      <c r="AC276" s="11"/>
      <c r="AD276" s="11" t="s">
        <v>465</v>
      </c>
      <c r="AE276" s="33"/>
      <c r="AF276" s="30">
        <f>+'mode ch'!AD138</f>
        <v>9.160714278254849E-05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0</v>
      </c>
      <c r="E277" s="11"/>
      <c r="O277" s="11"/>
      <c r="P277" s="11" t="s">
        <v>337</v>
      </c>
      <c r="Q277" s="33"/>
      <c r="R277" s="37">
        <f>+(R275+R276)*R274</f>
        <v>0</v>
      </c>
      <c r="S277" s="11"/>
      <c r="AC277" s="11"/>
      <c r="AD277" s="11" t="s">
        <v>337</v>
      </c>
      <c r="AE277" s="33"/>
      <c r="AF277" s="37">
        <f>+(AF275+AF276)*AF274</f>
        <v>0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0</v>
      </c>
      <c r="E279" s="11"/>
      <c r="O279" s="11"/>
      <c r="P279" s="11" t="s">
        <v>339</v>
      </c>
      <c r="Q279" s="33"/>
      <c r="R279" s="37">
        <f>+R278*R277</f>
        <v>0</v>
      </c>
      <c r="S279" s="11"/>
      <c r="AC279" s="11"/>
      <c r="AD279" s="11" t="s">
        <v>339</v>
      </c>
      <c r="AE279" s="33"/>
      <c r="AF279" s="37">
        <f>+AF278*AF277</f>
        <v>0</v>
      </c>
      <c r="AG279" s="11"/>
    </row>
    <row r="280" spans="1:33" ht="12.75">
      <c r="A280" s="11"/>
      <c r="B280" s="11" t="s">
        <v>480</v>
      </c>
      <c r="C280" s="33"/>
      <c r="D280" s="44">
        <v>250</v>
      </c>
      <c r="E280" s="11"/>
      <c r="O280" s="11"/>
      <c r="P280" s="11" t="s">
        <v>480</v>
      </c>
      <c r="Q280" s="33"/>
      <c r="R280" s="44">
        <v>250</v>
      </c>
      <c r="S280" s="11"/>
      <c r="AC280" s="11"/>
      <c r="AD280" s="11" t="s">
        <v>480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0</v>
      </c>
      <c r="E281" s="11"/>
      <c r="O281" s="11"/>
      <c r="P281" s="11" t="s">
        <v>467</v>
      </c>
      <c r="Q281" s="33"/>
      <c r="R281" s="37">
        <f>+R280*R279*1.1</f>
        <v>0</v>
      </c>
      <c r="S281" s="11"/>
      <c r="AC281" s="11"/>
      <c r="AD281" s="11" t="s">
        <v>467</v>
      </c>
      <c r="AE281" s="33"/>
      <c r="AF281" s="37">
        <f>+AF280*AF279*1.1</f>
        <v>0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0.004296833034220533</v>
      </c>
      <c r="E282" s="11"/>
      <c r="O282" s="11"/>
      <c r="P282" s="11" t="s">
        <v>466</v>
      </c>
      <c r="Q282" s="33"/>
      <c r="R282" s="45">
        <f>+(R275+R276)*250*1.2*6/5*0.1</f>
        <v>0.008717335711197509</v>
      </c>
      <c r="S282" s="11"/>
      <c r="AC282" s="11"/>
      <c r="AD282" s="11" t="s">
        <v>466</v>
      </c>
      <c r="AE282" s="33"/>
      <c r="AF282" s="45">
        <f>+(AF275+AF276)*250*1.2*5/5*0.1</f>
        <v>0.006852214283476455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63">
        <f>+E248-C12</f>
        <v>23169.362379897677</v>
      </c>
      <c r="O287" s="11"/>
      <c r="P287" s="11" t="s">
        <v>343</v>
      </c>
      <c r="Q287" s="14"/>
      <c r="R287" s="14"/>
      <c r="S287" s="63">
        <f>+S248-Q12</f>
        <v>23148.19046870072</v>
      </c>
      <c r="AC287" s="11"/>
      <c r="AD287" s="11" t="s">
        <v>343</v>
      </c>
      <c r="AE287" s="14"/>
      <c r="AF287" s="14"/>
      <c r="AG287" s="63">
        <f>+AG248-AE12</f>
        <v>20488.20233218302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1390.1617427938606</v>
      </c>
      <c r="O291" s="11"/>
      <c r="P291" s="11" t="s">
        <v>598</v>
      </c>
      <c r="Q291" s="37"/>
      <c r="R291" s="37"/>
      <c r="S291" s="67">
        <f>+S287*S288</f>
        <v>1388.8914281220432</v>
      </c>
      <c r="AC291" s="11"/>
      <c r="AD291" s="11" t="s">
        <v>598</v>
      </c>
      <c r="AE291" s="37"/>
      <c r="AF291" s="37"/>
      <c r="AG291" s="67">
        <f>+AG287*AG288</f>
        <v>1229.2921399309812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551</v>
      </c>
      <c r="E295" s="24" t="s">
        <v>40</v>
      </c>
      <c r="O295" s="11"/>
      <c r="P295" s="11"/>
      <c r="Q295" s="24" t="s">
        <v>92</v>
      </c>
      <c r="R295" s="24" t="s">
        <v>551</v>
      </c>
      <c r="S295" s="24" t="s">
        <v>40</v>
      </c>
      <c r="AC295" s="11"/>
      <c r="AD295" s="11"/>
      <c r="AE295" s="24" t="s">
        <v>92</v>
      </c>
      <c r="AF295" s="24" t="s">
        <v>551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49171.05261010346</v>
      </c>
      <c r="D297" s="37">
        <f>+D267</f>
        <v>0</v>
      </c>
      <c r="E297" s="37">
        <f>SUM(C297:D297)</f>
        <v>49171.05261010346</v>
      </c>
      <c r="O297" s="26"/>
      <c r="P297" s="11" t="s">
        <v>349</v>
      </c>
      <c r="Q297" s="37">
        <f>+Q267</f>
        <v>53589.59142544255</v>
      </c>
      <c r="R297" s="37">
        <f>+R267</f>
        <v>0</v>
      </c>
      <c r="S297" s="37">
        <f>+S267</f>
        <v>53589.59142544255</v>
      </c>
      <c r="AC297" s="26"/>
      <c r="AD297" s="11" t="s">
        <v>349</v>
      </c>
      <c r="AE297" s="37">
        <f>+AE267</f>
        <v>34765.83076421925</v>
      </c>
      <c r="AF297" s="37">
        <f>+AF267</f>
        <v>0</v>
      </c>
      <c r="AG297" s="37">
        <f>+AG267</f>
        <v>34765.83076421925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19664.844960625953</v>
      </c>
      <c r="D303" s="37">
        <f>+D297*D302</f>
        <v>0</v>
      </c>
      <c r="E303" s="37">
        <f>SUM(C303:D303)</f>
        <v>19664.844960625953</v>
      </c>
      <c r="F303" s="75">
        <f>SUM(C303:D303)</f>
        <v>19664.844960625953</v>
      </c>
      <c r="O303" s="26"/>
      <c r="P303" s="11" t="s">
        <v>594</v>
      </c>
      <c r="Q303" s="37">
        <f>+Q297*Q302</f>
        <v>21431.939137867488</v>
      </c>
      <c r="R303" s="37">
        <f>+R297*R302</f>
        <v>0</v>
      </c>
      <c r="S303" s="37">
        <f>SUM(Q303:R303)</f>
        <v>21431.939137867488</v>
      </c>
      <c r="AC303" s="26"/>
      <c r="AD303" s="11" t="s">
        <v>594</v>
      </c>
      <c r="AE303" s="37">
        <f>+AE297*AE302</f>
        <v>13903.803876780443</v>
      </c>
      <c r="AF303" s="37">
        <f>+AF297*AF302</f>
        <v>0</v>
      </c>
      <c r="AG303" s="37">
        <f>SUM(AE303:AF303)</f>
        <v>13903.803876780443</v>
      </c>
    </row>
    <row r="304" spans="1:33" ht="12.75">
      <c r="A304" s="11"/>
      <c r="B304" s="11" t="s">
        <v>351</v>
      </c>
      <c r="C304" s="37">
        <f>C297+C303</f>
        <v>68835.89757072942</v>
      </c>
      <c r="D304" s="37">
        <f>D297+D303</f>
        <v>0</v>
      </c>
      <c r="E304" s="37">
        <f>SUM(C304:D304)</f>
        <v>68835.89757072942</v>
      </c>
      <c r="O304" s="11"/>
      <c r="P304" s="11" t="s">
        <v>351</v>
      </c>
      <c r="Q304" s="37">
        <f>Q297+Q303</f>
        <v>75021.53056331004</v>
      </c>
      <c r="R304" s="37">
        <f>R297+R303</f>
        <v>0</v>
      </c>
      <c r="S304" s="37">
        <f>SUM(Q304:R304)</f>
        <v>75021.53056331004</v>
      </c>
      <c r="AC304" s="11"/>
      <c r="AD304" s="11" t="s">
        <v>351</v>
      </c>
      <c r="AE304" s="37">
        <f>AE297+AE303</f>
        <v>48669.63464099969</v>
      </c>
      <c r="AF304" s="37">
        <f>AF297+AF303</f>
        <v>0</v>
      </c>
      <c r="AG304" s="37">
        <f>SUM(AE304:AF304)</f>
        <v>48669.63464099969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/>
      <c r="D306" s="37"/>
      <c r="E306" s="37">
        <f>+E291</f>
        <v>1390.1617427938606</v>
      </c>
      <c r="O306" s="11"/>
      <c r="P306" s="11" t="s">
        <v>352</v>
      </c>
      <c r="Q306" s="37"/>
      <c r="R306" s="37"/>
      <c r="S306" s="37">
        <f>+S291</f>
        <v>1388.8914281220432</v>
      </c>
      <c r="AC306" s="11"/>
      <c r="AD306" s="11" t="s">
        <v>352</v>
      </c>
      <c r="AE306" s="37"/>
      <c r="AF306" s="37"/>
      <c r="AG306" s="37">
        <f>+AG291</f>
        <v>1229.2921399309812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68835.89757072942</v>
      </c>
      <c r="D308" s="37">
        <f>D304-D306</f>
        <v>0</v>
      </c>
      <c r="E308" s="37">
        <f>+E304-E306</f>
        <v>67445.73582793555</v>
      </c>
      <c r="O308" s="11"/>
      <c r="P308" s="11" t="s">
        <v>353</v>
      </c>
      <c r="Q308" s="37">
        <f>Q304-Q306</f>
        <v>75021.53056331004</v>
      </c>
      <c r="R308" s="37">
        <f>R304-R306</f>
        <v>0</v>
      </c>
      <c r="S308" s="37">
        <f>+S304-S306</f>
        <v>73632.63913518799</v>
      </c>
      <c r="AC308" s="11"/>
      <c r="AD308" s="11" t="s">
        <v>353</v>
      </c>
      <c r="AE308" s="37">
        <f>AE304-AE306</f>
        <v>48669.63464099969</v>
      </c>
      <c r="AF308" s="37">
        <f>AF304-AF306</f>
        <v>0</v>
      </c>
      <c r="AG308" s="37">
        <f>+AG304-AG306</f>
        <v>47440.34250106871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17208974.392682355</v>
      </c>
      <c r="D310" s="37">
        <f>+D308*D309</f>
        <v>0</v>
      </c>
      <c r="E310" s="37">
        <f>+E308*E309</f>
        <v>16861433.956983887</v>
      </c>
      <c r="O310" s="11"/>
      <c r="P310" s="11" t="s">
        <v>355</v>
      </c>
      <c r="Q310" s="37">
        <f>+Q308*Q309</f>
        <v>18755382.64082751</v>
      </c>
      <c r="R310" s="37">
        <f>+R308*R309</f>
        <v>0</v>
      </c>
      <c r="S310" s="37">
        <f>+S308*S309</f>
        <v>18408159.783796996</v>
      </c>
      <c r="AC310" s="11"/>
      <c r="AD310" s="11" t="s">
        <v>355</v>
      </c>
      <c r="AE310" s="37">
        <f>+AE308*AE309</f>
        <v>12167408.660249922</v>
      </c>
      <c r="AF310" s="37">
        <f>+AF308*AF309</f>
        <v>0</v>
      </c>
      <c r="AG310" s="37">
        <f>+AG308*AG309</f>
        <v>11860085.625267178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504</v>
      </c>
      <c r="Q311" s="47">
        <v>12.409</v>
      </c>
      <c r="R311" s="47">
        <v>12.409</v>
      </c>
      <c r="S311" s="47">
        <v>12.409</v>
      </c>
      <c r="T311" s="47"/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213.54616323879534</v>
      </c>
      <c r="D312" s="38">
        <f>+D310*D311/1000000</f>
        <v>0</v>
      </c>
      <c r="E312" s="38">
        <f>+E310*E311/1000000</f>
        <v>209.23353397221305</v>
      </c>
      <c r="O312" s="11"/>
      <c r="P312" s="11" t="s">
        <v>505</v>
      </c>
      <c r="Q312" s="38">
        <f>+Q310*Q311/1000000</f>
        <v>232.73554319002858</v>
      </c>
      <c r="R312" s="38">
        <f>+R310*R311/1000000</f>
        <v>0</v>
      </c>
      <c r="S312" s="38">
        <f>+S310*S311/1000000</f>
        <v>228.42685475713694</v>
      </c>
      <c r="AC312" s="11"/>
      <c r="AD312" s="11" t="s">
        <v>505</v>
      </c>
      <c r="AE312" s="38">
        <f>+AE310*AE311/1000000</f>
        <v>150.9853740650413</v>
      </c>
      <c r="AF312" s="38">
        <f>+AF310*AF311/1000000</f>
        <v>0</v>
      </c>
      <c r="AG312" s="38">
        <f>+AG310*AG311/1000000</f>
        <v>147.1718025239404</v>
      </c>
    </row>
    <row r="313" spans="1:5" ht="12.75">
      <c r="A313" s="26"/>
      <c r="B313" s="11"/>
      <c r="C313" s="37"/>
      <c r="D313" s="37"/>
      <c r="E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  <row r="322" spans="1:5" ht="12.75">
      <c r="A322" s="18"/>
      <c r="B322" s="18"/>
      <c r="C322" s="18"/>
      <c r="D322" s="18"/>
      <c r="E322" s="18"/>
    </row>
    <row r="323" spans="1:5" ht="12.75">
      <c r="A323" s="18"/>
      <c r="B323" s="18"/>
      <c r="C323" s="18"/>
      <c r="D323" s="18"/>
      <c r="E323" s="18"/>
    </row>
    <row r="324" spans="1:5" ht="12.75">
      <c r="A324" s="18"/>
      <c r="B324" s="18"/>
      <c r="C324" s="18"/>
      <c r="D324" s="18"/>
      <c r="E324" s="18"/>
    </row>
    <row r="325" spans="1:5" ht="12.75">
      <c r="A325" s="18"/>
      <c r="B325" s="18"/>
      <c r="C325" s="18"/>
      <c r="D325" s="18"/>
      <c r="E325" s="18"/>
    </row>
    <row r="326" spans="1:5" ht="12.75">
      <c r="A326" s="18"/>
      <c r="B326" s="18"/>
      <c r="C326" s="18"/>
      <c r="D326" s="18"/>
      <c r="E326" s="18"/>
    </row>
    <row r="327" spans="1:5" ht="12.75">
      <c r="A327" s="18"/>
      <c r="B327" s="18"/>
      <c r="C327" s="18"/>
      <c r="D327" s="18"/>
      <c r="E327" s="18"/>
    </row>
    <row r="328" spans="1:5" ht="12.75">
      <c r="A328" s="18"/>
      <c r="B328" s="18"/>
      <c r="C328" s="18"/>
      <c r="D328" s="18"/>
      <c r="E328" s="18"/>
    </row>
    <row r="329" spans="1:5" ht="12.75">
      <c r="A329" s="18"/>
      <c r="B329" s="18"/>
      <c r="C329" s="18"/>
      <c r="D329" s="18"/>
      <c r="E329" s="18"/>
    </row>
    <row r="330" spans="1:5" ht="12.75">
      <c r="A330" s="18"/>
      <c r="B330" s="18"/>
      <c r="C330" s="18"/>
      <c r="D330" s="18"/>
      <c r="E330" s="18"/>
    </row>
    <row r="331" spans="1:5" ht="12.75">
      <c r="A331" s="18"/>
      <c r="B331" s="18"/>
      <c r="C331" s="18"/>
      <c r="D331" s="18"/>
      <c r="E331" s="18"/>
    </row>
    <row r="332" spans="1:5" ht="12.75">
      <c r="A332" s="18"/>
      <c r="B332" s="18"/>
      <c r="C332" s="18"/>
      <c r="D332" s="18"/>
      <c r="E332" s="18"/>
    </row>
    <row r="333" spans="1:5" ht="12.75">
      <c r="A333" s="18"/>
      <c r="B333" s="18"/>
      <c r="C333" s="18"/>
      <c r="D333" s="18"/>
      <c r="E333" s="18"/>
    </row>
    <row r="334" spans="1:5" ht="12.75">
      <c r="A334" s="18"/>
      <c r="B334" s="18"/>
      <c r="C334" s="18"/>
      <c r="D334" s="18"/>
      <c r="E334" s="18"/>
    </row>
    <row r="335" spans="1:5" ht="12.75">
      <c r="A335" s="18"/>
      <c r="B335" s="18"/>
      <c r="C335" s="18"/>
      <c r="D335" s="18"/>
      <c r="E335" s="18"/>
    </row>
    <row r="336" spans="1:5" ht="12.75">
      <c r="A336" s="18"/>
      <c r="B336" s="18"/>
      <c r="C336" s="18"/>
      <c r="D336" s="18"/>
      <c r="E336" s="18"/>
    </row>
    <row r="337" spans="1:5" ht="12.75">
      <c r="A337" s="18"/>
      <c r="B337" s="18"/>
      <c r="C337" s="18"/>
      <c r="D337" s="18"/>
      <c r="E337" s="18"/>
    </row>
    <row r="338" spans="1:5" ht="12.75">
      <c r="A338" s="18"/>
      <c r="B338" s="18"/>
      <c r="C338" s="18"/>
      <c r="D338" s="18"/>
      <c r="E338" s="18"/>
    </row>
    <row r="339" spans="1:5" ht="12.75">
      <c r="A339" s="18"/>
      <c r="B339" s="18"/>
      <c r="C339" s="18"/>
      <c r="D339" s="18"/>
      <c r="E339" s="18"/>
    </row>
    <row r="340" spans="1:5" ht="12.75">
      <c r="A340" s="18"/>
      <c r="B340" s="18"/>
      <c r="C340" s="18"/>
      <c r="D340" s="18"/>
      <c r="E340" s="18"/>
    </row>
    <row r="341" spans="1:5" ht="12.75">
      <c r="A341" s="18"/>
      <c r="B341" s="18"/>
      <c r="C341" s="18"/>
      <c r="D341" s="18"/>
      <c r="E341" s="18"/>
    </row>
    <row r="342" spans="1:5" ht="12.75">
      <c r="A342" s="18"/>
      <c r="B342" s="18"/>
      <c r="C342" s="18"/>
      <c r="D342" s="18"/>
      <c r="E342" s="18"/>
    </row>
  </sheetData>
  <printOptions/>
  <pageMargins left="0.75" right="0.75" top="1" bottom="1" header="0.5" footer="0.5"/>
  <pageSetup fitToHeight="0" fitToWidth="1" horizontalDpi="600" verticalDpi="600" orientation="portrait" scale="83" r:id="rId1"/>
  <rowBreaks count="4" manualBreakCount="4">
    <brk id="58" max="255" man="1"/>
    <brk id="109" max="255" man="1"/>
    <brk id="164" max="255" man="1"/>
    <brk id="2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1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7109375" style="0" customWidth="1"/>
    <col min="3" max="3" width="17.7109375" style="0" customWidth="1"/>
    <col min="4" max="4" width="16.7109375" style="0" customWidth="1"/>
    <col min="5" max="5" width="15.8515625" style="0" customWidth="1"/>
    <col min="6" max="6" width="3.00390625" style="0" customWidth="1"/>
    <col min="7" max="8" width="3.7109375" style="0" customWidth="1"/>
    <col min="9" max="9" width="3.140625" style="0" customWidth="1"/>
    <col min="10" max="10" width="3.8515625" style="0" customWidth="1"/>
    <col min="11" max="12" width="4.140625" style="0" customWidth="1"/>
    <col min="13" max="13" width="3.140625" style="0" customWidth="1"/>
    <col min="14" max="14" width="3.8515625" style="0" customWidth="1"/>
    <col min="15" max="15" width="5.28125" style="0" customWidth="1"/>
    <col min="16" max="16" width="44.421875" style="0" customWidth="1"/>
    <col min="17" max="17" width="13.421875" style="0" customWidth="1"/>
    <col min="18" max="18" width="15.28125" style="0" customWidth="1"/>
    <col min="19" max="19" width="13.8515625" style="0" customWidth="1"/>
    <col min="20" max="20" width="4.140625" style="0" customWidth="1"/>
    <col min="21" max="21" width="5.8515625" style="0" customWidth="1"/>
    <col min="22" max="22" width="5.28125" style="0" customWidth="1"/>
    <col min="23" max="23" width="4.8515625" style="0" customWidth="1"/>
    <col min="24" max="24" width="4.57421875" style="0" customWidth="1"/>
    <col min="25" max="25" width="5.140625" style="0" customWidth="1"/>
    <col min="26" max="26" width="4.421875" style="0" customWidth="1"/>
    <col min="27" max="27" width="4.8515625" style="0" customWidth="1"/>
    <col min="28" max="28" width="3.421875" style="0" customWidth="1"/>
    <col min="29" max="29" width="5.140625" style="0" customWidth="1"/>
    <col min="30" max="30" width="44.57421875" style="0" customWidth="1"/>
    <col min="31" max="31" width="13.8515625" style="0" customWidth="1"/>
    <col min="32" max="33" width="15.14062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368</v>
      </c>
      <c r="B3" s="17"/>
      <c r="C3" s="18"/>
      <c r="D3" s="21"/>
      <c r="E3" s="21"/>
      <c r="O3" s="17" t="s">
        <v>368</v>
      </c>
      <c r="P3" s="17"/>
      <c r="Q3" s="18"/>
      <c r="R3" s="21"/>
      <c r="S3" s="21"/>
      <c r="AC3" s="17" t="s">
        <v>368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+'alt 1'!C7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462</v>
      </c>
      <c r="D39" s="21"/>
      <c r="E39" s="21"/>
      <c r="O39" s="11"/>
      <c r="P39" s="11"/>
      <c r="Q39" s="21" t="s">
        <v>462</v>
      </c>
      <c r="R39" s="21"/>
      <c r="S39" s="21"/>
      <c r="AC39" s="11"/>
      <c r="AD39" s="11"/>
      <c r="AE39" s="21" t="s">
        <v>462</v>
      </c>
      <c r="AF39" s="21"/>
      <c r="AG39" s="21"/>
    </row>
    <row r="40" spans="1:33" ht="12.75">
      <c r="A40" s="11"/>
      <c r="B40" s="11"/>
      <c r="C40" s="24" t="s">
        <v>92</v>
      </c>
      <c r="D40" s="24" t="s">
        <v>395</v>
      </c>
      <c r="E40" s="24" t="s">
        <v>40</v>
      </c>
      <c r="O40" s="11"/>
      <c r="P40" s="11"/>
      <c r="Q40" s="24" t="s">
        <v>92</v>
      </c>
      <c r="R40" s="24" t="s">
        <v>395</v>
      </c>
      <c r="S40" s="24" t="s">
        <v>40</v>
      </c>
      <c r="AC40" s="11"/>
      <c r="AD40" s="11"/>
      <c r="AE40" s="24" t="s">
        <v>92</v>
      </c>
      <c r="AF40" s="24" t="s">
        <v>395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182335.8651876893</v>
      </c>
      <c r="D43" s="30">
        <f>+'mode ch'!C139</f>
        <v>97026.338028169</v>
      </c>
      <c r="E43" s="30">
        <f>+'mode ch'!C129</f>
        <v>279362.2032158583</v>
      </c>
      <c r="O43" s="11" t="s">
        <v>96</v>
      </c>
      <c r="P43" s="11" t="s">
        <v>365</v>
      </c>
      <c r="Q43" s="30">
        <f>+S43-R43</f>
        <v>190326.51232884743</v>
      </c>
      <c r="R43" s="30">
        <f>+'mode ch'!Q139</f>
        <v>98452.39436619719</v>
      </c>
      <c r="S43" s="30">
        <f>+'mode ch'!Q129</f>
        <v>288778.9066950446</v>
      </c>
      <c r="AC43" s="11" t="s">
        <v>96</v>
      </c>
      <c r="AD43" s="11" t="s">
        <v>365</v>
      </c>
      <c r="AE43" s="30">
        <f>+AG43-AF43</f>
        <v>158363.9237642151</v>
      </c>
      <c r="AF43" s="30">
        <f>+'mode ch'!AE139</f>
        <v>92748.1690140845</v>
      </c>
      <c r="AG43" s="30">
        <f>+'mode ch'!AE129</f>
        <v>251112.09277829962</v>
      </c>
    </row>
    <row r="44" spans="1:33" ht="12.75">
      <c r="A44" s="11" t="s">
        <v>97</v>
      </c>
      <c r="B44" s="11" t="s">
        <v>98</v>
      </c>
      <c r="C44" s="30">
        <f>+'mode ch'!C112</f>
        <v>13860</v>
      </c>
      <c r="D44" s="30">
        <f>+'mode ch'!C111</f>
        <v>9120</v>
      </c>
      <c r="E44" s="14"/>
      <c r="O44" s="11" t="s">
        <v>97</v>
      </c>
      <c r="P44" s="11" t="s">
        <v>98</v>
      </c>
      <c r="Q44" s="30">
        <f>+'mode ch'!Q112</f>
        <v>13860</v>
      </c>
      <c r="R44" s="30">
        <f>+'mode ch'!Q111</f>
        <v>9120</v>
      </c>
      <c r="S44" s="14"/>
      <c r="AC44" s="11" t="s">
        <v>97</v>
      </c>
      <c r="AD44" s="11" t="s">
        <v>98</v>
      </c>
      <c r="AE44" s="30">
        <f>+'mode ch'!AE112</f>
        <v>13860</v>
      </c>
      <c r="AF44" s="30">
        <f>+'mode ch'!AE111</f>
        <v>9120</v>
      </c>
      <c r="AG44" s="14"/>
    </row>
    <row r="45" spans="1:33" ht="12.75">
      <c r="A45" s="11" t="s">
        <v>99</v>
      </c>
      <c r="B45" s="11" t="s">
        <v>65</v>
      </c>
      <c r="C45" s="14">
        <f>C43/C44</f>
        <v>13.155545828837612</v>
      </c>
      <c r="D45" s="14"/>
      <c r="E45" s="14"/>
      <c r="O45" s="11" t="s">
        <v>99</v>
      </c>
      <c r="P45" s="11" t="s">
        <v>65</v>
      </c>
      <c r="Q45" s="14">
        <f>Q43/Q44</f>
        <v>13.732071596597939</v>
      </c>
      <c r="R45" s="14"/>
      <c r="S45" s="14"/>
      <c r="AC45" s="11" t="s">
        <v>99</v>
      </c>
      <c r="AD45" s="11" t="s">
        <v>65</v>
      </c>
      <c r="AE45" s="14">
        <f>AE43/AE44</f>
        <v>11.425968525556646</v>
      </c>
      <c r="AF45" s="14"/>
      <c r="AG45" s="14"/>
    </row>
    <row r="46" spans="1:33" ht="12.75">
      <c r="A46" s="11" t="s">
        <v>100</v>
      </c>
      <c r="B46" s="11" t="s">
        <v>67</v>
      </c>
      <c r="C46" s="14">
        <f>C44</f>
        <v>13860</v>
      </c>
      <c r="D46" s="14"/>
      <c r="E46" s="14"/>
      <c r="O46" s="11" t="s">
        <v>100</v>
      </c>
      <c r="P46" s="11" t="s">
        <v>67</v>
      </c>
      <c r="Q46" s="14">
        <f>Q44</f>
        <v>13860</v>
      </c>
      <c r="R46" s="14"/>
      <c r="S46" s="14"/>
      <c r="AC46" s="11" t="s">
        <v>100</v>
      </c>
      <c r="AD46" s="11" t="s">
        <v>67</v>
      </c>
      <c r="AE46" s="14">
        <f>AE44</f>
        <v>13860</v>
      </c>
      <c r="AF46" s="14"/>
      <c r="AG46" s="14"/>
    </row>
    <row r="47" spans="1:33" ht="12.75">
      <c r="A47" s="11" t="s">
        <v>101</v>
      </c>
      <c r="B47" s="11" t="s">
        <v>69</v>
      </c>
      <c r="C47" s="31">
        <f>0.0551483782*(C45)^3-0.0189486676*(C45)^4+0.0023287974*((C45)^5)-(0.0001133801*((C45)^6))+(0.0000018954*((C45)^7))</f>
        <v>17.160224955051206</v>
      </c>
      <c r="D47" s="31"/>
      <c r="E47" s="31"/>
      <c r="O47" s="11" t="s">
        <v>101</v>
      </c>
      <c r="P47" s="11" t="s">
        <v>69</v>
      </c>
      <c r="Q47" s="31">
        <f>0.0551483782*(Q45)^3-0.0189486676*(Q45)^4+0.0023287974*((Q45)^5)-(0.0001133801*((Q45)^6))+(0.0000018954*((Q45)^7))</f>
        <v>20.430592550709378</v>
      </c>
      <c r="R47" s="31"/>
      <c r="S47" s="31"/>
      <c r="AC47" s="11" t="s">
        <v>101</v>
      </c>
      <c r="AD47" s="11" t="s">
        <v>69</v>
      </c>
      <c r="AE47" s="31">
        <f>0.0551483782*(AE45)^3-0.0189486676*(AE45)^4+0.0023287974*((AE45)^5)-(0.0001133801*((AE45)^6))+(0.0000018954*((AE45)^7))</f>
        <v>8.725659497601754</v>
      </c>
      <c r="AF47" s="31"/>
      <c r="AG47" s="31"/>
    </row>
    <row r="48" spans="1:33" ht="12.75">
      <c r="A48" s="11" t="s">
        <v>102</v>
      </c>
      <c r="B48" s="11" t="s">
        <v>71</v>
      </c>
      <c r="C48" s="31">
        <f>1/((1/60)+C47/1000)</f>
        <v>29.56227876870514</v>
      </c>
      <c r="D48" s="31"/>
      <c r="E48" s="31"/>
      <c r="O48" s="11" t="s">
        <v>102</v>
      </c>
      <c r="P48" s="11" t="s">
        <v>71</v>
      </c>
      <c r="Q48" s="31">
        <f>1/((1/60)+Q47/1000)</f>
        <v>26.956169299202795</v>
      </c>
      <c r="R48" s="31"/>
      <c r="S48" s="31"/>
      <c r="AC48" s="11" t="s">
        <v>102</v>
      </c>
      <c r="AD48" s="11" t="s">
        <v>71</v>
      </c>
      <c r="AE48" s="31">
        <f>1/((1/60)+AE47/1000)</f>
        <v>39.38197680396766</v>
      </c>
      <c r="AF48" s="31"/>
      <c r="AG48" s="31"/>
    </row>
    <row r="49" spans="1:33" ht="12.75">
      <c r="A49" s="11" t="s">
        <v>103</v>
      </c>
      <c r="B49" s="11" t="s">
        <v>73</v>
      </c>
      <c r="C49" s="14">
        <f>(1/C48)*C15</f>
        <v>9481.644817227487</v>
      </c>
      <c r="D49" s="14"/>
      <c r="E49" s="14"/>
      <c r="O49" s="11" t="s">
        <v>103</v>
      </c>
      <c r="P49" s="11" t="s">
        <v>73</v>
      </c>
      <c r="Q49" s="14">
        <f>(1/Q48)*Q15</f>
        <v>10748.831032882632</v>
      </c>
      <c r="R49" s="14"/>
      <c r="S49" s="14"/>
      <c r="AC49" s="11" t="s">
        <v>103</v>
      </c>
      <c r="AD49" s="11" t="s">
        <v>73</v>
      </c>
      <c r="AE49" s="14">
        <f>(1/AE48)*AE15</f>
        <v>6397.70276317866</v>
      </c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>
        <f>+C19/C28</f>
        <v>1.1075949367088607</v>
      </c>
      <c r="D51" s="14"/>
      <c r="E51" s="14"/>
      <c r="O51" s="11"/>
      <c r="P51" s="11" t="s">
        <v>402</v>
      </c>
      <c r="Q51" s="31">
        <f>+Q19/Q28</f>
        <v>1.1075949367088607</v>
      </c>
      <c r="R51" s="14"/>
      <c r="S51" s="14"/>
      <c r="AC51" s="11"/>
      <c r="AD51" s="11" t="s">
        <v>402</v>
      </c>
      <c r="AE51" s="31">
        <f>+AE19/AE28</f>
        <v>1.1075949367088604</v>
      </c>
      <c r="AF51" s="14"/>
      <c r="AG51" s="14"/>
    </row>
    <row r="52" spans="1:33" ht="12.75">
      <c r="A52" s="11"/>
      <c r="B52" s="11" t="s">
        <v>403</v>
      </c>
      <c r="C52" s="14">
        <f>+C44*C16*C51</f>
        <v>819608548.1012659</v>
      </c>
      <c r="D52" s="14"/>
      <c r="E52" s="14"/>
      <c r="O52" s="11"/>
      <c r="P52" s="11" t="s">
        <v>403</v>
      </c>
      <c r="Q52" s="14">
        <f>+Q44*Q16*Q51</f>
        <v>847235802.5316457</v>
      </c>
      <c r="R52" s="14"/>
      <c r="S52" s="14"/>
      <c r="AC52" s="11"/>
      <c r="AD52" s="11" t="s">
        <v>403</v>
      </c>
      <c r="AE52" s="14">
        <f>+AE44*AE16*AE51</f>
        <v>736726784.8101265</v>
      </c>
      <c r="AF52" s="14"/>
      <c r="AG52" s="14"/>
    </row>
    <row r="53" spans="1:33" ht="12.75">
      <c r="A53" s="11"/>
      <c r="B53" s="11" t="s">
        <v>472</v>
      </c>
      <c r="C53" s="14">
        <f>+C43*C29</f>
        <v>729343460.7507572</v>
      </c>
      <c r="D53" s="14"/>
      <c r="E53" s="14"/>
      <c r="O53" s="11"/>
      <c r="P53" s="11" t="s">
        <v>472</v>
      </c>
      <c r="Q53" s="14">
        <f>+Q43*Q29</f>
        <v>761306049.3153898</v>
      </c>
      <c r="R53" s="14"/>
      <c r="S53" s="14"/>
      <c r="AC53" s="11"/>
      <c r="AD53" s="11" t="s">
        <v>404</v>
      </c>
      <c r="AE53" s="14">
        <f>+AE43*AE29</f>
        <v>633455695.0568604</v>
      </c>
      <c r="AF53" s="14"/>
      <c r="AG53" s="14"/>
    </row>
    <row r="54" spans="1:33" ht="12.75">
      <c r="A54" s="11"/>
      <c r="B54" s="11" t="s">
        <v>405</v>
      </c>
      <c r="C54" s="14">
        <f>+C52-C53</f>
        <v>90265087.35050869</v>
      </c>
      <c r="D54" s="14"/>
      <c r="E54" s="14"/>
      <c r="O54" s="11"/>
      <c r="P54" s="11" t="s">
        <v>405</v>
      </c>
      <c r="Q54" s="14">
        <f>+Q52-Q53</f>
        <v>85929753.2162559</v>
      </c>
      <c r="R54" s="14"/>
      <c r="S54" s="14"/>
      <c r="AC54" s="11"/>
      <c r="AD54" s="11" t="s">
        <v>405</v>
      </c>
      <c r="AE54" s="14">
        <f>+AE52-AE53</f>
        <v>103271089.7532661</v>
      </c>
      <c r="AF54" s="14"/>
      <c r="AG54" s="14"/>
    </row>
    <row r="55" spans="1:33" ht="12.75">
      <c r="A55" s="11"/>
      <c r="B55" s="11" t="s">
        <v>406</v>
      </c>
      <c r="C55" s="14">
        <f>+C44*C51</f>
        <v>15351.26582278481</v>
      </c>
      <c r="D55" s="14"/>
      <c r="E55" s="14"/>
      <c r="O55" s="11"/>
      <c r="P55" s="11" t="s">
        <v>406</v>
      </c>
      <c r="Q55" s="14">
        <f>+Q44*Q51</f>
        <v>15351.26582278481</v>
      </c>
      <c r="R55" s="14"/>
      <c r="S55" s="14"/>
      <c r="AC55" s="11"/>
      <c r="AD55" s="11" t="s">
        <v>406</v>
      </c>
      <c r="AE55" s="14">
        <f>+AE44*AE51</f>
        <v>15351.265822784806</v>
      </c>
      <c r="AF55" s="14"/>
      <c r="AG55" s="14"/>
    </row>
    <row r="56" spans="1:33" ht="12.75">
      <c r="A56" s="11"/>
      <c r="B56" s="11" t="s">
        <v>407</v>
      </c>
      <c r="C56" s="14">
        <f>+C29</f>
        <v>4000</v>
      </c>
      <c r="D56" s="14"/>
      <c r="E56" s="14"/>
      <c r="O56" s="11"/>
      <c r="P56" s="11" t="s">
        <v>407</v>
      </c>
      <c r="Q56" s="14">
        <f>+Q29</f>
        <v>4000</v>
      </c>
      <c r="R56" s="14"/>
      <c r="S56" s="14"/>
      <c r="AC56" s="11"/>
      <c r="AD56" s="11" t="s">
        <v>407</v>
      </c>
      <c r="AE56" s="14">
        <f>+AE29</f>
        <v>4000</v>
      </c>
      <c r="AF56" s="14"/>
      <c r="AG56" s="14"/>
    </row>
    <row r="57" spans="1:33" ht="12.75">
      <c r="A57" s="11"/>
      <c r="B57" s="11" t="s">
        <v>408</v>
      </c>
      <c r="C57" s="14">
        <f>SUM(C55:C56)</f>
        <v>19351.265822784808</v>
      </c>
      <c r="D57" s="14"/>
      <c r="E57" s="14"/>
      <c r="O57" s="11"/>
      <c r="P57" s="11" t="s">
        <v>408</v>
      </c>
      <c r="Q57" s="14">
        <f>SUM(Q55:Q56)</f>
        <v>19351.265822784808</v>
      </c>
      <c r="R57" s="14"/>
      <c r="S57" s="14"/>
      <c r="AC57" s="11"/>
      <c r="AD57" s="11" t="s">
        <v>408</v>
      </c>
      <c r="AE57" s="14">
        <f>SUM(AE55:AE56)</f>
        <v>19351.265822784808</v>
      </c>
      <c r="AF57" s="14"/>
      <c r="AG57" s="14"/>
    </row>
    <row r="58" spans="1:33" ht="12.75">
      <c r="A58" s="11" t="s">
        <v>104</v>
      </c>
      <c r="B58" s="11" t="s">
        <v>105</v>
      </c>
      <c r="C58" s="14">
        <f>+C54/C57</f>
        <v>4664.557253108872</v>
      </c>
      <c r="D58" s="14">
        <v>0</v>
      </c>
      <c r="E58" s="14"/>
      <c r="O58" s="11" t="s">
        <v>104</v>
      </c>
      <c r="P58" s="11" t="s">
        <v>105</v>
      </c>
      <c r="Q58" s="14">
        <f>+Q54/Q57</f>
        <v>4440.523633088613</v>
      </c>
      <c r="R58" s="14">
        <v>0</v>
      </c>
      <c r="S58" s="14"/>
      <c r="AC58" s="11" t="s">
        <v>104</v>
      </c>
      <c r="AD58" s="11" t="s">
        <v>105</v>
      </c>
      <c r="AE58" s="14">
        <f>+AE54/AE57</f>
        <v>5336.6581131695975</v>
      </c>
      <c r="AF58" s="14">
        <v>0</v>
      </c>
      <c r="AG58" s="14"/>
    </row>
    <row r="59" spans="1:33" ht="12.75">
      <c r="A59" s="11" t="s">
        <v>106</v>
      </c>
      <c r="B59" s="11" t="s">
        <v>107</v>
      </c>
      <c r="C59" s="14">
        <f>+C43+C58</f>
        <v>187000.4224407982</v>
      </c>
      <c r="D59" s="14">
        <f>D43+D58</f>
        <v>97026.338028169</v>
      </c>
      <c r="E59" s="14"/>
      <c r="O59" s="11" t="s">
        <v>106</v>
      </c>
      <c r="P59" s="11" t="s">
        <v>107</v>
      </c>
      <c r="Q59" s="14">
        <f>+Q43+Q58</f>
        <v>194767.03596193605</v>
      </c>
      <c r="R59" s="14">
        <f>R43+R58</f>
        <v>98452.39436619719</v>
      </c>
      <c r="S59" s="14"/>
      <c r="AC59" s="11" t="s">
        <v>106</v>
      </c>
      <c r="AD59" s="11" t="s">
        <v>107</v>
      </c>
      <c r="AE59" s="14">
        <f>+AE43+AE58</f>
        <v>163700.5818773847</v>
      </c>
      <c r="AF59" s="14">
        <f>AF43+AF58</f>
        <v>92748.1690140845</v>
      </c>
      <c r="AG59" s="14"/>
    </row>
    <row r="60" spans="1:33" ht="12.75">
      <c r="A60" s="11" t="s">
        <v>108</v>
      </c>
      <c r="B60" s="11" t="s">
        <v>109</v>
      </c>
      <c r="C60" s="31">
        <f>C59/C44</f>
        <v>13.49209397119756</v>
      </c>
      <c r="D60" s="31"/>
      <c r="E60" s="31"/>
      <c r="O60" s="11" t="s">
        <v>108</v>
      </c>
      <c r="P60" s="11" t="s">
        <v>109</v>
      </c>
      <c r="Q60" s="31">
        <f>Q59/Q44</f>
        <v>14.052455697109384</v>
      </c>
      <c r="R60" s="31"/>
      <c r="S60" s="31"/>
      <c r="AC60" s="11" t="s">
        <v>108</v>
      </c>
      <c r="AD60" s="11" t="s">
        <v>109</v>
      </c>
      <c r="AE60" s="31">
        <f>AE59/AE44</f>
        <v>11.8110087934621</v>
      </c>
      <c r="AF60" s="31"/>
      <c r="AG60" s="31"/>
    </row>
    <row r="61" spans="1:33" ht="12.75">
      <c r="A61" s="11" t="s">
        <v>110</v>
      </c>
      <c r="B61" s="11" t="s">
        <v>111</v>
      </c>
      <c r="C61" s="31">
        <f>0.0551483782*(C60)^3-0.0189486676*(C60)^4+0.0023287974*((C60)^5)-(0.0001133801*((C60)^6))+(0.0000018954*((C60)^7))</f>
        <v>19.054728333096904</v>
      </c>
      <c r="D61" s="31"/>
      <c r="E61" s="31"/>
      <c r="O61" s="11" t="s">
        <v>110</v>
      </c>
      <c r="P61" s="11" t="s">
        <v>111</v>
      </c>
      <c r="Q61" s="31">
        <f>0.0551483782*(Q60)^3-0.0189486676*(Q60)^4+0.0023287974*((Q60)^5)-(0.0001133801*((Q60)^6))+(0.0000018954*((Q60)^7))</f>
        <v>22.28326639516186</v>
      </c>
      <c r="R61" s="31"/>
      <c r="S61" s="31"/>
      <c r="AC61" s="11" t="s">
        <v>110</v>
      </c>
      <c r="AD61" s="11" t="s">
        <v>111</v>
      </c>
      <c r="AE61" s="31">
        <f>0.0551483782*(AE60)^3-0.0189486676*(AE60)^4+0.0023287974*((AE60)^5)-(0.0001133801*((AE60)^6))+(0.0000018954*((AE60)^7))</f>
        <v>10.361122328937533</v>
      </c>
      <c r="AF61" s="31"/>
      <c r="AG61" s="31"/>
    </row>
    <row r="62" spans="1:33" ht="12.75">
      <c r="A62" s="11" t="s">
        <v>112</v>
      </c>
      <c r="B62" s="11" t="s">
        <v>113</v>
      </c>
      <c r="C62" s="31">
        <f>1/((1/60)+C61/1000)</f>
        <v>27.99442742946122</v>
      </c>
      <c r="D62" s="31"/>
      <c r="E62" s="31"/>
      <c r="O62" s="11" t="s">
        <v>112</v>
      </c>
      <c r="P62" s="11" t="s">
        <v>113</v>
      </c>
      <c r="Q62" s="31">
        <f>1/((1/60)+Q61/1000)</f>
        <v>25.673985072390632</v>
      </c>
      <c r="R62" s="31"/>
      <c r="S62" s="31"/>
      <c r="AC62" s="11" t="s">
        <v>112</v>
      </c>
      <c r="AD62" s="11" t="s">
        <v>113</v>
      </c>
      <c r="AE62" s="31">
        <f>1/((1/60)+AE61/1000)</f>
        <v>36.99895689442596</v>
      </c>
      <c r="AF62" s="31"/>
      <c r="AG62" s="31"/>
    </row>
    <row r="63" spans="1:33" ht="12.75">
      <c r="A63" s="11" t="s">
        <v>114</v>
      </c>
      <c r="B63" s="11" t="s">
        <v>115</v>
      </c>
      <c r="C63" s="14">
        <f>(1/C62)*C15</f>
        <v>10012.672271258592</v>
      </c>
      <c r="D63" s="14"/>
      <c r="E63" s="14"/>
      <c r="O63" s="11" t="s">
        <v>114</v>
      </c>
      <c r="P63" s="11" t="s">
        <v>115</v>
      </c>
      <c r="Q63" s="14">
        <f>(1/Q62)*Q15</f>
        <v>11285.63829393585</v>
      </c>
      <c r="R63" s="14"/>
      <c r="S63" s="14"/>
      <c r="AC63" s="11" t="s">
        <v>114</v>
      </c>
      <c r="AD63" s="11" t="s">
        <v>115</v>
      </c>
      <c r="AE63" s="14">
        <f>(1/AE62)*AE15</f>
        <v>6809.764462741913</v>
      </c>
      <c r="AF63" s="14"/>
      <c r="AG63" s="14"/>
    </row>
    <row r="64" spans="1:33" ht="12.75">
      <c r="A64" s="11" t="s">
        <v>116</v>
      </c>
      <c r="B64" s="11" t="s">
        <v>117</v>
      </c>
      <c r="C64" s="14">
        <f>+C58/1000</f>
        <v>4.664557253108872</v>
      </c>
      <c r="D64" s="14"/>
      <c r="E64" s="14"/>
      <c r="O64" s="11" t="s">
        <v>116</v>
      </c>
      <c r="P64" s="11" t="s">
        <v>117</v>
      </c>
      <c r="Q64" s="14">
        <f>+Q58/1000</f>
        <v>4.440523633088612</v>
      </c>
      <c r="R64" s="14"/>
      <c r="S64" s="14"/>
      <c r="AC64" s="11" t="s">
        <v>116</v>
      </c>
      <c r="AD64" s="11" t="s">
        <v>117</v>
      </c>
      <c r="AE64" s="14">
        <f>+AE58/1000</f>
        <v>5.336658113169597</v>
      </c>
      <c r="AF64" s="14"/>
      <c r="AG64" s="14"/>
    </row>
    <row r="65" spans="1:33" ht="12.75">
      <c r="A65" s="11" t="s">
        <v>118</v>
      </c>
      <c r="B65" s="11" t="s">
        <v>119</v>
      </c>
      <c r="C65" s="14">
        <f>+C43/1000</f>
        <v>182.3358651876893</v>
      </c>
      <c r="D65" s="14"/>
      <c r="E65" s="14"/>
      <c r="O65" s="11" t="s">
        <v>118</v>
      </c>
      <c r="P65" s="11" t="s">
        <v>119</v>
      </c>
      <c r="Q65" s="14">
        <f>+Q43/1000</f>
        <v>190.32651232884743</v>
      </c>
      <c r="R65" s="14"/>
      <c r="S65" s="14"/>
      <c r="AC65" s="11" t="s">
        <v>118</v>
      </c>
      <c r="AD65" s="11" t="s">
        <v>119</v>
      </c>
      <c r="AE65" s="14">
        <f>+AE43/1000</f>
        <v>158.36392376421512</v>
      </c>
      <c r="AF65" s="14"/>
      <c r="AG65" s="14"/>
    </row>
    <row r="66" spans="1:33" ht="12.75">
      <c r="A66" s="11" t="s">
        <v>120</v>
      </c>
      <c r="B66" s="11" t="s">
        <v>121</v>
      </c>
      <c r="C66" s="14">
        <f>C63-C49</f>
        <v>531.0274540311057</v>
      </c>
      <c r="D66" s="14"/>
      <c r="E66" s="14"/>
      <c r="O66" s="11" t="s">
        <v>120</v>
      </c>
      <c r="P66" s="11" t="s">
        <v>121</v>
      </c>
      <c r="Q66" s="14">
        <f>Q63-Q49</f>
        <v>536.8072610532181</v>
      </c>
      <c r="R66" s="14"/>
      <c r="S66" s="14"/>
      <c r="AC66" s="11" t="s">
        <v>120</v>
      </c>
      <c r="AD66" s="11" t="s">
        <v>121</v>
      </c>
      <c r="AE66" s="14">
        <f>AE63-AE49</f>
        <v>412.06169956325357</v>
      </c>
      <c r="AF66" s="14"/>
      <c r="AG66" s="14"/>
    </row>
    <row r="67" spans="1:33" ht="12.75">
      <c r="A67" s="11" t="s">
        <v>122</v>
      </c>
      <c r="B67" s="11" t="s">
        <v>123</v>
      </c>
      <c r="C67" s="31">
        <f>C66/C64</f>
        <v>113.8430563109033</v>
      </c>
      <c r="D67" s="31"/>
      <c r="E67" s="31"/>
      <c r="O67" s="11" t="s">
        <v>122</v>
      </c>
      <c r="P67" s="11" t="s">
        <v>123</v>
      </c>
      <c r="Q67" s="31">
        <f>Q66/Q64</f>
        <v>120.88827926805584</v>
      </c>
      <c r="R67" s="31"/>
      <c r="S67" s="31"/>
      <c r="AC67" s="11" t="s">
        <v>122</v>
      </c>
      <c r="AD67" s="11" t="s">
        <v>123</v>
      </c>
      <c r="AE67" s="31">
        <f>AE66/AE64</f>
        <v>77.21343410520973</v>
      </c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>
        <f>C59/C24</f>
        <v>8065.613414238247</v>
      </c>
      <c r="D70" s="14">
        <f>D43/D24</f>
        <v>4184.893854018248</v>
      </c>
      <c r="E70" s="14"/>
      <c r="O70" s="11" t="s">
        <v>125</v>
      </c>
      <c r="P70" s="11" t="s">
        <v>126</v>
      </c>
      <c r="Q70" s="14">
        <f>Q59/Q24</f>
        <v>8924.892758288213</v>
      </c>
      <c r="R70" s="14">
        <f>R43/R24</f>
        <v>4511.425878422552</v>
      </c>
      <c r="S70" s="14"/>
      <c r="AC70" s="11" t="s">
        <v>125</v>
      </c>
      <c r="AD70" s="11" t="s">
        <v>126</v>
      </c>
      <c r="AE70" s="14">
        <f>AE59/AE24</f>
        <v>5659.214712253965</v>
      </c>
      <c r="AF70" s="14">
        <f>AF43/AF24</f>
        <v>3206.3526303237445</v>
      </c>
      <c r="AG70" s="14"/>
    </row>
    <row r="71" spans="1:33" ht="12.75">
      <c r="A71" s="11" t="s">
        <v>127</v>
      </c>
      <c r="B71" s="11" t="s">
        <v>128</v>
      </c>
      <c r="C71" s="14">
        <f>C59/C62</f>
        <v>6679.915955130404</v>
      </c>
      <c r="D71" s="14"/>
      <c r="E71" s="14"/>
      <c r="O71" s="11" t="s">
        <v>127</v>
      </c>
      <c r="P71" s="11" t="s">
        <v>128</v>
      </c>
      <c r="Q71" s="14">
        <f>Q59/Q62</f>
        <v>7586.163013368159</v>
      </c>
      <c r="R71" s="14"/>
      <c r="S71" s="14"/>
      <c r="AC71" s="11" t="s">
        <v>127</v>
      </c>
      <c r="AD71" s="11" t="s">
        <v>128</v>
      </c>
      <c r="AE71" s="14">
        <f>AE59/AE62</f>
        <v>4424.464785439583</v>
      </c>
      <c r="AF71" s="14"/>
      <c r="AG71" s="14"/>
    </row>
    <row r="72" spans="1:33" ht="12.75">
      <c r="A72" s="11" t="s">
        <v>129</v>
      </c>
      <c r="B72" s="11" t="s">
        <v>130</v>
      </c>
      <c r="C72" s="14">
        <f>C70-C71</f>
        <v>1385.6974591078433</v>
      </c>
      <c r="D72" s="14"/>
      <c r="E72" s="14"/>
      <c r="O72" s="11" t="s">
        <v>129</v>
      </c>
      <c r="P72" s="11" t="s">
        <v>130</v>
      </c>
      <c r="Q72" s="14">
        <f>Q70-Q71</f>
        <v>1338.7297449200541</v>
      </c>
      <c r="R72" s="14"/>
      <c r="S72" s="14"/>
      <c r="AC72" s="11" t="s">
        <v>129</v>
      </c>
      <c r="AD72" s="11" t="s">
        <v>130</v>
      </c>
      <c r="AE72" s="14">
        <f>AE70-AE71</f>
        <v>1234.749926814383</v>
      </c>
      <c r="AF72" s="14"/>
      <c r="AG72" s="14"/>
    </row>
    <row r="73" spans="1:33" ht="12.75">
      <c r="A73" s="11" t="s">
        <v>131</v>
      </c>
      <c r="B73" s="11" t="s">
        <v>132</v>
      </c>
      <c r="C73" s="14">
        <f>C72/((+C67/1000)-(1/(+C7*C62)))</f>
        <v>4738.236658420157</v>
      </c>
      <c r="D73" s="14">
        <v>0</v>
      </c>
      <c r="E73" s="14"/>
      <c r="O73" s="11" t="s">
        <v>131</v>
      </c>
      <c r="P73" s="11" t="s">
        <v>132</v>
      </c>
      <c r="Q73" s="14">
        <f>Q72/((+Q67/1000)-(1/(+Q7*Q62)))</f>
        <v>4241.346035608303</v>
      </c>
      <c r="R73" s="14">
        <v>0</v>
      </c>
      <c r="S73" s="14"/>
      <c r="AC73" s="11" t="s">
        <v>131</v>
      </c>
      <c r="AD73" s="11" t="s">
        <v>132</v>
      </c>
      <c r="AE73" s="14">
        <f>AE72/((+AE67/1000)-(1/(+AE7*AE62)))</f>
        <v>5814.627234905747</v>
      </c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>
        <f>C59+C73</f>
        <v>191738.65909921835</v>
      </c>
      <c r="D75" s="14">
        <f>D59+D73</f>
        <v>97026.338028169</v>
      </c>
      <c r="E75" s="14">
        <f>SUM(C75:D75)</f>
        <v>288764.9971273873</v>
      </c>
      <c r="O75" s="11" t="s">
        <v>134</v>
      </c>
      <c r="P75" s="11" t="s">
        <v>135</v>
      </c>
      <c r="Q75" s="14">
        <f>Q59+Q73</f>
        <v>199008.38199754435</v>
      </c>
      <c r="R75" s="14">
        <f>R59+R73</f>
        <v>98452.39436619719</v>
      </c>
      <c r="S75" s="14">
        <f>SUM(Q75:R75)</f>
        <v>297460.77636374155</v>
      </c>
      <c r="AC75" s="11" t="s">
        <v>134</v>
      </c>
      <c r="AD75" s="11" t="s">
        <v>135</v>
      </c>
      <c r="AE75" s="14">
        <f>AE59+AE73</f>
        <v>169515.20911229047</v>
      </c>
      <c r="AF75" s="14">
        <f>AF59+AF73</f>
        <v>92748.1690140845</v>
      </c>
      <c r="AG75" s="14">
        <f>SUM(AE75:AF75)</f>
        <v>262263.37812637497</v>
      </c>
    </row>
    <row r="76" spans="1:33" ht="12.75">
      <c r="A76" s="11" t="s">
        <v>136</v>
      </c>
      <c r="B76" s="11" t="s">
        <v>137</v>
      </c>
      <c r="C76" s="13">
        <f>(+C75-C15)/C15</f>
        <v>-0.31594960936964245</v>
      </c>
      <c r="D76" s="13"/>
      <c r="E76" s="13"/>
      <c r="O76" s="11" t="s">
        <v>136</v>
      </c>
      <c r="P76" s="11" t="s">
        <v>137</v>
      </c>
      <c r="Q76" s="13">
        <f>(+Q75-Q15)/Q15</f>
        <v>-0.3131657283653845</v>
      </c>
      <c r="R76" s="13"/>
      <c r="S76" s="13"/>
      <c r="AC76" s="11" t="s">
        <v>136</v>
      </c>
      <c r="AD76" s="11" t="s">
        <v>137</v>
      </c>
      <c r="AE76" s="13">
        <f>(+AE75-AE15)/AE15</f>
        <v>-0.3271982711736927</v>
      </c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>
        <f>C75/C44</f>
        <v>13.833958087966693</v>
      </c>
      <c r="D79" s="31"/>
      <c r="E79" s="31"/>
      <c r="O79" s="11" t="s">
        <v>139</v>
      </c>
      <c r="P79" s="11" t="s">
        <v>140</v>
      </c>
      <c r="Q79" s="31">
        <f>Q75/Q44</f>
        <v>14.358469119591945</v>
      </c>
      <c r="R79" s="31"/>
      <c r="S79" s="31"/>
      <c r="AC79" s="11" t="s">
        <v>139</v>
      </c>
      <c r="AD79" s="11" t="s">
        <v>140</v>
      </c>
      <c r="AE79" s="31">
        <f>AE75/AE44</f>
        <v>12.230534567986325</v>
      </c>
      <c r="AF79" s="31"/>
      <c r="AG79" s="31"/>
    </row>
    <row r="80" spans="1:33" ht="12.75">
      <c r="A80" s="11" t="s">
        <v>141</v>
      </c>
      <c r="B80" s="11" t="s">
        <v>142</v>
      </c>
      <c r="C80" s="31">
        <f>0.0551483782*(C79)^3-0.0189486676*(C79)^4+0.0023287974*((C79)^5)-(0.0001133801*((C79)^6))+(0.0000018954*((C79)^7))</f>
        <v>21.01863335855066</v>
      </c>
      <c r="D80" s="31"/>
      <c r="E80" s="31"/>
      <c r="O80" s="11" t="s">
        <v>141</v>
      </c>
      <c r="P80" s="11" t="s">
        <v>142</v>
      </c>
      <c r="Q80" s="31">
        <f>0.0551483782*(Q79)^3-0.0189486676*(Q79)^4+0.0023287974*((Q79)^5)-(0.0001133801*((Q79)^6))+(0.0000018954*((Q79)^7))</f>
        <v>24.05103489005296</v>
      </c>
      <c r="R80" s="31"/>
      <c r="S80" s="31"/>
      <c r="AC80" s="11" t="s">
        <v>141</v>
      </c>
      <c r="AD80" s="11" t="s">
        <v>142</v>
      </c>
      <c r="AE80" s="31">
        <f>0.0551483782*(AE79)^3-0.0189486676*(AE79)^4+0.0023287974*((AE79)^5)-(0.0001133801*((AE79)^6))+(0.0000018954*((AE79)^7))</f>
        <v>12.316524809751343</v>
      </c>
      <c r="AF80" s="31"/>
      <c r="AG80" s="31"/>
    </row>
    <row r="81" spans="1:33" ht="12.75">
      <c r="A81" s="11" t="s">
        <v>143</v>
      </c>
      <c r="B81" s="11" t="s">
        <v>144</v>
      </c>
      <c r="C81" s="31">
        <f>1/((1/60)+C80/1000)</f>
        <v>26.53554567247294</v>
      </c>
      <c r="D81" s="31">
        <v>60</v>
      </c>
      <c r="E81" s="31"/>
      <c r="O81" s="11" t="s">
        <v>143</v>
      </c>
      <c r="P81" s="11" t="s">
        <v>144</v>
      </c>
      <c r="Q81" s="31">
        <f>1/((1/60)+Q80/1000)</f>
        <v>24.559343031850737</v>
      </c>
      <c r="R81" s="31">
        <v>60</v>
      </c>
      <c r="S81" s="31"/>
      <c r="AC81" s="11" t="s">
        <v>143</v>
      </c>
      <c r="AD81" s="11" t="s">
        <v>144</v>
      </c>
      <c r="AE81" s="31">
        <f>1/((1/60)+AE80/1000)</f>
        <v>34.50275656542668</v>
      </c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>
        <f>C43/C81</f>
        <v>6871.381784955652</v>
      </c>
      <c r="D82" s="14">
        <f>D43/D81</f>
        <v>1617.1056338028168</v>
      </c>
      <c r="E82" s="14"/>
      <c r="O82" s="11" t="s">
        <v>145</v>
      </c>
      <c r="P82" s="11" t="s">
        <v>146</v>
      </c>
      <c r="Q82" s="14">
        <f>Q43/Q81</f>
        <v>7749.658127337328</v>
      </c>
      <c r="R82" s="14">
        <f>R43/R81</f>
        <v>1640.8732394366198</v>
      </c>
      <c r="S82" s="14"/>
      <c r="AC82" s="11" t="s">
        <v>145</v>
      </c>
      <c r="AD82" s="11" t="s">
        <v>146</v>
      </c>
      <c r="AE82" s="14">
        <f>AE43/AE81</f>
        <v>4589.891925415111</v>
      </c>
      <c r="AF82" s="14">
        <f>AF43/AF81</f>
        <v>1545.8028169014083</v>
      </c>
      <c r="AG82" s="14"/>
    </row>
    <row r="83" spans="1:33" ht="12.75">
      <c r="A83" s="11" t="s">
        <v>147</v>
      </c>
      <c r="B83" s="11" t="s">
        <v>148</v>
      </c>
      <c r="C83" s="14">
        <f>C70-C82</f>
        <v>1194.2316292825953</v>
      </c>
      <c r="D83" s="14">
        <f>D70-D82</f>
        <v>2567.7882202154315</v>
      </c>
      <c r="E83" s="14"/>
      <c r="O83" s="11" t="s">
        <v>147</v>
      </c>
      <c r="P83" s="11" t="s">
        <v>148</v>
      </c>
      <c r="Q83" s="14">
        <f>Q70-Q82</f>
        <v>1175.2346309508857</v>
      </c>
      <c r="R83" s="14">
        <f>R70-R82</f>
        <v>2870.5526389859324</v>
      </c>
      <c r="S83" s="14"/>
      <c r="AC83" s="11" t="s">
        <v>147</v>
      </c>
      <c r="AD83" s="11" t="s">
        <v>148</v>
      </c>
      <c r="AE83" s="14">
        <f>AE70-AE82</f>
        <v>1069.3227868388549</v>
      </c>
      <c r="AF83" s="14">
        <f>AF70-AF82</f>
        <v>1660.5498134223362</v>
      </c>
      <c r="AG83" s="14"/>
    </row>
    <row r="84" spans="1:33" ht="12.75">
      <c r="A84" s="11" t="s">
        <v>149</v>
      </c>
      <c r="B84" s="11" t="s">
        <v>150</v>
      </c>
      <c r="C84" s="31">
        <f>(+C83/C43)*60</f>
        <v>0.3929775290406966</v>
      </c>
      <c r="D84" s="31">
        <f>(+D83/D43)*60</f>
        <v>1.5878914565259237</v>
      </c>
      <c r="E84" s="31"/>
      <c r="O84" s="11" t="s">
        <v>149</v>
      </c>
      <c r="P84" s="11" t="s">
        <v>150</v>
      </c>
      <c r="Q84" s="31">
        <f>(+Q83/Q43)*60</f>
        <v>0.37049004363206345</v>
      </c>
      <c r="R84" s="31">
        <f>(+R83/R43)*60</f>
        <v>1.7494054811762991</v>
      </c>
      <c r="S84" s="31"/>
      <c r="AC84" s="11" t="s">
        <v>149</v>
      </c>
      <c r="AD84" s="11" t="s">
        <v>150</v>
      </c>
      <c r="AE84" s="31">
        <f>(+AE83/AE43)*60</f>
        <v>0.405138782150011</v>
      </c>
      <c r="AF84" s="31">
        <f>(+AF83/AF43)*60</f>
        <v>1.0742313283856868</v>
      </c>
      <c r="AG84" s="31"/>
    </row>
    <row r="85" spans="1:33" ht="12.75">
      <c r="A85" s="11"/>
      <c r="B85" s="11" t="s">
        <v>151</v>
      </c>
      <c r="C85" s="35">
        <f>+'mode ch'!C152</f>
        <v>1.1930049570576402</v>
      </c>
      <c r="D85" s="35">
        <f>+'mode ch'!C145</f>
        <v>1.6879697883769424</v>
      </c>
      <c r="E85" s="31"/>
      <c r="O85" s="11"/>
      <c r="P85" s="11" t="s">
        <v>151</v>
      </c>
      <c r="Q85" s="35">
        <f>+'mode ch'!Q152</f>
        <v>1.1915549665525393</v>
      </c>
      <c r="R85" s="35">
        <f>+'mode ch'!Q145</f>
        <v>1.7008588239136764</v>
      </c>
      <c r="S85" s="31"/>
      <c r="AC85" s="11"/>
      <c r="AD85" s="11" t="s">
        <v>151</v>
      </c>
      <c r="AE85" s="35">
        <f>+'mode ch'!AE152</f>
        <v>1.198180449098278</v>
      </c>
      <c r="AF85" s="35">
        <f>+'mode ch'!AE145</f>
        <v>1.646924565927222</v>
      </c>
      <c r="AG85" s="31"/>
    </row>
    <row r="86" spans="1:33" ht="12.75">
      <c r="A86" s="11"/>
      <c r="B86" s="11" t="s">
        <v>152</v>
      </c>
      <c r="C86" s="31">
        <f>+C85*C83</f>
        <v>1424.7242536091583</v>
      </c>
      <c r="D86" s="31">
        <f>+D85*D83</f>
        <v>4334.348938673847</v>
      </c>
      <c r="E86" s="31"/>
      <c r="O86" s="11"/>
      <c r="P86" s="11" t="s">
        <v>152</v>
      </c>
      <c r="Q86" s="31">
        <f>+Q85*Q83</f>
        <v>1400.3566613740686</v>
      </c>
      <c r="R86" s="31">
        <f>+R85*R83</f>
        <v>4882.404785527913</v>
      </c>
      <c r="S86" s="31"/>
      <c r="AC86" s="11"/>
      <c r="AD86" s="11" t="s">
        <v>152</v>
      </c>
      <c r="AE86" s="31">
        <f>+AE85*AE83</f>
        <v>1281.2416569656014</v>
      </c>
      <c r="AF86" s="31">
        <f>+AF85*AF83</f>
        <v>2734.8002806711106</v>
      </c>
      <c r="AG86" s="31"/>
    </row>
    <row r="87" spans="1:33" ht="12.75">
      <c r="A87" s="11" t="s">
        <v>153</v>
      </c>
      <c r="B87" s="11" t="s">
        <v>154</v>
      </c>
      <c r="C87" s="36">
        <f>+'Sensitivity Anal'!B5</f>
        <v>9</v>
      </c>
      <c r="D87" s="36">
        <f>+C87</f>
        <v>9</v>
      </c>
      <c r="E87" s="36"/>
      <c r="O87" s="11" t="s">
        <v>153</v>
      </c>
      <c r="P87" s="11" t="s">
        <v>154</v>
      </c>
      <c r="Q87" s="36">
        <f>+C87</f>
        <v>9</v>
      </c>
      <c r="R87" s="36">
        <f>+C87</f>
        <v>9</v>
      </c>
      <c r="S87" s="36"/>
      <c r="AC87" s="11" t="s">
        <v>153</v>
      </c>
      <c r="AD87" s="11" t="s">
        <v>154</v>
      </c>
      <c r="AE87" s="36">
        <f>+C87</f>
        <v>9</v>
      </c>
      <c r="AF87" s="36">
        <f>+AE87</f>
        <v>9</v>
      </c>
      <c r="AG87" s="36"/>
    </row>
    <row r="88" spans="1:33" ht="12.75">
      <c r="A88" s="11" t="s">
        <v>155</v>
      </c>
      <c r="B88" s="11" t="s">
        <v>156</v>
      </c>
      <c r="C88" s="37">
        <f>C86*C87</f>
        <v>12822.518282482424</v>
      </c>
      <c r="D88" s="37">
        <f>D86*D87</f>
        <v>39009.14044806463</v>
      </c>
      <c r="E88" s="37"/>
      <c r="O88" s="11" t="s">
        <v>155</v>
      </c>
      <c r="P88" s="11" t="s">
        <v>156</v>
      </c>
      <c r="Q88" s="37">
        <f>Q86*Q87</f>
        <v>12603.209952366618</v>
      </c>
      <c r="R88" s="37">
        <f>R86*R87</f>
        <v>43941.64306975122</v>
      </c>
      <c r="S88" s="37"/>
      <c r="AC88" s="11" t="s">
        <v>155</v>
      </c>
      <c r="AD88" s="11" t="s">
        <v>156</v>
      </c>
      <c r="AE88" s="37">
        <f>AE86*AE87</f>
        <v>11531.174912690412</v>
      </c>
      <c r="AF88" s="37">
        <f>AF86*AF87</f>
        <v>24613.202526039997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>
        <f>C58</f>
        <v>4664.557253108872</v>
      </c>
      <c r="D91" s="14">
        <f>D58</f>
        <v>0</v>
      </c>
      <c r="E91" s="14"/>
      <c r="O91" s="11" t="s">
        <v>158</v>
      </c>
      <c r="P91" s="11" t="s">
        <v>159</v>
      </c>
      <c r="Q91" s="14">
        <f>Q58</f>
        <v>4440.523633088613</v>
      </c>
      <c r="R91" s="14">
        <f>R58</f>
        <v>0</v>
      </c>
      <c r="S91" s="14"/>
      <c r="AC91" s="11" t="s">
        <v>158</v>
      </c>
      <c r="AD91" s="11" t="s">
        <v>159</v>
      </c>
      <c r="AE91" s="14">
        <f>AE58</f>
        <v>5336.6581131695975</v>
      </c>
      <c r="AF91" s="14">
        <f>AF58</f>
        <v>0</v>
      </c>
      <c r="AG91" s="14"/>
    </row>
    <row r="92" spans="1:33" ht="12.75">
      <c r="A92" s="11" t="s">
        <v>160</v>
      </c>
      <c r="B92" s="11" t="s">
        <v>161</v>
      </c>
      <c r="C92" s="31">
        <f>C101</f>
        <v>0.1964887645203483</v>
      </c>
      <c r="D92" s="31">
        <f>D101</f>
        <v>0.7939457282629618</v>
      </c>
      <c r="E92" s="31"/>
      <c r="O92" s="11" t="s">
        <v>160</v>
      </c>
      <c r="P92" s="11" t="s">
        <v>161</v>
      </c>
      <c r="Q92" s="31">
        <f>Q101</f>
        <v>0.18524502181603172</v>
      </c>
      <c r="R92" s="31">
        <f>R101</f>
        <v>0.8747027405881496</v>
      </c>
      <c r="S92" s="31"/>
      <c r="AC92" s="11" t="s">
        <v>160</v>
      </c>
      <c r="AD92" s="11" t="s">
        <v>161</v>
      </c>
      <c r="AE92" s="31">
        <f>AE101</f>
        <v>0.2025693910750055</v>
      </c>
      <c r="AF92" s="31">
        <f>AF101</f>
        <v>0.5371156641928434</v>
      </c>
      <c r="AG92" s="31"/>
    </row>
    <row r="93" spans="1:33" ht="12.75">
      <c r="A93" s="11" t="s">
        <v>162</v>
      </c>
      <c r="B93" s="11" t="s">
        <v>163</v>
      </c>
      <c r="C93" s="31">
        <f>(+C91*C92)/60</f>
        <v>15.27555152829653</v>
      </c>
      <c r="D93" s="31">
        <f>(+D91*D92)/60</f>
        <v>0</v>
      </c>
      <c r="E93" s="31"/>
      <c r="O93" s="11" t="s">
        <v>162</v>
      </c>
      <c r="P93" s="11" t="s">
        <v>163</v>
      </c>
      <c r="Q93" s="31">
        <f>(+Q91*Q92)/60</f>
        <v>13.709748288101741</v>
      </c>
      <c r="R93" s="31">
        <f>(+R91*R92)/60</f>
        <v>0</v>
      </c>
      <c r="S93" s="31"/>
      <c r="AC93" s="11" t="s">
        <v>162</v>
      </c>
      <c r="AD93" s="11" t="s">
        <v>163</v>
      </c>
      <c r="AE93" s="31">
        <f>(+AE91*AE92)/60</f>
        <v>18.017393072670885</v>
      </c>
      <c r="AF93" s="31">
        <f>(+AF91*AF92)/60</f>
        <v>0</v>
      </c>
      <c r="AG93" s="31"/>
    </row>
    <row r="94" spans="1:33" ht="12.75">
      <c r="A94" s="11"/>
      <c r="B94" s="11" t="s">
        <v>151</v>
      </c>
      <c r="C94" s="31">
        <f>+C85</f>
        <v>1.1930049570576402</v>
      </c>
      <c r="D94" s="31">
        <f>+D85</f>
        <v>1.6879697883769424</v>
      </c>
      <c r="E94" s="31"/>
      <c r="O94" s="11"/>
      <c r="P94" s="11" t="s">
        <v>151</v>
      </c>
      <c r="Q94" s="31">
        <f>+Q85</f>
        <v>1.1915549665525393</v>
      </c>
      <c r="R94" s="31">
        <f>+R85</f>
        <v>1.7008588239136764</v>
      </c>
      <c r="S94" s="31"/>
      <c r="AC94" s="11"/>
      <c r="AD94" s="11" t="s">
        <v>151</v>
      </c>
      <c r="AE94" s="31">
        <f>+AE85</f>
        <v>1.198180449098278</v>
      </c>
      <c r="AF94" s="31">
        <f>+AF85</f>
        <v>1.646924565927222</v>
      </c>
      <c r="AG94" s="31"/>
    </row>
    <row r="95" spans="1:33" ht="12.75">
      <c r="A95" s="11"/>
      <c r="B95" s="11" t="s">
        <v>152</v>
      </c>
      <c r="C95" s="31">
        <f>+C94*C93</f>
        <v>18.223808695047172</v>
      </c>
      <c r="D95" s="31">
        <f>+D94*D93</f>
        <v>0</v>
      </c>
      <c r="E95" s="31"/>
      <c r="O95" s="11"/>
      <c r="P95" s="11" t="s">
        <v>152</v>
      </c>
      <c r="Q95" s="31">
        <f>+Q94*Q93</f>
        <v>16.335918662872803</v>
      </c>
      <c r="R95" s="31">
        <f>+R94*R93</f>
        <v>0</v>
      </c>
      <c r="S95" s="31"/>
      <c r="AC95" s="11"/>
      <c r="AD95" s="11" t="s">
        <v>152</v>
      </c>
      <c r="AE95" s="31">
        <f>+AE94*AE93</f>
        <v>21.588088123393003</v>
      </c>
      <c r="AF95" s="31">
        <f>+AF94*AF93</f>
        <v>0</v>
      </c>
      <c r="AG95" s="31"/>
    </row>
    <row r="96" spans="1:33" ht="12.75">
      <c r="A96" s="11" t="s">
        <v>164</v>
      </c>
      <c r="B96" s="11" t="s">
        <v>154</v>
      </c>
      <c r="C96" s="38">
        <f>C87</f>
        <v>9</v>
      </c>
      <c r="D96" s="38">
        <f>D87</f>
        <v>9</v>
      </c>
      <c r="E96" s="38"/>
      <c r="O96" s="11" t="s">
        <v>164</v>
      </c>
      <c r="P96" s="11" t="s">
        <v>154</v>
      </c>
      <c r="Q96" s="38">
        <f>Q87</f>
        <v>9</v>
      </c>
      <c r="R96" s="38">
        <f>R87</f>
        <v>9</v>
      </c>
      <c r="S96" s="38"/>
      <c r="AC96" s="11" t="s">
        <v>164</v>
      </c>
      <c r="AD96" s="11" t="s">
        <v>154</v>
      </c>
      <c r="AE96" s="38">
        <f>AE87</f>
        <v>9</v>
      </c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>
        <f>C95*C96</f>
        <v>164.01427825542456</v>
      </c>
      <c r="D97" s="37">
        <f>D95*D96</f>
        <v>0</v>
      </c>
      <c r="E97" s="37"/>
      <c r="O97" s="11" t="s">
        <v>165</v>
      </c>
      <c r="P97" s="11" t="s">
        <v>156</v>
      </c>
      <c r="Q97" s="37">
        <f>Q95*Q96</f>
        <v>147.02326796585524</v>
      </c>
      <c r="R97" s="37">
        <f>R95*R96</f>
        <v>0</v>
      </c>
      <c r="S97" s="37"/>
      <c r="AC97" s="11" t="s">
        <v>165</v>
      </c>
      <c r="AD97" s="11" t="s">
        <v>156</v>
      </c>
      <c r="AE97" s="37">
        <f>AE95*AE96</f>
        <v>194.29279311053702</v>
      </c>
      <c r="AF97" s="37">
        <f>AF95*AF96</f>
        <v>0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>
        <f>C73</f>
        <v>4738.236658420157</v>
      </c>
      <c r="D100" s="14">
        <f>D73</f>
        <v>0</v>
      </c>
      <c r="E100" s="14"/>
      <c r="O100" s="11" t="s">
        <v>167</v>
      </c>
      <c r="P100" s="11" t="s">
        <v>132</v>
      </c>
      <c r="Q100" s="14">
        <f>Q73</f>
        <v>4241.346035608303</v>
      </c>
      <c r="R100" s="14">
        <f>R73</f>
        <v>0</v>
      </c>
      <c r="S100" s="14"/>
      <c r="AC100" s="11" t="s">
        <v>167</v>
      </c>
      <c r="AD100" s="11" t="s">
        <v>132</v>
      </c>
      <c r="AE100" s="14">
        <f>AE73</f>
        <v>5814.627234905747</v>
      </c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>
        <f>C84/2</f>
        <v>0.1964887645203483</v>
      </c>
      <c r="D101" s="31">
        <f>D84/2</f>
        <v>0.7939457282629618</v>
      </c>
      <c r="E101" s="31"/>
      <c r="O101" s="11" t="s">
        <v>168</v>
      </c>
      <c r="P101" s="11" t="s">
        <v>169</v>
      </c>
      <c r="Q101" s="31">
        <f>Q84/2</f>
        <v>0.18524502181603172</v>
      </c>
      <c r="R101" s="31">
        <f>R84/2</f>
        <v>0.8747027405881496</v>
      </c>
      <c r="S101" s="31"/>
      <c r="AC101" s="11" t="s">
        <v>168</v>
      </c>
      <c r="AD101" s="11" t="s">
        <v>169</v>
      </c>
      <c r="AE101" s="31">
        <f>AE84/2</f>
        <v>0.2025693910750055</v>
      </c>
      <c r="AF101" s="31">
        <f>AF84/2</f>
        <v>0.5371156641928434</v>
      </c>
      <c r="AG101" s="31"/>
    </row>
    <row r="102" spans="1:33" ht="12.75">
      <c r="A102" s="11" t="s">
        <v>170</v>
      </c>
      <c r="B102" s="11" t="s">
        <v>171</v>
      </c>
      <c r="C102" s="31">
        <f>(+C100*C101)/60</f>
        <v>15.516837783633338</v>
      </c>
      <c r="D102" s="31">
        <f>(+D100*D101)/60</f>
        <v>0</v>
      </c>
      <c r="E102" s="31"/>
      <c r="O102" s="11" t="s">
        <v>170</v>
      </c>
      <c r="P102" s="11" t="s">
        <v>171</v>
      </c>
      <c r="Q102" s="31">
        <f>(+Q100*Q101)/60</f>
        <v>13.094803981593332</v>
      </c>
      <c r="R102" s="31">
        <f>(+R100*R101)/60</f>
        <v>0</v>
      </c>
      <c r="S102" s="31"/>
      <c r="AC102" s="11" t="s">
        <v>170</v>
      </c>
      <c r="AD102" s="11" t="s">
        <v>171</v>
      </c>
      <c r="AE102" s="31">
        <f>(+AE100*AE101)/60</f>
        <v>19.631091638383335</v>
      </c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>
        <f>+C94</f>
        <v>1.1930049570576402</v>
      </c>
      <c r="D103" s="31">
        <f>+D94</f>
        <v>1.6879697883769424</v>
      </c>
      <c r="E103" s="31"/>
      <c r="O103" s="11"/>
      <c r="P103" s="11" t="s">
        <v>151</v>
      </c>
      <c r="Q103" s="31">
        <f>+Q94</f>
        <v>1.1915549665525393</v>
      </c>
      <c r="R103" s="31">
        <f>+R94</f>
        <v>1.7008588239136764</v>
      </c>
      <c r="S103" s="31"/>
      <c r="AC103" s="11"/>
      <c r="AD103" s="11" t="s">
        <v>151</v>
      </c>
      <c r="AE103" s="31">
        <f>+AE94</f>
        <v>1.198180449098278</v>
      </c>
      <c r="AF103" s="31">
        <f>+AF94</f>
        <v>1.646924565927222</v>
      </c>
      <c r="AG103" s="31"/>
    </row>
    <row r="104" spans="1:33" ht="12.75">
      <c r="A104" s="11"/>
      <c r="B104" s="11" t="s">
        <v>152</v>
      </c>
      <c r="C104" s="31">
        <f>+C103*C102</f>
        <v>18.51166439373386</v>
      </c>
      <c r="D104" s="31">
        <f>+D103*D102</f>
        <v>0</v>
      </c>
      <c r="E104" s="31"/>
      <c r="O104" s="11"/>
      <c r="P104" s="11" t="s">
        <v>152</v>
      </c>
      <c r="Q104" s="31">
        <f>+Q103*Q102</f>
        <v>15.603178720299502</v>
      </c>
      <c r="R104" s="31">
        <f>+R103*R102</f>
        <v>0</v>
      </c>
      <c r="S104" s="31"/>
      <c r="AC104" s="11"/>
      <c r="AD104" s="11" t="s">
        <v>152</v>
      </c>
      <c r="AE104" s="31">
        <f>+AE103*AE102</f>
        <v>23.521590195567594</v>
      </c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>
        <f>C87</f>
        <v>9</v>
      </c>
      <c r="D105" s="38">
        <f>D87</f>
        <v>9</v>
      </c>
      <c r="E105" s="38"/>
      <c r="O105" s="11" t="s">
        <v>172</v>
      </c>
      <c r="P105" s="11" t="s">
        <v>154</v>
      </c>
      <c r="Q105" s="38">
        <f>Q87</f>
        <v>9</v>
      </c>
      <c r="R105" s="38">
        <f>R87</f>
        <v>9</v>
      </c>
      <c r="S105" s="38"/>
      <c r="AC105" s="11" t="s">
        <v>172</v>
      </c>
      <c r="AD105" s="11" t="s">
        <v>154</v>
      </c>
      <c r="AE105" s="38">
        <f>AE87</f>
        <v>9</v>
      </c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>
        <f>C104*C105</f>
        <v>166.60497954360474</v>
      </c>
      <c r="D106" s="37">
        <f>D104*D105</f>
        <v>0</v>
      </c>
      <c r="E106" s="37"/>
      <c r="O106" s="11" t="s">
        <v>173</v>
      </c>
      <c r="P106" s="11" t="s">
        <v>156</v>
      </c>
      <c r="Q106" s="37">
        <f>Q104*Q105</f>
        <v>140.42860848269552</v>
      </c>
      <c r="R106" s="37">
        <f>R104*R105</f>
        <v>0</v>
      </c>
      <c r="S106" s="37"/>
      <c r="AC106" s="11" t="s">
        <v>173</v>
      </c>
      <c r="AD106" s="11" t="s">
        <v>156</v>
      </c>
      <c r="AE106" s="37">
        <f>AE104*AE105</f>
        <v>211.69431176010835</v>
      </c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>
        <f>+C88+C97+C106</f>
        <v>13153.137540281454</v>
      </c>
      <c r="D108" s="37">
        <f>+D88+D97+D106</f>
        <v>39009.14044806463</v>
      </c>
      <c r="E108" s="37">
        <f>SUM(C108:D108)</f>
        <v>52162.27798834608</v>
      </c>
      <c r="O108" s="11"/>
      <c r="P108" s="11" t="s">
        <v>391</v>
      </c>
      <c r="Q108" s="37">
        <f>+Q88+Q97+Q106</f>
        <v>12890.66182881517</v>
      </c>
      <c r="R108" s="37">
        <f>+R88+R97+R106</f>
        <v>43941.64306975122</v>
      </c>
      <c r="S108" s="37">
        <f>SUM(Q108:R108)</f>
        <v>56832.30489856639</v>
      </c>
      <c r="AC108" s="11"/>
      <c r="AD108" s="11" t="s">
        <v>391</v>
      </c>
      <c r="AE108" s="37">
        <f>+AE88+AE97+AE106</f>
        <v>11937.162017561057</v>
      </c>
      <c r="AF108" s="37">
        <f>+AF88+AF97+AF106</f>
        <v>24613.202526039997</v>
      </c>
      <c r="AG108" s="37">
        <f>SUM(AE108:AF108)</f>
        <v>36550.364543601056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4051.4060423907713</v>
      </c>
      <c r="D117" s="14"/>
      <c r="E117" s="14"/>
      <c r="O117" s="11" t="s">
        <v>180</v>
      </c>
      <c r="P117" s="11" t="s">
        <v>181</v>
      </c>
      <c r="Q117" s="14">
        <f>(1/Q116)*Q121</f>
        <v>4410.332662046667</v>
      </c>
      <c r="R117" s="14"/>
      <c r="S117" s="14"/>
      <c r="AC117" s="11" t="s">
        <v>180</v>
      </c>
      <c r="AD117" s="11" t="s">
        <v>181</v>
      </c>
      <c r="AE117" s="14">
        <f>(1/AE116)*AE121</f>
        <v>3125.6335373399315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C58</f>
        <v>4664.557253108872</v>
      </c>
      <c r="D120" s="14"/>
      <c r="E120" s="14"/>
      <c r="O120" s="11" t="s">
        <v>182</v>
      </c>
      <c r="P120" s="11" t="s">
        <v>183</v>
      </c>
      <c r="Q120" s="14">
        <f>Q58</f>
        <v>4440.523633088613</v>
      </c>
      <c r="R120" s="14"/>
      <c r="S120" s="14"/>
      <c r="AC120" s="11" t="s">
        <v>182</v>
      </c>
      <c r="AD120" s="11" t="s">
        <v>183</v>
      </c>
      <c r="AE120" s="14">
        <f>AE58</f>
        <v>5336.6581131695975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48725.73365598205</v>
      </c>
      <c r="D121" s="14"/>
      <c r="E121" s="14"/>
      <c r="O121" s="11" t="s">
        <v>184</v>
      </c>
      <c r="P121" s="11" t="s">
        <v>185</v>
      </c>
      <c r="Q121" s="14">
        <f>Q16-Q120</f>
        <v>50749.440003275035</v>
      </c>
      <c r="R121" s="14"/>
      <c r="S121" s="14"/>
      <c r="AC121" s="11" t="s">
        <v>184</v>
      </c>
      <c r="AD121" s="11" t="s">
        <v>185</v>
      </c>
      <c r="AE121" s="14">
        <f>AE16-AE120</f>
        <v>42654.614614103135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12.181433413995512</v>
      </c>
      <c r="D122" s="31"/>
      <c r="E122" s="31"/>
      <c r="O122" s="11" t="s">
        <v>186</v>
      </c>
      <c r="P122" s="11" t="s">
        <v>187</v>
      </c>
      <c r="Q122" s="31">
        <f>Q121/Q114</f>
        <v>12.687360000818758</v>
      </c>
      <c r="R122" s="31"/>
      <c r="S122" s="31"/>
      <c r="AC122" s="11" t="s">
        <v>186</v>
      </c>
      <c r="AD122" s="11" t="s">
        <v>187</v>
      </c>
      <c r="AE122" s="31">
        <f>AE121/AE114</f>
        <v>10.663653653525783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49.49038538037891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53.04570081223524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40.68615380340693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230.8507360851997</v>
      </c>
      <c r="D124" s="31"/>
      <c r="E124" s="31"/>
      <c r="O124" s="11" t="s">
        <v>190</v>
      </c>
      <c r="P124" s="11" t="s">
        <v>191</v>
      </c>
      <c r="Q124" s="31">
        <f>Q120*Q123/1000</f>
        <v>235.5506880904784</v>
      </c>
      <c r="R124" s="31"/>
      <c r="S124" s="31"/>
      <c r="AC124" s="11" t="s">
        <v>190</v>
      </c>
      <c r="AD124" s="11" t="s">
        <v>191</v>
      </c>
      <c r="AE124" s="31">
        <f>AE120*AE123/1000</f>
        <v>217.1280927886177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13.424551301400626</v>
      </c>
      <c r="D125" s="31"/>
      <c r="E125" s="31"/>
      <c r="O125" s="11" t="s">
        <v>192</v>
      </c>
      <c r="P125" s="11" t="s">
        <v>193</v>
      </c>
      <c r="Q125" s="31">
        <f>1/((1/40)+(Q123/1000))</f>
        <v>12.813005579972058</v>
      </c>
      <c r="R125" s="31"/>
      <c r="S125" s="31"/>
      <c r="AC125" s="11" t="s">
        <v>192</v>
      </c>
      <c r="AD125" s="11" t="s">
        <v>193</v>
      </c>
      <c r="AE125" s="31">
        <f>1/((1/40)+(AE123/1000))</f>
        <v>15.223908572770371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3629.598677975802</v>
      </c>
      <c r="D126" s="14"/>
      <c r="E126" s="14"/>
      <c r="O126" s="11" t="s">
        <v>194</v>
      </c>
      <c r="P126" s="11" t="s">
        <v>195</v>
      </c>
      <c r="Q126" s="14">
        <f>(1/Q125)*Q121</f>
        <v>3960.7756108840863</v>
      </c>
      <c r="R126" s="14"/>
      <c r="S126" s="14"/>
      <c r="AC126" s="11" t="s">
        <v>194</v>
      </c>
      <c r="AD126" s="11" t="s">
        <v>195</v>
      </c>
      <c r="AE126" s="14">
        <f>(1/AE125)*AE121</f>
        <v>2801.8175759670276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4.664557253108872</v>
      </c>
      <c r="D127" s="14"/>
      <c r="E127" s="14"/>
      <c r="O127" s="11" t="s">
        <v>196</v>
      </c>
      <c r="P127" s="11" t="s">
        <v>197</v>
      </c>
      <c r="Q127" s="14">
        <f>Q120/1000</f>
        <v>4.440523633088612</v>
      </c>
      <c r="R127" s="14"/>
      <c r="S127" s="14"/>
      <c r="AC127" s="11" t="s">
        <v>196</v>
      </c>
      <c r="AD127" s="11" t="s">
        <v>197</v>
      </c>
      <c r="AE127" s="14">
        <f>AE120/1000</f>
        <v>5.336658113169597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48.72573365598205</v>
      </c>
      <c r="D128" s="14"/>
      <c r="E128" s="14"/>
      <c r="O128" s="11" t="s">
        <v>198</v>
      </c>
      <c r="P128" s="11" t="s">
        <v>199</v>
      </c>
      <c r="Q128" s="14">
        <f>Q121/1000</f>
        <v>50.74944000327503</v>
      </c>
      <c r="R128" s="14"/>
      <c r="S128" s="14"/>
      <c r="AC128" s="11" t="s">
        <v>198</v>
      </c>
      <c r="AD128" s="11" t="s">
        <v>199</v>
      </c>
      <c r="AE128" s="14">
        <f>AE121/1000</f>
        <v>42.65461461410313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421.80736441496947</v>
      </c>
      <c r="D129" s="14"/>
      <c r="E129" s="14"/>
      <c r="O129" s="11" t="s">
        <v>200</v>
      </c>
      <c r="P129" s="11" t="s">
        <v>201</v>
      </c>
      <c r="Q129" s="14">
        <f>Q117-Q126</f>
        <v>449.5570511625806</v>
      </c>
      <c r="R129" s="14"/>
      <c r="S129" s="14"/>
      <c r="AC129" s="11" t="s">
        <v>200</v>
      </c>
      <c r="AD129" s="11" t="s">
        <v>201</v>
      </c>
      <c r="AE129" s="14">
        <f>AE117-AE126</f>
        <v>323.815961372904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90.42816746087529</v>
      </c>
      <c r="D130" s="31"/>
      <c r="E130" s="31"/>
      <c r="O130" s="11" t="s">
        <v>202</v>
      </c>
      <c r="P130" s="11" t="s">
        <v>203</v>
      </c>
      <c r="Q130" s="31">
        <f>Q129/Q127</f>
        <v>101.23964836324733</v>
      </c>
      <c r="R130" s="31"/>
      <c r="S130" s="31"/>
      <c r="AC130" s="11" t="s">
        <v>202</v>
      </c>
      <c r="AD130" s="11" t="s">
        <v>203</v>
      </c>
      <c r="AE130" s="31">
        <f>AE129/AE127</f>
        <v>60.67766652950909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498.72686014507383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479.2796581599469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558.0143552622766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49224.46051612712</v>
      </c>
      <c r="D135" s="14"/>
      <c r="E135" s="14"/>
      <c r="O135" s="11" t="s">
        <v>207</v>
      </c>
      <c r="P135" s="11" t="s">
        <v>208</v>
      </c>
      <c r="Q135" s="14">
        <f>Q121+Q133</f>
        <v>51228.71966143498</v>
      </c>
      <c r="R135" s="14"/>
      <c r="S135" s="14"/>
      <c r="AC135" s="11" t="s">
        <v>207</v>
      </c>
      <c r="AD135" s="11" t="s">
        <v>208</v>
      </c>
      <c r="AE135" s="14">
        <f>AE121+AE133</f>
        <v>43212.62896936541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-0.07802599165561899</v>
      </c>
      <c r="D136" s="13"/>
      <c r="E136" s="13"/>
      <c r="O136" s="11" t="s">
        <v>209</v>
      </c>
      <c r="P136" s="11" t="s">
        <v>210</v>
      </c>
      <c r="Q136" s="13">
        <f>(+Q135-Q16)/Q16</f>
        <v>-0.07177471616086867</v>
      </c>
      <c r="R136" s="13"/>
      <c r="S136" s="13"/>
      <c r="AC136" s="11" t="s">
        <v>209</v>
      </c>
      <c r="AD136" s="11" t="s">
        <v>210</v>
      </c>
      <c r="AE136" s="13">
        <f>(+AE135-AE16)/AE16</f>
        <v>-0.09957318250473678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C75+C135</f>
        <v>240963.11961534547</v>
      </c>
      <c r="D138" s="14"/>
      <c r="E138" s="14">
        <f>SUM(C138:D138)</f>
        <v>240963.11961534547</v>
      </c>
      <c r="O138" s="11" t="s">
        <v>213</v>
      </c>
      <c r="P138" s="11" t="s">
        <v>214</v>
      </c>
      <c r="Q138" s="14">
        <f>Q75+Q135</f>
        <v>250237.1016589793</v>
      </c>
      <c r="R138" s="14"/>
      <c r="S138" s="14">
        <f>SUM(Q138:R138)</f>
        <v>250237.1016589793</v>
      </c>
      <c r="AC138" s="11" t="s">
        <v>213</v>
      </c>
      <c r="AD138" s="11" t="s">
        <v>214</v>
      </c>
      <c r="AE138" s="14">
        <f>AE75+AE135</f>
        <v>212727.83808165588</v>
      </c>
      <c r="AF138" s="14"/>
      <c r="AG138" s="14">
        <f>SUM(AE138:AF138)</f>
        <v>212727.83808165588</v>
      </c>
    </row>
    <row r="139" spans="1:33" ht="12.75">
      <c r="A139" s="11" t="s">
        <v>215</v>
      </c>
      <c r="B139" s="11" t="s">
        <v>216</v>
      </c>
      <c r="C139" s="13">
        <f>(+C138-C137)/C138</f>
        <v>-0.38481489912022016</v>
      </c>
      <c r="D139" s="13"/>
      <c r="E139" s="13"/>
      <c r="O139" s="11" t="s">
        <v>215</v>
      </c>
      <c r="P139" s="11" t="s">
        <v>216</v>
      </c>
      <c r="Q139" s="13">
        <f>(+Q138-Q137)/Q138</f>
        <v>-0.37844176758948345</v>
      </c>
      <c r="R139" s="13"/>
      <c r="S139" s="13"/>
      <c r="AC139" s="11" t="s">
        <v>215</v>
      </c>
      <c r="AD139" s="11" t="s">
        <v>216</v>
      </c>
      <c r="AE139" s="13">
        <f>(+AE138-AE137)/AE138</f>
        <v>-0.40999625272513723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12.30611512903178</v>
      </c>
      <c r="D142" s="31"/>
      <c r="E142" s="31"/>
      <c r="O142" s="11" t="s">
        <v>217</v>
      </c>
      <c r="P142" s="11" t="s">
        <v>218</v>
      </c>
      <c r="Q142" s="31">
        <f>Q135/Q114</f>
        <v>12.807179915358745</v>
      </c>
      <c r="R142" s="31"/>
      <c r="S142" s="31"/>
      <c r="AC142" s="11" t="s">
        <v>217</v>
      </c>
      <c r="AD142" s="11" t="s">
        <v>218</v>
      </c>
      <c r="AE142" s="31">
        <f>AE135/AE114</f>
        <v>10.803157242341353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50.33744752926804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53.93333628749694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41.382757815313035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13.273611368523035</v>
      </c>
      <c r="D144" s="31"/>
      <c r="E144" s="31"/>
      <c r="O144" s="11" t="s">
        <v>221</v>
      </c>
      <c r="P144" s="11" t="s">
        <v>222</v>
      </c>
      <c r="Q144" s="31">
        <f>1/((1/40)+Q143/1000)</f>
        <v>12.668918444771228</v>
      </c>
      <c r="R144" s="31"/>
      <c r="S144" s="31"/>
      <c r="AC144" s="11" t="s">
        <v>221</v>
      </c>
      <c r="AD144" s="11" t="s">
        <v>222</v>
      </c>
      <c r="AE144" s="31">
        <f>1/((1/40)+AE143/1000)</f>
        <v>15.064152694320908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3670.8724026326377</v>
      </c>
      <c r="D145" s="14"/>
      <c r="E145" s="14"/>
      <c r="O145" s="11" t="s">
        <v>223</v>
      </c>
      <c r="P145" s="11" t="s">
        <v>224</v>
      </c>
      <c r="Q145" s="14">
        <f>(+Q121)/Q144</f>
        <v>4005.822614180658</v>
      </c>
      <c r="R145" s="14"/>
      <c r="S145" s="14"/>
      <c r="AC145" s="11" t="s">
        <v>223</v>
      </c>
      <c r="AD145" s="11" t="s">
        <v>224</v>
      </c>
      <c r="AE145" s="14">
        <f>(+AE121)/AE144</f>
        <v>2831.53095163352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4051.4060423907713</v>
      </c>
      <c r="D146" s="14"/>
      <c r="E146" s="14"/>
      <c r="O146" s="11" t="s">
        <v>225</v>
      </c>
      <c r="P146" s="11" t="s">
        <v>226</v>
      </c>
      <c r="Q146" s="14">
        <f>Q121/Q116</f>
        <v>4410.332662046667</v>
      </c>
      <c r="R146" s="14"/>
      <c r="S146" s="14"/>
      <c r="AC146" s="11" t="s">
        <v>225</v>
      </c>
      <c r="AD146" s="11" t="s">
        <v>226</v>
      </c>
      <c r="AE146" s="14">
        <f>AE121/AE116</f>
        <v>3125.6335373399315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380.53363975813363</v>
      </c>
      <c r="D147" s="14"/>
      <c r="E147" s="14"/>
      <c r="O147" s="11" t="s">
        <v>227</v>
      </c>
      <c r="P147" s="11" t="s">
        <v>148</v>
      </c>
      <c r="Q147" s="14">
        <f>Q146-Q145</f>
        <v>404.5100478660088</v>
      </c>
      <c r="R147" s="14"/>
      <c r="S147" s="14"/>
      <c r="AC147" s="11" t="s">
        <v>227</v>
      </c>
      <c r="AD147" s="11" t="s">
        <v>148</v>
      </c>
      <c r="AE147" s="14">
        <f>AE146-AE145</f>
        <v>294.10258570641145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0.4685823418624901</v>
      </c>
      <c r="D148" s="31"/>
      <c r="E148" s="31"/>
      <c r="O148" s="11" t="s">
        <v>228</v>
      </c>
      <c r="P148" s="11" t="s">
        <v>150</v>
      </c>
      <c r="Q148" s="31">
        <f>(+Q147/Q121)*60</f>
        <v>0.4782437573773083</v>
      </c>
      <c r="R148" s="31"/>
      <c r="S148" s="31"/>
      <c r="AC148" s="11" t="s">
        <v>228</v>
      </c>
      <c r="AD148" s="11" t="s">
        <v>150</v>
      </c>
      <c r="AE148" s="31">
        <f>(+AE147/AE121)*60</f>
        <v>0.41369861859097046</v>
      </c>
      <c r="AF148" s="31"/>
      <c r="AG148" s="31"/>
    </row>
    <row r="149" spans="1:33" ht="12.75">
      <c r="A149" s="11"/>
      <c r="B149" s="11" t="s">
        <v>151</v>
      </c>
      <c r="C149" s="31">
        <f>+C85</f>
        <v>1.1930049570576402</v>
      </c>
      <c r="D149" s="31"/>
      <c r="E149" s="31"/>
      <c r="O149" s="11"/>
      <c r="P149" s="11" t="s">
        <v>151</v>
      </c>
      <c r="Q149" s="31">
        <f>+Q85</f>
        <v>1.1915549665525393</v>
      </c>
      <c r="R149" s="31"/>
      <c r="S149" s="31"/>
      <c r="AC149" s="11"/>
      <c r="AD149" s="11" t="s">
        <v>151</v>
      </c>
      <c r="AE149" s="31">
        <f>+AE85</f>
        <v>1.198180449098278</v>
      </c>
      <c r="AF149" s="31"/>
      <c r="AG149" s="31"/>
    </row>
    <row r="150" spans="1:33" ht="12.75">
      <c r="A150" s="11"/>
      <c r="B150" s="11" t="s">
        <v>152</v>
      </c>
      <c r="C150" s="31">
        <f>+C149*C147</f>
        <v>453.97851855863973</v>
      </c>
      <c r="D150" s="31"/>
      <c r="E150" s="31"/>
      <c r="O150" s="11"/>
      <c r="P150" s="11" t="s">
        <v>152</v>
      </c>
      <c r="Q150" s="31">
        <f>+Q149*Q147</f>
        <v>481.9959565551482</v>
      </c>
      <c r="R150" s="31"/>
      <c r="S150" s="31"/>
      <c r="AC150" s="11"/>
      <c r="AD150" s="11" t="s">
        <v>152</v>
      </c>
      <c r="AE150" s="31">
        <f>+AE149*AE147</f>
        <v>352.38796822267284</v>
      </c>
      <c r="AF150" s="31"/>
      <c r="AG150" s="31"/>
    </row>
    <row r="151" spans="1:33" ht="12.75">
      <c r="A151" s="11" t="s">
        <v>229</v>
      </c>
      <c r="B151" s="11" t="s">
        <v>154</v>
      </c>
      <c r="C151" s="79">
        <f>C105</f>
        <v>9</v>
      </c>
      <c r="D151" s="38"/>
      <c r="E151" s="38"/>
      <c r="O151" s="11" t="s">
        <v>229</v>
      </c>
      <c r="P151" s="11" t="s">
        <v>154</v>
      </c>
      <c r="Q151" s="38">
        <f>Q105</f>
        <v>9</v>
      </c>
      <c r="R151" s="38"/>
      <c r="S151" s="38"/>
      <c r="AC151" s="11" t="s">
        <v>229</v>
      </c>
      <c r="AD151" s="11" t="s">
        <v>154</v>
      </c>
      <c r="AE151" s="38">
        <f>AE105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4085.8066670277576</v>
      </c>
      <c r="D152" s="37"/>
      <c r="E152" s="37"/>
      <c r="O152" s="11" t="s">
        <v>230</v>
      </c>
      <c r="P152" s="11" t="s">
        <v>156</v>
      </c>
      <c r="Q152" s="37">
        <f>Q150*Q151</f>
        <v>4337.963608996334</v>
      </c>
      <c r="R152" s="37"/>
      <c r="S152" s="37"/>
      <c r="AC152" s="11" t="s">
        <v>230</v>
      </c>
      <c r="AD152" s="11" t="s">
        <v>156</v>
      </c>
      <c r="AE152" s="37">
        <f>AE150*AE151</f>
        <v>3171.4917140040557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498.72686014507383</v>
      </c>
      <c r="D155" s="14"/>
      <c r="E155" s="14"/>
      <c r="O155" s="11" t="s">
        <v>231</v>
      </c>
      <c r="P155" s="11" t="s">
        <v>205</v>
      </c>
      <c r="Q155" s="14">
        <f>Q133</f>
        <v>479.2796581599469</v>
      </c>
      <c r="R155" s="14"/>
      <c r="S155" s="14"/>
      <c r="AC155" s="11" t="s">
        <v>231</v>
      </c>
      <c r="AD155" s="11" t="s">
        <v>205</v>
      </c>
      <c r="AE155" s="14">
        <f>AE133</f>
        <v>558.0143552622766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0.23429117093124505</v>
      </c>
      <c r="D156" s="31"/>
      <c r="E156" s="31"/>
      <c r="O156" s="11" t="s">
        <v>232</v>
      </c>
      <c r="P156" s="11" t="s">
        <v>169</v>
      </c>
      <c r="Q156" s="31">
        <f>Q148/2</f>
        <v>0.23912187868865414</v>
      </c>
      <c r="R156" s="31"/>
      <c r="S156" s="31"/>
      <c r="AC156" s="11" t="s">
        <v>232</v>
      </c>
      <c r="AD156" s="11" t="s">
        <v>169</v>
      </c>
      <c r="AE156" s="31">
        <f>AE148/2</f>
        <v>0.20684930929548523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1.947455000637544</v>
      </c>
      <c r="D157" s="31"/>
      <c r="E157" s="31"/>
      <c r="O157" s="11" t="s">
        <v>233</v>
      </c>
      <c r="P157" s="11" t="s">
        <v>234</v>
      </c>
      <c r="Q157" s="31">
        <f>(+Q155*Q156)/60</f>
        <v>1.9101042046077077</v>
      </c>
      <c r="R157" s="31"/>
      <c r="S157" s="31"/>
      <c r="AC157" s="11" t="s">
        <v>233</v>
      </c>
      <c r="AD157" s="11" t="s">
        <v>234</v>
      </c>
      <c r="AE157" s="31">
        <f>(+AE155*AE156)/60</f>
        <v>1.923748066049457</v>
      </c>
      <c r="AF157" s="31"/>
      <c r="AG157" s="31"/>
    </row>
    <row r="158" spans="1:33" ht="12.75">
      <c r="A158" s="11"/>
      <c r="B158" s="11" t="s">
        <v>151</v>
      </c>
      <c r="C158" s="31">
        <f>+C85</f>
        <v>1.1930049570576402</v>
      </c>
      <c r="D158" s="31"/>
      <c r="E158" s="31"/>
      <c r="O158" s="11"/>
      <c r="P158" s="11" t="s">
        <v>151</v>
      </c>
      <c r="Q158" s="31">
        <f>+Q85</f>
        <v>1.1915549665525393</v>
      </c>
      <c r="R158" s="31"/>
      <c r="S158" s="31"/>
      <c r="AC158" s="11"/>
      <c r="AD158" s="11" t="s">
        <v>151</v>
      </c>
      <c r="AE158" s="31">
        <f>+AE85</f>
        <v>1.198180449098278</v>
      </c>
      <c r="AF158" s="31"/>
      <c r="AG158" s="31"/>
    </row>
    <row r="159" spans="1:33" ht="12.75">
      <c r="A159" s="11"/>
      <c r="B159" s="11" t="s">
        <v>152</v>
      </c>
      <c r="C159" s="31">
        <f>+C158*C157</f>
        <v>2.32332346940728</v>
      </c>
      <c r="D159" s="31"/>
      <c r="E159" s="31"/>
      <c r="O159" s="11"/>
      <c r="P159" s="11" t="s">
        <v>152</v>
      </c>
      <c r="Q159" s="31">
        <f>+Q158*Q157</f>
        <v>2.275994151633202</v>
      </c>
      <c r="R159" s="31"/>
      <c r="S159" s="31"/>
      <c r="AC159" s="11"/>
      <c r="AD159" s="11" t="s">
        <v>152</v>
      </c>
      <c r="AE159" s="31">
        <f>+AE158*AE157</f>
        <v>2.304997321731082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20.90991122466552</v>
      </c>
      <c r="D161" s="37"/>
      <c r="E161" s="37"/>
      <c r="O161" s="11" t="s">
        <v>236</v>
      </c>
      <c r="P161" s="11" t="s">
        <v>156</v>
      </c>
      <c r="Q161" s="37">
        <f>Q159*Q160</f>
        <v>20.483947364698817</v>
      </c>
      <c r="R161" s="37"/>
      <c r="S161" s="37"/>
      <c r="AC161" s="11" t="s">
        <v>236</v>
      </c>
      <c r="AD161" s="11" t="s">
        <v>156</v>
      </c>
      <c r="AE161" s="37">
        <f>AE159*AE160</f>
        <v>20.74497589557974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4106.7165782524235</v>
      </c>
      <c r="D163" s="37">
        <f>+D143+D152+D161</f>
        <v>0</v>
      </c>
      <c r="E163" s="37">
        <f>SUM(C163:D163)</f>
        <v>4106.7165782524235</v>
      </c>
      <c r="O163" s="18"/>
      <c r="P163" s="11" t="s">
        <v>391</v>
      </c>
      <c r="Q163" s="37">
        <f>+Q152+Q161</f>
        <v>4358.447556361033</v>
      </c>
      <c r="R163" s="37">
        <f>+R143+R152+R161</f>
        <v>0</v>
      </c>
      <c r="S163" s="37">
        <f>SUM(Q163:R163)</f>
        <v>4358.447556361033</v>
      </c>
      <c r="AC163" s="18"/>
      <c r="AD163" s="11" t="s">
        <v>391</v>
      </c>
      <c r="AE163" s="37">
        <f>+AE152+AE161</f>
        <v>3192.2366898996356</v>
      </c>
      <c r="AF163" s="37">
        <f>+AF143+AF152+AF161</f>
        <v>0</v>
      </c>
      <c r="AG163" s="37">
        <f>SUM(AE163:AF163)</f>
        <v>3192.2366898996356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395</v>
      </c>
      <c r="E166" s="46"/>
      <c r="O166" s="18"/>
      <c r="P166" s="18"/>
      <c r="Q166" s="39" t="s">
        <v>92</v>
      </c>
      <c r="R166" s="24" t="s">
        <v>395</v>
      </c>
      <c r="S166" s="46"/>
      <c r="AC166" s="18"/>
      <c r="AD166" s="18"/>
      <c r="AE166" s="39" t="s">
        <v>92</v>
      </c>
      <c r="AF166" s="24" t="s">
        <v>395</v>
      </c>
      <c r="AG166" s="46"/>
    </row>
    <row r="167" spans="1:33" ht="12.75">
      <c r="A167" s="11" t="s">
        <v>237</v>
      </c>
      <c r="B167" s="11" t="s">
        <v>238</v>
      </c>
      <c r="C167" s="37">
        <f>C88</f>
        <v>12822.518282482424</v>
      </c>
      <c r="D167" s="37">
        <f>D88</f>
        <v>39009.14044806463</v>
      </c>
      <c r="E167" s="37"/>
      <c r="O167" s="11" t="s">
        <v>237</v>
      </c>
      <c r="P167" s="11" t="s">
        <v>238</v>
      </c>
      <c r="Q167" s="37">
        <f>Q88</f>
        <v>12603.209952366618</v>
      </c>
      <c r="R167" s="37">
        <f>R88</f>
        <v>43941.64306975122</v>
      </c>
      <c r="S167" s="37"/>
      <c r="AC167" s="11" t="s">
        <v>237</v>
      </c>
      <c r="AD167" s="11" t="s">
        <v>238</v>
      </c>
      <c r="AE167" s="37">
        <f>AE88</f>
        <v>11531.174912690412</v>
      </c>
      <c r="AF167" s="37">
        <f>AF88</f>
        <v>24613.202526039997</v>
      </c>
      <c r="AG167" s="37"/>
    </row>
    <row r="168" spans="1:33" ht="12.75">
      <c r="A168" s="11" t="s">
        <v>239</v>
      </c>
      <c r="B168" s="11" t="s">
        <v>240</v>
      </c>
      <c r="C168" s="37">
        <f>C97</f>
        <v>164.01427825542456</v>
      </c>
      <c r="D168" s="37">
        <f>D97</f>
        <v>0</v>
      </c>
      <c r="E168" s="37"/>
      <c r="O168" s="11" t="s">
        <v>239</v>
      </c>
      <c r="P168" s="11" t="s">
        <v>240</v>
      </c>
      <c r="Q168" s="37">
        <f>Q97</f>
        <v>147.02326796585524</v>
      </c>
      <c r="R168" s="37">
        <f>R97</f>
        <v>0</v>
      </c>
      <c r="S168" s="37"/>
      <c r="AC168" s="11" t="s">
        <v>239</v>
      </c>
      <c r="AD168" s="11" t="s">
        <v>240</v>
      </c>
      <c r="AE168" s="37">
        <f>AE97</f>
        <v>194.29279311053702</v>
      </c>
      <c r="AF168" s="37">
        <f>AF97</f>
        <v>0</v>
      </c>
      <c r="AG168" s="37"/>
    </row>
    <row r="169" spans="1:33" ht="12.75">
      <c r="A169" s="11" t="s">
        <v>241</v>
      </c>
      <c r="B169" s="11" t="s">
        <v>242</v>
      </c>
      <c r="C169" s="37">
        <f>C106</f>
        <v>166.60497954360474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140.42860848269552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211.69431176010835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4085.8066670277576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4337.963608996334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3171.4917140040557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20.90991122466552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20.483947364698817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20.74497589557974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17259.854118533876</v>
      </c>
      <c r="D172" s="37">
        <f>SUM(D167:D171)</f>
        <v>39009.14044806463</v>
      </c>
      <c r="E172" s="37">
        <f>SUM(C172:D172)</f>
        <v>56268.99456659851</v>
      </c>
      <c r="O172" s="11" t="s">
        <v>247</v>
      </c>
      <c r="P172" s="11" t="s">
        <v>248</v>
      </c>
      <c r="Q172" s="37">
        <f>SUM(Q167:Q171)</f>
        <v>17249.1093851762</v>
      </c>
      <c r="R172" s="37">
        <f>SUM(R167:R171)</f>
        <v>43941.64306975122</v>
      </c>
      <c r="S172" s="37">
        <f>SUM(Q172:R172)</f>
        <v>61190.752454927424</v>
      </c>
      <c r="AC172" s="11" t="s">
        <v>247</v>
      </c>
      <c r="AD172" s="11" t="s">
        <v>248</v>
      </c>
      <c r="AE172" s="37">
        <f>SUM(AE167:AE171)</f>
        <v>15129.398707460692</v>
      </c>
      <c r="AF172" s="37">
        <f>SUM(AF167:AF171)</f>
        <v>24613.202526039997</v>
      </c>
      <c r="AG172" s="37">
        <f>SUM(AE172:AF172)</f>
        <v>39742.60123350069</v>
      </c>
    </row>
    <row r="173" spans="1:33" ht="12.75" hidden="1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191738.65909921835</v>
      </c>
      <c r="D185" s="14">
        <f>D75</f>
        <v>97026.338028169</v>
      </c>
      <c r="E185" s="14"/>
      <c r="O185" s="11" t="s">
        <v>258</v>
      </c>
      <c r="P185" s="11" t="s">
        <v>259</v>
      </c>
      <c r="Q185" s="14">
        <f>Q75</f>
        <v>199008.38199754435</v>
      </c>
      <c r="R185" s="14">
        <f>R75</f>
        <v>98452.39436619719</v>
      </c>
      <c r="S185" s="14"/>
      <c r="AC185" s="11" t="s">
        <v>258</v>
      </c>
      <c r="AD185" s="11" t="s">
        <v>259</v>
      </c>
      <c r="AE185" s="14">
        <f>AE75</f>
        <v>169515.20911229047</v>
      </c>
      <c r="AF185" s="14">
        <f>AF75</f>
        <v>92748.1690140845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49224.46051612712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51228.71966143498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43212.62896936541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240963.11961534547</v>
      </c>
      <c r="D187" s="14">
        <f>D185+D186</f>
        <v>97026.338028169</v>
      </c>
      <c r="E187" s="14"/>
      <c r="O187" s="11" t="s">
        <v>262</v>
      </c>
      <c r="P187" s="11" t="s">
        <v>263</v>
      </c>
      <c r="Q187" s="14">
        <f>Q185+Q186</f>
        <v>250237.1016589793</v>
      </c>
      <c r="R187" s="14">
        <f>R185+R186</f>
        <v>98452.39436619719</v>
      </c>
      <c r="S187" s="14"/>
      <c r="AC187" s="11" t="s">
        <v>262</v>
      </c>
      <c r="AD187" s="11" t="s">
        <v>263</v>
      </c>
      <c r="AE187" s="14">
        <f>AE185+AE186</f>
        <v>212727.83808165588</v>
      </c>
      <c r="AF187" s="14">
        <f>AF185+AF186</f>
        <v>92748.1690140845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-88560.36817350893</v>
      </c>
      <c r="D189" s="14">
        <f>D185-D181</f>
        <v>97026.338028169</v>
      </c>
      <c r="E189" s="14"/>
      <c r="O189" s="11" t="s">
        <v>264</v>
      </c>
      <c r="P189" s="11" t="s">
        <v>265</v>
      </c>
      <c r="Q189" s="14">
        <f>Q185-Q181</f>
        <v>-90738.92709336473</v>
      </c>
      <c r="R189" s="14">
        <f>R185-R181</f>
        <v>98452.39436619719</v>
      </c>
      <c r="S189" s="14"/>
      <c r="AC189" s="11" t="s">
        <v>264</v>
      </c>
      <c r="AD189" s="11" t="s">
        <v>265</v>
      </c>
      <c r="AE189" s="14">
        <f>AE185-AE181</f>
        <v>-82438.97270589133</v>
      </c>
      <c r="AF189" s="14">
        <f>AF185-AF181</f>
        <v>92748.1690140845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-4165.830392963799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-3961.243974928664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-4778.6437579073245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-92726.19856647274</v>
      </c>
      <c r="D191" s="14">
        <f>D189+D190</f>
        <v>97026.33522517871</v>
      </c>
      <c r="E191" s="14"/>
      <c r="O191" s="11" t="s">
        <v>268</v>
      </c>
      <c r="P191" s="11" t="s">
        <v>269</v>
      </c>
      <c r="Q191" s="14">
        <f>Q189+Q190</f>
        <v>-94700.17106829339</v>
      </c>
      <c r="R191" s="14">
        <f>R189+R190</f>
        <v>98452.39146872408</v>
      </c>
      <c r="S191" s="14"/>
      <c r="AC191" s="11" t="s">
        <v>268</v>
      </c>
      <c r="AD191" s="11" t="s">
        <v>269</v>
      </c>
      <c r="AE191" s="14">
        <f>AE189+AE190</f>
        <v>-87217.61646379865</v>
      </c>
      <c r="AF191" s="14">
        <f>AF189+AF190</f>
        <v>92748.16649454267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>
        <f>(1/C81)*C185</f>
        <v>7225.7288945869095</v>
      </c>
      <c r="D199" s="14">
        <f>(1/D81)*D185</f>
        <v>1617.1056338028168</v>
      </c>
      <c r="E199" s="14"/>
      <c r="O199" s="11" t="s">
        <v>280</v>
      </c>
      <c r="P199" s="11" t="s">
        <v>281</v>
      </c>
      <c r="Q199" s="14">
        <f>(1/Q81)*Q185</f>
        <v>8103.163905461665</v>
      </c>
      <c r="R199" s="14">
        <f>(1/R81)*R185</f>
        <v>1640.8732394366198</v>
      </c>
      <c r="S199" s="14"/>
      <c r="AC199" s="11" t="s">
        <v>280</v>
      </c>
      <c r="AD199" s="11" t="s">
        <v>281</v>
      </c>
      <c r="AE199" s="14">
        <f>(1/AE81)*AE185</f>
        <v>4913.091763866553</v>
      </c>
      <c r="AF199" s="14">
        <f>(1/AF81)*AF185</f>
        <v>1545.8028169014083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3708.4452112902536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4043.6537566139536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2868.573483436364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>
        <f>C199+C200</f>
        <v>10934.174105877162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>
        <f>Q199+Q200</f>
        <v>12146.817662075619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>
        <f>AE199+AE200</f>
        <v>7781.665247302917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>
        <f>C187/C201</f>
        <v>22.037615029911297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>
        <f>Q187/Q201</f>
        <v>20.60104206884253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>
        <f>AE187/AE201</f>
        <v>27.33705849855032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>
        <f>1/C202</f>
        <v>0.04537696110231149</v>
      </c>
      <c r="D203" s="41" t="e">
        <f>1/D202</f>
        <v>#DIV/0!</v>
      </c>
      <c r="E203" s="41"/>
      <c r="O203" s="11" t="s">
        <v>288</v>
      </c>
      <c r="P203" s="11" t="s">
        <v>289</v>
      </c>
      <c r="Q203" s="41">
        <f>1/Q202</f>
        <v>0.04854123382003195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>
        <f>1/AE202</f>
        <v>0.03658038044045704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>
        <f>(C203-C197)/C197</f>
        <v>-0.08392341320367397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>
        <f>(Q203-Q197)/Q197</f>
        <v>-0.07357565367742937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>
        <f>(AE203-AE197)/AE197</f>
        <v>-0.10262313608211282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-0.2778818305353987</v>
      </c>
      <c r="D206" s="13">
        <f>D191/D183</f>
        <v>34615294.8448299</v>
      </c>
      <c r="E206" s="13"/>
      <c r="O206" s="11" t="s">
        <v>292</v>
      </c>
      <c r="P206" s="11" t="s">
        <v>293</v>
      </c>
      <c r="Q206" s="13">
        <f>Q191/Q183</f>
        <v>-0.27454316641266197</v>
      </c>
      <c r="R206" s="13">
        <f>R191/R183</f>
        <v>33978707.61351395</v>
      </c>
      <c r="S206" s="13"/>
      <c r="AC206" s="11" t="s">
        <v>292</v>
      </c>
      <c r="AD206" s="11" t="s">
        <v>293</v>
      </c>
      <c r="AE206" s="13">
        <f>AE191/AE183</f>
        <v>-0.29077825698665977</v>
      </c>
      <c r="AF206" s="13">
        <f>AF191/AF183</f>
        <v>36811520.79287</v>
      </c>
      <c r="AG206" s="13"/>
    </row>
    <row r="207" spans="1:33" ht="12.75" hidden="1">
      <c r="A207" s="11" t="s">
        <v>294</v>
      </c>
      <c r="B207" s="11" t="s">
        <v>295</v>
      </c>
      <c r="C207" s="33">
        <f>C206/C205</f>
        <v>3.311135950357578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>
        <f>Q206/Q205</f>
        <v>3.731440397611893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>
        <f>AE206/AE205</f>
        <v>2.833457133428437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187000.4224407982</v>
      </c>
      <c r="D210" s="14">
        <f>D59</f>
        <v>97026.338028169</v>
      </c>
      <c r="E210" s="14"/>
      <c r="O210" s="11" t="s">
        <v>297</v>
      </c>
      <c r="P210" s="11" t="s">
        <v>298</v>
      </c>
      <c r="Q210" s="14">
        <f>Q59</f>
        <v>194767.03596193605</v>
      </c>
      <c r="R210" s="14">
        <f>R59</f>
        <v>98452.39436619719</v>
      </c>
      <c r="S210" s="14"/>
      <c r="AC210" s="11" t="s">
        <v>297</v>
      </c>
      <c r="AD210" s="11" t="s">
        <v>298</v>
      </c>
      <c r="AE210" s="14">
        <f>AE59</f>
        <v>163700.5818773847</v>
      </c>
      <c r="AF210" s="14">
        <f>AF59</f>
        <v>92748.1690140845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27.99442742946122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25.673985072390632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36.99895689442596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>
        <f>(1/C211)*C210</f>
        <v>6679.915955130404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>
        <f>(1/Q211)*Q210</f>
        <v>7586.163013368159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>
        <f>(1/AE211)*AE210</f>
        <v>4424.464785439583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48725.73365598205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50749.440003275035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42654.614614103135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13.424551301400626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12.813005579972058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15.223908572770371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3629.598677975802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3960.7756108840863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2801.8175759670276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235726.15609678024</v>
      </c>
      <c r="D216" s="14">
        <f>D210+D213</f>
        <v>97026.338028169</v>
      </c>
      <c r="E216" s="14"/>
      <c r="O216" s="11" t="s">
        <v>309</v>
      </c>
      <c r="P216" s="11" t="s">
        <v>310</v>
      </c>
      <c r="Q216" s="14">
        <f>Q210+Q213</f>
        <v>245516.47596521108</v>
      </c>
      <c r="R216" s="14">
        <f>R210+R213</f>
        <v>98452.39436619719</v>
      </c>
      <c r="S216" s="14"/>
      <c r="AC216" s="11" t="s">
        <v>309</v>
      </c>
      <c r="AD216" s="11" t="s">
        <v>310</v>
      </c>
      <c r="AE216" s="14">
        <f>AE210+AE213</f>
        <v>206355.19649148785</v>
      </c>
      <c r="AF216" s="14">
        <f>AF210+AF213</f>
        <v>92748.1690140845</v>
      </c>
      <c r="AG216" s="14"/>
    </row>
    <row r="217" spans="1:33" ht="12.75" hidden="1">
      <c r="A217" s="11" t="s">
        <v>311</v>
      </c>
      <c r="B217" s="11" t="s">
        <v>312</v>
      </c>
      <c r="C217" s="14">
        <f>C212+C215</f>
        <v>10309.514633106206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>
        <f>Q212+Q215</f>
        <v>11546.938624252245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>
        <f>AE212+AE215</f>
        <v>7226.28236140661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>
        <f>C216/C217</f>
        <v>22.864913091040165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>
        <f>Q216/Q217</f>
        <v>21.262473453314144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>
        <f>AE216/AE217</f>
        <v>28.55620444525785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>
        <f>1/C218</f>
        <v>0.04373513234090794</v>
      </c>
      <c r="D219" s="42" t="e">
        <f>1/D218</f>
        <v>#DIV/0!</v>
      </c>
      <c r="E219" s="42"/>
      <c r="O219" s="11" t="s">
        <v>315</v>
      </c>
      <c r="P219" s="11" t="s">
        <v>316</v>
      </c>
      <c r="Q219" s="42">
        <f>1/Q218</f>
        <v>0.04703121686174906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>
        <f>1/AE218</f>
        <v>0.035018659497168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>
        <f>C203</f>
        <v>0.04537696110231149</v>
      </c>
      <c r="D220" s="42" t="e">
        <f>D203</f>
        <v>#DIV/0!</v>
      </c>
      <c r="E220" s="42"/>
      <c r="O220" s="11" t="s">
        <v>317</v>
      </c>
      <c r="P220" s="11" t="s">
        <v>289</v>
      </c>
      <c r="Q220" s="42">
        <f>Q203</f>
        <v>0.04854123382003195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>
        <f>AE203</f>
        <v>0.03658038044045704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>
        <f>(C220-C219)/C219</f>
        <v>0.03754027193986243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>
        <f>(Q220-Q219)/Q219</f>
        <v>0.03210669548954405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>
        <f>(AE220-AE219)/AE219</f>
        <v>0.04459682254300276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-0.2778818305353987</v>
      </c>
      <c r="D222" s="13">
        <f>D206</f>
        <v>34615294.8448299</v>
      </c>
      <c r="E222" s="13"/>
      <c r="O222" s="11" t="s">
        <v>319</v>
      </c>
      <c r="P222" s="11" t="s">
        <v>293</v>
      </c>
      <c r="Q222" s="13">
        <f>Q206</f>
        <v>-0.27454316641266197</v>
      </c>
      <c r="R222" s="13">
        <f>R206</f>
        <v>33978707.61351395</v>
      </c>
      <c r="S222" s="13"/>
      <c r="AC222" s="11" t="s">
        <v>319</v>
      </c>
      <c r="AD222" s="11" t="s">
        <v>293</v>
      </c>
      <c r="AE222" s="13">
        <f>AE206</f>
        <v>-0.29077825698665977</v>
      </c>
      <c r="AF222" s="13">
        <f>AF206</f>
        <v>36811520.79287</v>
      </c>
      <c r="AG222" s="13"/>
    </row>
    <row r="223" spans="1:33" ht="12.75" hidden="1">
      <c r="A223" s="11" t="s">
        <v>320</v>
      </c>
      <c r="B223" s="11" t="s">
        <v>321</v>
      </c>
      <c r="C223" s="42">
        <f>C221/C222</f>
        <v>-0.13509437399175425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>
        <f>Q221/Q222</f>
        <v>-0.11694589200331772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>
        <f>AE221/AE222</f>
        <v>-0.15337055461147758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395</v>
      </c>
      <c r="E229" s="24" t="s">
        <v>40</v>
      </c>
      <c r="O229" s="11"/>
      <c r="P229" s="11"/>
      <c r="Q229" s="24" t="s">
        <v>92</v>
      </c>
      <c r="R229" s="24" t="s">
        <v>395</v>
      </c>
      <c r="S229" s="24" t="s">
        <v>40</v>
      </c>
      <c r="AC229" s="11"/>
      <c r="AD229" s="11"/>
      <c r="AE229" s="24" t="s">
        <v>92</v>
      </c>
      <c r="AF229" s="24" t="s">
        <v>395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>
        <f>+C43</f>
        <v>182335.8651876893</v>
      </c>
      <c r="D231" s="14">
        <f>+D43</f>
        <v>97026.338028169</v>
      </c>
      <c r="E231" s="14">
        <f>SUM(C231:D231)</f>
        <v>279362.2032158583</v>
      </c>
      <c r="O231" s="11"/>
      <c r="P231" s="11" t="s">
        <v>325</v>
      </c>
      <c r="Q231" s="14">
        <f>+Q43</f>
        <v>190326.51232884743</v>
      </c>
      <c r="R231" s="14">
        <f>+R43</f>
        <v>98452.39436619719</v>
      </c>
      <c r="S231" s="14">
        <f>SUM(Q231:R231)</f>
        <v>288778.9066950446</v>
      </c>
      <c r="AC231" s="11"/>
      <c r="AD231" s="11" t="s">
        <v>325</v>
      </c>
      <c r="AE231" s="14">
        <f>+AE43</f>
        <v>158363.9237642151</v>
      </c>
      <c r="AF231" s="14">
        <f>+AF43</f>
        <v>92748.1690140845</v>
      </c>
      <c r="AG231" s="14">
        <f>SUM(AE231:AF231)</f>
        <v>251112.09277829962</v>
      </c>
    </row>
    <row r="232" spans="1:33" ht="12.75">
      <c r="A232" s="11"/>
      <c r="B232" s="11" t="s">
        <v>326</v>
      </c>
      <c r="C232" s="14">
        <f>C58</f>
        <v>4664.557253108872</v>
      </c>
      <c r="D232" s="14">
        <f>D58</f>
        <v>0</v>
      </c>
      <c r="E232" s="14"/>
      <c r="O232" s="11"/>
      <c r="P232" s="11" t="s">
        <v>326</v>
      </c>
      <c r="Q232" s="14">
        <f>Q58</f>
        <v>4440.523633088613</v>
      </c>
      <c r="R232" s="14">
        <f>R58</f>
        <v>0</v>
      </c>
      <c r="S232" s="14"/>
      <c r="AC232" s="11"/>
      <c r="AD232" s="11" t="s">
        <v>326</v>
      </c>
      <c r="AE232" s="14">
        <f>AE58</f>
        <v>5336.6581131695975</v>
      </c>
      <c r="AF232" s="14">
        <f>AF58</f>
        <v>0</v>
      </c>
      <c r="AG232" s="14"/>
    </row>
    <row r="233" spans="1:33" ht="12.75">
      <c r="A233" s="11"/>
      <c r="B233" s="11" t="s">
        <v>327</v>
      </c>
      <c r="C233" s="14">
        <f>C73</f>
        <v>4738.236658420157</v>
      </c>
      <c r="D233" s="14">
        <f>D73</f>
        <v>0</v>
      </c>
      <c r="E233" s="14"/>
      <c r="O233" s="11"/>
      <c r="P233" s="11" t="s">
        <v>327</v>
      </c>
      <c r="Q233" s="14">
        <f>Q73</f>
        <v>4241.346035608303</v>
      </c>
      <c r="R233" s="14">
        <f>R73</f>
        <v>0</v>
      </c>
      <c r="S233" s="14"/>
      <c r="AC233" s="11"/>
      <c r="AD233" s="11" t="s">
        <v>327</v>
      </c>
      <c r="AE233" s="14">
        <f>AE73</f>
        <v>5814.627234905747</v>
      </c>
      <c r="AF233" s="14">
        <f>AF73</f>
        <v>0</v>
      </c>
      <c r="AG233" s="14"/>
    </row>
    <row r="234" spans="1:33" ht="12.75">
      <c r="A234" s="11"/>
      <c r="B234" s="11" t="s">
        <v>328</v>
      </c>
      <c r="C234" s="14">
        <f>C231+C232+C233</f>
        <v>191738.65909921835</v>
      </c>
      <c r="D234" s="14">
        <f>D231+D232+D233</f>
        <v>97026.338028169</v>
      </c>
      <c r="E234" s="14">
        <f>SUM(C234:D234)</f>
        <v>288764.9971273873</v>
      </c>
      <c r="O234" s="11"/>
      <c r="P234" s="11" t="s">
        <v>328</v>
      </c>
      <c r="Q234" s="14">
        <f>Q231+Q232+Q233</f>
        <v>199008.38199754435</v>
      </c>
      <c r="R234" s="14">
        <f>R231+R232+R233</f>
        <v>98452.39436619719</v>
      </c>
      <c r="S234" s="14">
        <f>SUM(Q234:R234)</f>
        <v>297460.77636374155</v>
      </c>
      <c r="AC234" s="11"/>
      <c r="AD234" s="11" t="s">
        <v>328</v>
      </c>
      <c r="AE234" s="14">
        <f>AE231+AE232+AE233</f>
        <v>169515.20911229047</v>
      </c>
      <c r="AF234" s="14">
        <f>AF231+AF232+AF233</f>
        <v>92748.1690140845</v>
      </c>
      <c r="AG234" s="14">
        <f>SUM(AE234:AF234)</f>
        <v>262263.37812637497</v>
      </c>
    </row>
    <row r="235" spans="1:33" ht="12.75">
      <c r="A235" s="11"/>
      <c r="B235" s="11" t="s">
        <v>293</v>
      </c>
      <c r="C235" s="13">
        <f>(+C234-C231)/C231</f>
        <v>0.051568537554858844</v>
      </c>
      <c r="D235" s="13">
        <f>(+D234-D231)/D231</f>
        <v>0</v>
      </c>
      <c r="E235" s="13">
        <f>(+E234-E231)/E231</f>
        <v>0.033658074726249314</v>
      </c>
      <c r="O235" s="11"/>
      <c r="P235" s="11" t="s">
        <v>293</v>
      </c>
      <c r="Q235" s="13">
        <f>(+Q234-Q231)/Q231</f>
        <v>0.0456156610157198</v>
      </c>
      <c r="R235" s="13">
        <f>(+R234-R231)/R231</f>
        <v>0</v>
      </c>
      <c r="S235" s="13">
        <f>(+S234-S231)/S231</f>
        <v>0.030064071396548188</v>
      </c>
      <c r="AC235" s="11"/>
      <c r="AD235" s="11" t="s">
        <v>293</v>
      </c>
      <c r="AE235" s="13">
        <f>(+AE234-AE231)/AE231</f>
        <v>0.07041556614041895</v>
      </c>
      <c r="AF235" s="13">
        <f>(+AF234-AF231)/AF231</f>
        <v>0</v>
      </c>
      <c r="AG235" s="13">
        <f>(+AG234-AG231)/AG231</f>
        <v>0.044407599907665685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-4664.557253108872</v>
      </c>
      <c r="D239" s="14">
        <f>-D120</f>
        <v>0</v>
      </c>
      <c r="E239" s="14"/>
      <c r="O239" s="11"/>
      <c r="P239" s="11" t="s">
        <v>326</v>
      </c>
      <c r="Q239" s="14">
        <f>-Q120</f>
        <v>-4440.523633088613</v>
      </c>
      <c r="R239" s="14">
        <f>-R120</f>
        <v>0</v>
      </c>
      <c r="S239" s="14"/>
      <c r="AC239" s="11"/>
      <c r="AD239" s="11" t="s">
        <v>326</v>
      </c>
      <c r="AE239" s="14">
        <f>-AE120</f>
        <v>-5336.6581131695975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498.72686014507383</v>
      </c>
      <c r="D240" s="14">
        <f>D133</f>
        <v>0</v>
      </c>
      <c r="E240" s="14"/>
      <c r="O240" s="11"/>
      <c r="P240" s="11" t="s">
        <v>327</v>
      </c>
      <c r="Q240" s="14">
        <f>Q133</f>
        <v>479.2796581599469</v>
      </c>
      <c r="R240" s="14">
        <f>R133</f>
        <v>0</v>
      </c>
      <c r="S240" s="14"/>
      <c r="AC240" s="11"/>
      <c r="AD240" s="11" t="s">
        <v>327</v>
      </c>
      <c r="AE240" s="14">
        <f>AE133</f>
        <v>558.0143552622766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49224.46051612712</v>
      </c>
      <c r="D241" s="14">
        <f>D238+D239+D240</f>
        <v>0.0028029902868116244</v>
      </c>
      <c r="E241" s="14">
        <f>SUM(C241:D241)</f>
        <v>49224.46331911741</v>
      </c>
      <c r="O241" s="11"/>
      <c r="P241" s="11" t="s">
        <v>328</v>
      </c>
      <c r="Q241" s="14">
        <f>Q238+Q239+Q240</f>
        <v>51228.71966143498</v>
      </c>
      <c r="R241" s="14">
        <f>R238+R239+R240</f>
        <v>0.0028974731054681956</v>
      </c>
      <c r="S241" s="14">
        <f>SUM(Q241:R241)</f>
        <v>51228.722558908084</v>
      </c>
      <c r="AC241" s="11"/>
      <c r="AD241" s="11" t="s">
        <v>328</v>
      </c>
      <c r="AE241" s="14">
        <f>AE238+AE239+AE240</f>
        <v>43212.62896936541</v>
      </c>
      <c r="AF241" s="14">
        <f>AF238+AF239+AF240</f>
        <v>0.002519541830841909</v>
      </c>
      <c r="AG241" s="14">
        <f>SUM(AE241:AF241)</f>
        <v>43212.63148890724</v>
      </c>
    </row>
    <row r="242" spans="1:33" ht="12.75">
      <c r="A242" s="11"/>
      <c r="B242" s="11" t="s">
        <v>293</v>
      </c>
      <c r="C242" s="13">
        <f>(+C241-C238)/C238</f>
        <v>-0.07802599165561899</v>
      </c>
      <c r="D242" s="13">
        <f>(+D241-D238)/D238</f>
        <v>0</v>
      </c>
      <c r="E242" s="13">
        <f>(+E241-E238)/E238</f>
        <v>-0.07802598755925462</v>
      </c>
      <c r="O242" s="11"/>
      <c r="P242" s="11" t="s">
        <v>293</v>
      </c>
      <c r="Q242" s="13">
        <f>(+Q241-Q238)/Q238</f>
        <v>-0.07177471616086867</v>
      </c>
      <c r="R242" s="13">
        <f>(+R241-R238)/R238</f>
        <v>0</v>
      </c>
      <c r="S242" s="13">
        <f>(+S241-S238)/S238</f>
        <v>-0.07177471239269625</v>
      </c>
      <c r="AC242" s="11"/>
      <c r="AD242" s="11" t="s">
        <v>293</v>
      </c>
      <c r="AE242" s="13">
        <f>(+AE241-AE238)/AE238</f>
        <v>-0.09957318250473678</v>
      </c>
      <c r="AF242" s="13">
        <f>(+AF241-AF238)/AF238</f>
        <v>0</v>
      </c>
      <c r="AG242" s="13">
        <f>(+AG241-AG238)/AG238</f>
        <v>-0.09957317727714494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235726.15609678024</v>
      </c>
      <c r="D245" s="14">
        <f t="shared" si="0"/>
        <v>97026.3408311593</v>
      </c>
      <c r="E245" s="14">
        <f>SUM(C245:D245)</f>
        <v>332752.49692793953</v>
      </c>
      <c r="O245" s="11"/>
      <c r="P245" s="11" t="s">
        <v>325</v>
      </c>
      <c r="Q245" s="14">
        <f aca="true" t="shared" si="1" ref="Q245:R247">Q231+Q238</f>
        <v>245516.47596521108</v>
      </c>
      <c r="R245" s="14">
        <f t="shared" si="1"/>
        <v>98452.3972636703</v>
      </c>
      <c r="S245" s="14">
        <f>SUM(Q245:R245)</f>
        <v>343968.8732288814</v>
      </c>
      <c r="AC245" s="11"/>
      <c r="AD245" s="11" t="s">
        <v>325</v>
      </c>
      <c r="AE245" s="14">
        <f aca="true" t="shared" si="2" ref="AE245:AF247">AE231+AE238</f>
        <v>206355.19649148785</v>
      </c>
      <c r="AF245" s="14">
        <f t="shared" si="2"/>
        <v>92748.17153362633</v>
      </c>
      <c r="AG245" s="14">
        <f>SUM(AE245:AF245)</f>
        <v>299103.3680251142</v>
      </c>
    </row>
    <row r="246" spans="1:33" ht="12.75">
      <c r="A246" s="11"/>
      <c r="B246" s="11" t="s">
        <v>326</v>
      </c>
      <c r="C246" s="14">
        <f t="shared" si="0"/>
        <v>0</v>
      </c>
      <c r="D246" s="14">
        <f t="shared" si="0"/>
        <v>0</v>
      </c>
      <c r="E246" s="14"/>
      <c r="O246" s="11"/>
      <c r="P246" s="11" t="s">
        <v>326</v>
      </c>
      <c r="Q246" s="14">
        <f t="shared" si="1"/>
        <v>0</v>
      </c>
      <c r="R246" s="14">
        <f t="shared" si="1"/>
        <v>0</v>
      </c>
      <c r="S246" s="14"/>
      <c r="AC246" s="11"/>
      <c r="AD246" s="11" t="s">
        <v>326</v>
      </c>
      <c r="AE246" s="14">
        <f t="shared" si="2"/>
        <v>0</v>
      </c>
      <c r="AF246" s="14">
        <f t="shared" si="2"/>
        <v>0</v>
      </c>
      <c r="AG246" s="14"/>
    </row>
    <row r="247" spans="1:33" ht="12.75">
      <c r="A247" s="11"/>
      <c r="B247" s="11" t="s">
        <v>327</v>
      </c>
      <c r="C247" s="14">
        <f t="shared" si="0"/>
        <v>5236.963518565231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4720.62569376825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6372.641590168024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240963.11961534547</v>
      </c>
      <c r="D248" s="14">
        <f>D245+D246+D247</f>
        <v>97026.3408311593</v>
      </c>
      <c r="E248" s="14">
        <f>SUM(C248:D248)</f>
        <v>337989.46044650476</v>
      </c>
      <c r="O248" s="11"/>
      <c r="P248" s="11" t="s">
        <v>328</v>
      </c>
      <c r="Q248" s="14">
        <f>Q245+Q246+Q247</f>
        <v>250237.10165897934</v>
      </c>
      <c r="R248" s="14">
        <f>R245+R246+R247</f>
        <v>98452.3972636703</v>
      </c>
      <c r="S248" s="14">
        <f>SUM(Q248:R248)</f>
        <v>348689.49892264965</v>
      </c>
      <c r="AC248" s="11"/>
      <c r="AD248" s="11" t="s">
        <v>328</v>
      </c>
      <c r="AE248" s="14">
        <f>AE245+AE246+AE247</f>
        <v>212727.83808165588</v>
      </c>
      <c r="AF248" s="14">
        <f>AF245+AF246+AF247</f>
        <v>92748.17153362633</v>
      </c>
      <c r="AG248" s="14">
        <f>SUM(AE248:AF248)</f>
        <v>305476.0096152822</v>
      </c>
    </row>
    <row r="249" spans="1:33" ht="12.75">
      <c r="A249" s="11"/>
      <c r="B249" s="11" t="s">
        <v>293</v>
      </c>
      <c r="C249" s="13">
        <f>(+C248-C245)/C245</f>
        <v>0.022216302192681284</v>
      </c>
      <c r="D249" s="13">
        <f>D139</f>
        <v>0</v>
      </c>
      <c r="E249" s="13">
        <f>(+E248-E245)/E245</f>
        <v>0.01573831471413223</v>
      </c>
      <c r="O249" s="11"/>
      <c r="P249" s="11" t="s">
        <v>293</v>
      </c>
      <c r="Q249" s="13">
        <f>(+Q248-Q245)/Q245</f>
        <v>0.019227327515230222</v>
      </c>
      <c r="R249" s="13">
        <f>R139</f>
        <v>0</v>
      </c>
      <c r="S249" s="13">
        <f>(+S248-S245)/S245</f>
        <v>0.013723990922362027</v>
      </c>
      <c r="AC249" s="11"/>
      <c r="AD249" s="11" t="s">
        <v>293</v>
      </c>
      <c r="AE249" s="13">
        <f>(+AE248-AE245)/AE245</f>
        <v>0.030881905076865373</v>
      </c>
      <c r="AF249" s="13">
        <f>AF139</f>
        <v>0</v>
      </c>
      <c r="AG249" s="13">
        <f>(+AG248-AG245)/AG245</f>
        <v>0.021305816889473885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395</v>
      </c>
      <c r="E252" s="24" t="s">
        <v>40</v>
      </c>
      <c r="O252" s="11"/>
      <c r="P252" s="11"/>
      <c r="Q252" s="24" t="s">
        <v>92</v>
      </c>
      <c r="R252" s="24" t="s">
        <v>93</v>
      </c>
      <c r="S252" s="24" t="s">
        <v>40</v>
      </c>
      <c r="AC252" s="11"/>
      <c r="AD252" s="11"/>
      <c r="AE252" s="24" t="s">
        <v>92</v>
      </c>
      <c r="AF252" s="24" t="s">
        <v>93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26.53554567247294</v>
      </c>
      <c r="D255" s="33">
        <f>D81</f>
        <v>60</v>
      </c>
      <c r="E255" s="33"/>
      <c r="O255" s="11"/>
      <c r="P255" s="11" t="s">
        <v>333</v>
      </c>
      <c r="Q255" s="33">
        <f>Q81</f>
        <v>24.559343031850737</v>
      </c>
      <c r="R255" s="33">
        <f>R81</f>
        <v>60</v>
      </c>
      <c r="S255" s="33"/>
      <c r="AC255" s="11"/>
      <c r="AD255" s="11" t="s">
        <v>333</v>
      </c>
      <c r="AE255" s="33">
        <f>AE81</f>
        <v>34.50275656542668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13.273611368523035</v>
      </c>
      <c r="D259" s="33">
        <f>D144</f>
        <v>0</v>
      </c>
      <c r="E259" s="33"/>
      <c r="O259" s="11"/>
      <c r="P259" s="11" t="s">
        <v>333</v>
      </c>
      <c r="Q259" s="33">
        <f>Q144</f>
        <v>12.668918444771228</v>
      </c>
      <c r="R259" s="33">
        <f>R144</f>
        <v>0</v>
      </c>
      <c r="S259" s="33"/>
      <c r="AC259" s="11"/>
      <c r="AD259" s="11" t="s">
        <v>333</v>
      </c>
      <c r="AE259" s="33">
        <f>AE144</f>
        <v>15.064152694320908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12822.518282482424</v>
      </c>
      <c r="D262" s="37">
        <f t="shared" si="3"/>
        <v>39009.14044806463</v>
      </c>
      <c r="E262" s="37"/>
      <c r="O262" s="11"/>
      <c r="P262" s="11" t="s">
        <v>238</v>
      </c>
      <c r="Q262" s="37">
        <f aca="true" t="shared" si="4" ref="Q262:R266">Q167</f>
        <v>12603.209952366618</v>
      </c>
      <c r="R262" s="37">
        <f t="shared" si="4"/>
        <v>43941.64306975122</v>
      </c>
      <c r="S262" s="37"/>
      <c r="AC262" s="11"/>
      <c r="AD262" s="11" t="s">
        <v>238</v>
      </c>
      <c r="AE262" s="37">
        <f aca="true" t="shared" si="5" ref="AE262:AF266">AE167</f>
        <v>11531.174912690412</v>
      </c>
      <c r="AF262" s="37">
        <f t="shared" si="5"/>
        <v>24613.202526039997</v>
      </c>
      <c r="AG262" s="37"/>
    </row>
    <row r="263" spans="1:33" ht="12.75">
      <c r="A263" s="11"/>
      <c r="B263" s="11" t="s">
        <v>240</v>
      </c>
      <c r="C263" s="37">
        <f t="shared" si="3"/>
        <v>164.01427825542456</v>
      </c>
      <c r="D263" s="37">
        <f t="shared" si="3"/>
        <v>0</v>
      </c>
      <c r="E263" s="37"/>
      <c r="O263" s="11"/>
      <c r="P263" s="11" t="s">
        <v>240</v>
      </c>
      <c r="Q263" s="37">
        <f t="shared" si="4"/>
        <v>147.02326796585524</v>
      </c>
      <c r="R263" s="37">
        <f t="shared" si="4"/>
        <v>0</v>
      </c>
      <c r="S263" s="37"/>
      <c r="AC263" s="11"/>
      <c r="AD263" s="11" t="s">
        <v>240</v>
      </c>
      <c r="AE263" s="37">
        <f t="shared" si="5"/>
        <v>194.29279311053702</v>
      </c>
      <c r="AF263" s="37">
        <f t="shared" si="5"/>
        <v>0</v>
      </c>
      <c r="AG263" s="37"/>
    </row>
    <row r="264" spans="1:33" ht="12.75">
      <c r="A264" s="11"/>
      <c r="B264" s="11" t="s">
        <v>242</v>
      </c>
      <c r="C264" s="37">
        <f t="shared" si="3"/>
        <v>166.60497954360474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140.42860848269552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211.69431176010835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4085.8066670277576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4337.963608996334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3171.4917140040557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20.90991122466552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20.483947364698817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20.74497589557974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17259.854118533876</v>
      </c>
      <c r="D267" s="37">
        <f>D172</f>
        <v>39009.14044806463</v>
      </c>
      <c r="E267" s="37">
        <f>SUM(C267:D267)</f>
        <v>56268.99456659851</v>
      </c>
      <c r="O267" s="11"/>
      <c r="P267" s="11" t="s">
        <v>248</v>
      </c>
      <c r="Q267" s="37">
        <f>SUM(Q262:Q266)</f>
        <v>17249.1093851762</v>
      </c>
      <c r="R267" s="37">
        <f>R172</f>
        <v>43941.64306975122</v>
      </c>
      <c r="S267" s="37">
        <f>SUM(Q267:R267)</f>
        <v>61190.752454927424</v>
      </c>
      <c r="AC267" s="11"/>
      <c r="AD267" s="11" t="s">
        <v>248</v>
      </c>
      <c r="AE267" s="37">
        <f>SUM(AE262:AE266)</f>
        <v>15129.398707460692</v>
      </c>
      <c r="AF267" s="37">
        <f>AF172</f>
        <v>24613.202526039997</v>
      </c>
      <c r="AG267" s="37">
        <f>SUM(AE267:AF267)</f>
        <v>39742.60123350069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60/C255</f>
        <v>2.2611180015130397</v>
      </c>
      <c r="D271" s="33">
        <f>60/D255</f>
        <v>1</v>
      </c>
      <c r="E271" s="11"/>
      <c r="O271" s="11"/>
      <c r="P271" s="11" t="s">
        <v>335</v>
      </c>
      <c r="Q271" s="33">
        <f>60/Q255</f>
        <v>2.4430620934031775</v>
      </c>
      <c r="R271" s="33">
        <f>60/R255</f>
        <v>1</v>
      </c>
      <c r="S271" s="11"/>
      <c r="AC271" s="11"/>
      <c r="AD271" s="11" t="s">
        <v>335</v>
      </c>
      <c r="AE271" s="33">
        <f>60/AE255</f>
        <v>1.7389914885850806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1.2611180015130397</v>
      </c>
      <c r="E272" s="11"/>
      <c r="O272" s="11"/>
      <c r="P272" s="11" t="s">
        <v>385</v>
      </c>
      <c r="Q272" s="33"/>
      <c r="R272" s="33">
        <f>+Q271-R271</f>
        <v>1.4430620934031775</v>
      </c>
      <c r="S272" s="11"/>
      <c r="AC272" s="11"/>
      <c r="AD272" s="11" t="s">
        <v>385</v>
      </c>
      <c r="AE272" s="33"/>
      <c r="AF272" s="33">
        <f>+AE271-AF271</f>
        <v>0.7389914885850806</v>
      </c>
      <c r="AG272" s="11"/>
    </row>
    <row r="273" spans="1:33" ht="12.75">
      <c r="A273" s="11"/>
      <c r="B273" s="11" t="s">
        <v>461</v>
      </c>
      <c r="C273" s="33"/>
      <c r="D273" s="79">
        <f>+'Sensitivity Anal'!C18</f>
        <v>13</v>
      </c>
      <c r="E273" s="11"/>
      <c r="O273" s="11"/>
      <c r="P273" s="11" t="s">
        <v>461</v>
      </c>
      <c r="Q273" s="33"/>
      <c r="R273" s="79">
        <f>+D273</f>
        <v>13</v>
      </c>
      <c r="S273" s="11"/>
      <c r="AC273" s="11"/>
      <c r="AD273" s="11" t="s">
        <v>461</v>
      </c>
      <c r="AE273" s="33"/>
      <c r="AF273" s="79">
        <f>+D273</f>
        <v>13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0.2732422336611586</v>
      </c>
      <c r="E274" s="11"/>
      <c r="O274" s="11"/>
      <c r="P274" s="11" t="s">
        <v>336</v>
      </c>
      <c r="Q274" s="33"/>
      <c r="R274" s="38">
        <f>+R272*R273/60</f>
        <v>0.3126634535706884</v>
      </c>
      <c r="S274" s="11"/>
      <c r="AC274" s="11"/>
      <c r="AD274" s="11" t="s">
        <v>336</v>
      </c>
      <c r="AE274" s="33"/>
      <c r="AF274" s="38">
        <f>+AF272*AF273/60</f>
        <v>0.16011482252676748</v>
      </c>
      <c r="AG274" s="11"/>
    </row>
    <row r="275" spans="1:33" ht="12.75">
      <c r="A275" s="11"/>
      <c r="B275" s="11" t="s">
        <v>464</v>
      </c>
      <c r="C275" s="33"/>
      <c r="D275" s="30">
        <f>+'mode ch'!C135</f>
        <v>54220.47584854202</v>
      </c>
      <c r="E275" s="11"/>
      <c r="O275" s="11"/>
      <c r="P275" s="11" t="s">
        <v>464</v>
      </c>
      <c r="Q275" s="33"/>
      <c r="R275" s="30">
        <f>+'mode ch'!R135</f>
        <v>53854.82208493018</v>
      </c>
      <c r="S275" s="11"/>
      <c r="AC275" s="11"/>
      <c r="AD275" s="11" t="s">
        <v>464</v>
      </c>
      <c r="AE275" s="33"/>
      <c r="AF275" s="30">
        <f>+'mode ch'!AE135</f>
        <v>54270.98952677934</v>
      </c>
      <c r="AG275" s="11"/>
    </row>
    <row r="276" spans="1:33" ht="12.75">
      <c r="A276" s="11"/>
      <c r="B276" s="11" t="s">
        <v>465</v>
      </c>
      <c r="C276" s="33"/>
      <c r="D276" s="30">
        <f>+'mode ch'!C138</f>
        <v>42306.33802816901</v>
      </c>
      <c r="E276" s="11"/>
      <c r="O276" s="11"/>
      <c r="P276" s="11" t="s">
        <v>465</v>
      </c>
      <c r="Q276" s="33"/>
      <c r="R276" s="30">
        <f>+'mode ch'!R138</f>
        <v>43732.394366197186</v>
      </c>
      <c r="S276" s="11"/>
      <c r="AC276" s="11"/>
      <c r="AD276" s="11" t="s">
        <v>465</v>
      </c>
      <c r="AE276" s="33"/>
      <c r="AF276" s="30">
        <f>+'mode ch'!AE138</f>
        <v>38028.16901408451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26375.20223186744</v>
      </c>
      <c r="E277" s="11"/>
      <c r="O277" s="11"/>
      <c r="P277" s="11" t="s">
        <v>337</v>
      </c>
      <c r="Q277" s="33"/>
      <c r="R277" s="37">
        <f>+(R275+R276)*R274</f>
        <v>30511.956119959785</v>
      </c>
      <c r="S277" s="11"/>
      <c r="AC277" s="11"/>
      <c r="AD277" s="11" t="s">
        <v>337</v>
      </c>
      <c r="AE277" s="33"/>
      <c r="AF277" s="37">
        <f>+(AF275+AF276)*AF274</f>
        <v>14778.46338914039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237376.82008680695</v>
      </c>
      <c r="E279" s="11"/>
      <c r="O279" s="11"/>
      <c r="P279" s="11" t="s">
        <v>339</v>
      </c>
      <c r="Q279" s="33"/>
      <c r="R279" s="37">
        <f>+R278*R277</f>
        <v>183071.73671975872</v>
      </c>
      <c r="S279" s="11"/>
      <c r="AC279" s="11"/>
      <c r="AD279" s="11" t="s">
        <v>339</v>
      </c>
      <c r="AE279" s="33"/>
      <c r="AF279" s="37">
        <f>+AF278*AF277</f>
        <v>73892.31694570195</v>
      </c>
      <c r="AG279" s="11"/>
    </row>
    <row r="280" spans="1:33" ht="12.75">
      <c r="A280" s="11"/>
      <c r="B280" s="11" t="s">
        <v>480</v>
      </c>
      <c r="C280" s="33"/>
      <c r="D280" s="44">
        <v>250</v>
      </c>
      <c r="E280" s="11"/>
      <c r="O280" s="11"/>
      <c r="P280" s="11" t="s">
        <v>480</v>
      </c>
      <c r="Q280" s="33"/>
      <c r="R280" s="44">
        <v>250</v>
      </c>
      <c r="S280" s="11"/>
      <c r="AC280" s="11"/>
      <c r="AD280" s="11" t="s">
        <v>480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65278625.52387192</v>
      </c>
      <c r="E281" s="11"/>
      <c r="O281" s="11"/>
      <c r="P281" s="11" t="s">
        <v>467</v>
      </c>
      <c r="Q281" s="33"/>
      <c r="R281" s="37">
        <f>+R280*R279*1.1</f>
        <v>50344727.59793365</v>
      </c>
      <c r="S281" s="11"/>
      <c r="AC281" s="11"/>
      <c r="AD281" s="11" t="s">
        <v>467</v>
      </c>
      <c r="AE281" s="33"/>
      <c r="AF281" s="37">
        <f>+AF280*AF279*1.1</f>
        <v>20320387.16006804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1737482.6497807987</v>
      </c>
      <c r="E282" s="11"/>
      <c r="O282" s="11"/>
      <c r="P282" s="11" t="s">
        <v>466</v>
      </c>
      <c r="Q282" s="33"/>
      <c r="R282" s="45">
        <f>+(R275+R276)*250*1.2*6/5*0.1</f>
        <v>3513139.7922405857</v>
      </c>
      <c r="S282" s="11"/>
      <c r="AC282" s="11"/>
      <c r="AD282" s="11" t="s">
        <v>466</v>
      </c>
      <c r="AE282" s="33"/>
      <c r="AF282" s="45">
        <f>+(AF275+AF276)*250*1.2*5/5*0.1</f>
        <v>2768974.7562259156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 hidden="1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14">
        <f>+E248-C12</f>
        <v>4300.142264686583</v>
      </c>
      <c r="O287" s="11"/>
      <c r="P287" s="11" t="s">
        <v>343</v>
      </c>
      <c r="Q287" s="14"/>
      <c r="R287" s="14"/>
      <c r="S287" s="14">
        <f>+S248-Q12</f>
        <v>3752.2261953769485</v>
      </c>
      <c r="AC287" s="11"/>
      <c r="AD287" s="11" t="s">
        <v>343</v>
      </c>
      <c r="AE287" s="14"/>
      <c r="AF287" s="14"/>
      <c r="AG287" s="14">
        <f>+AG248-AE12</f>
        <v>5530.555069827649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258.008535881195</v>
      </c>
      <c r="O291" s="11"/>
      <c r="P291" s="11" t="s">
        <v>598</v>
      </c>
      <c r="Q291" s="37"/>
      <c r="R291" s="37"/>
      <c r="S291" s="67">
        <f>+S287*S288</f>
        <v>225.1335717226169</v>
      </c>
      <c r="AC291" s="11"/>
      <c r="AD291" s="11" t="s">
        <v>598</v>
      </c>
      <c r="AE291" s="37"/>
      <c r="AF291" s="37"/>
      <c r="AG291" s="67">
        <f>+AG287*AG288</f>
        <v>331.8333041896589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395</v>
      </c>
      <c r="E295" s="24" t="s">
        <v>40</v>
      </c>
      <c r="O295" s="11"/>
      <c r="P295" s="11"/>
      <c r="Q295" s="24" t="s">
        <v>92</v>
      </c>
      <c r="R295" s="24" t="s">
        <v>395</v>
      </c>
      <c r="S295" s="24" t="s">
        <v>40</v>
      </c>
      <c r="AC295" s="11"/>
      <c r="AD295" s="11"/>
      <c r="AE295" s="24" t="s">
        <v>92</v>
      </c>
      <c r="AF295" s="24" t="s">
        <v>395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17259.854118533876</v>
      </c>
      <c r="D297" s="37">
        <f>+D267</f>
        <v>39009.14044806463</v>
      </c>
      <c r="E297" s="37">
        <f>SUM(C297:D297)</f>
        <v>56268.99456659851</v>
      </c>
      <c r="O297" s="26"/>
      <c r="P297" s="11" t="s">
        <v>349</v>
      </c>
      <c r="Q297" s="37">
        <f>+Q267</f>
        <v>17249.1093851762</v>
      </c>
      <c r="R297" s="37">
        <f>+R267</f>
        <v>43941.64306975122</v>
      </c>
      <c r="S297" s="37">
        <f>+S267</f>
        <v>61190.752454927424</v>
      </c>
      <c r="AC297" s="26"/>
      <c r="AD297" s="11" t="s">
        <v>349</v>
      </c>
      <c r="AE297" s="37">
        <f>+AE267</f>
        <v>15129.398707460692</v>
      </c>
      <c r="AF297" s="37">
        <f>+AF267</f>
        <v>24613.202526039997</v>
      </c>
      <c r="AG297" s="37">
        <f>+AG267</f>
        <v>39742.60123350069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6902.686382887173</v>
      </c>
      <c r="D303" s="37">
        <f>+D297*D302</f>
        <v>15600.819145385783</v>
      </c>
      <c r="E303" s="37">
        <f>SUM(C303:D303)</f>
        <v>22503.505528272955</v>
      </c>
      <c r="F303" s="75">
        <f>SUM(C303:D303)</f>
        <v>22503.505528272955</v>
      </c>
      <c r="O303" s="26"/>
      <c r="P303" s="11" t="s">
        <v>594</v>
      </c>
      <c r="Q303" s="37">
        <f>+Q297*Q302</f>
        <v>6898.389270980756</v>
      </c>
      <c r="R303" s="37">
        <f>+R297*R302</f>
        <v>17573.461465908676</v>
      </c>
      <c r="S303" s="37">
        <f>SUM(Q303:R303)</f>
        <v>24471.85073688943</v>
      </c>
      <c r="AC303" s="26"/>
      <c r="AD303" s="11" t="s">
        <v>594</v>
      </c>
      <c r="AE303" s="37">
        <f>+AE297*AE302</f>
        <v>6050.659160966926</v>
      </c>
      <c r="AF303" s="37">
        <f>+AF297*AF302</f>
        <v>9843.490955888348</v>
      </c>
      <c r="AG303" s="37">
        <f>SUM(AE303:AF303)</f>
        <v>15894.150116855275</v>
      </c>
    </row>
    <row r="304" spans="1:33" ht="12.75">
      <c r="A304" s="11"/>
      <c r="B304" s="11" t="s">
        <v>351</v>
      </c>
      <c r="C304" s="37">
        <f>C297+C303</f>
        <v>24162.54050142105</v>
      </c>
      <c r="D304" s="37">
        <f>D297+D303</f>
        <v>54609.95959345042</v>
      </c>
      <c r="E304" s="37">
        <f>SUM(C304:D304)</f>
        <v>78772.50009487147</v>
      </c>
      <c r="O304" s="11"/>
      <c r="P304" s="11" t="s">
        <v>351</v>
      </c>
      <c r="Q304" s="37">
        <f>Q297+Q303</f>
        <v>24147.498656156957</v>
      </c>
      <c r="R304" s="37">
        <f>R297+R303</f>
        <v>61515.10453565989</v>
      </c>
      <c r="S304" s="37">
        <f>SUM(Q304:R304)</f>
        <v>85662.60319181684</v>
      </c>
      <c r="AC304" s="11"/>
      <c r="AD304" s="11" t="s">
        <v>351</v>
      </c>
      <c r="AE304" s="37">
        <f>AE297+AE303</f>
        <v>21180.05786842762</v>
      </c>
      <c r="AF304" s="37">
        <f>AF297+AF303</f>
        <v>34456.69348192835</v>
      </c>
      <c r="AG304" s="37">
        <f>SUM(AE304:AF304)</f>
        <v>55636.75135035597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>
        <f>+C291</f>
        <v>0</v>
      </c>
      <c r="D306" s="37">
        <f>+D291</f>
        <v>0</v>
      </c>
      <c r="E306" s="37">
        <f>+E291</f>
        <v>258.008535881195</v>
      </c>
      <c r="O306" s="11"/>
      <c r="P306" s="11" t="s">
        <v>352</v>
      </c>
      <c r="Q306" s="37">
        <f>+Q291</f>
        <v>0</v>
      </c>
      <c r="R306" s="37">
        <f>+R291</f>
        <v>0</v>
      </c>
      <c r="S306" s="37">
        <f>+S291</f>
        <v>225.1335717226169</v>
      </c>
      <c r="AC306" s="11"/>
      <c r="AD306" s="11" t="s">
        <v>352</v>
      </c>
      <c r="AE306" s="37">
        <f>+AE291</f>
        <v>0</v>
      </c>
      <c r="AF306" s="37">
        <f>+AF291</f>
        <v>0</v>
      </c>
      <c r="AG306" s="37">
        <f>+AG291</f>
        <v>331.8333041896589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24162.54050142105</v>
      </c>
      <c r="D308" s="37">
        <f>D304-D306</f>
        <v>54609.95959345042</v>
      </c>
      <c r="E308" s="37">
        <f>+E304-E306</f>
        <v>78514.49155899028</v>
      </c>
      <c r="O308" s="11"/>
      <c r="P308" s="11" t="s">
        <v>353</v>
      </c>
      <c r="Q308" s="37">
        <f>Q304-Q306</f>
        <v>24147.498656156957</v>
      </c>
      <c r="R308" s="37">
        <f>R304-R306</f>
        <v>61515.10453565989</v>
      </c>
      <c r="S308" s="37">
        <f>+S304-S306</f>
        <v>85437.46962009423</v>
      </c>
      <c r="AC308" s="11"/>
      <c r="AD308" s="11" t="s">
        <v>353</v>
      </c>
      <c r="AE308" s="37">
        <f>AE304-AE306</f>
        <v>21180.05786842762</v>
      </c>
      <c r="AF308" s="37">
        <f>AF304-AF306</f>
        <v>34456.69348192835</v>
      </c>
      <c r="AG308" s="37">
        <f>+AG304-AG306</f>
        <v>55304.918046166305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6040635.125355262</v>
      </c>
      <c r="D310" s="37">
        <f>+D308*D309</f>
        <v>13652489.898362605</v>
      </c>
      <c r="E310" s="37">
        <f>+E308*E309</f>
        <v>19628622.88974757</v>
      </c>
      <c r="O310" s="11"/>
      <c r="P310" s="11" t="s">
        <v>355</v>
      </c>
      <c r="Q310" s="37">
        <f>+Q308*Q309</f>
        <v>6036874.664039239</v>
      </c>
      <c r="R310" s="37">
        <f>+R308*R309</f>
        <v>15378776.133914974</v>
      </c>
      <c r="S310" s="37">
        <f>+S308*S309</f>
        <v>21359367.405023556</v>
      </c>
      <c r="AC310" s="11"/>
      <c r="AD310" s="11" t="s">
        <v>355</v>
      </c>
      <c r="AE310" s="37">
        <f>+AE308*AE309</f>
        <v>5295014.467106905</v>
      </c>
      <c r="AF310" s="37">
        <f>+AF308*AF309</f>
        <v>8614173.370482087</v>
      </c>
      <c r="AG310" s="37">
        <f>+AG308*AG309</f>
        <v>13826229.511541577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504</v>
      </c>
      <c r="Q311" s="47">
        <v>12.409</v>
      </c>
      <c r="R311" s="47">
        <v>12.409</v>
      </c>
      <c r="S311" s="47">
        <v>12.409</v>
      </c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74.95824127053346</v>
      </c>
      <c r="D312" s="38">
        <f>+D310*D311/1000000</f>
        <v>169.41374714878157</v>
      </c>
      <c r="E312" s="38">
        <f>+E310*E311/1000000</f>
        <v>243.57158143887762</v>
      </c>
      <c r="O312" s="11"/>
      <c r="P312" s="11" t="s">
        <v>505</v>
      </c>
      <c r="Q312" s="38">
        <f>+Q310*Q311/1000000</f>
        <v>74.91157770606293</v>
      </c>
      <c r="R312" s="38">
        <f>+R310*R311/1000000</f>
        <v>190.83523304575093</v>
      </c>
      <c r="S312" s="38">
        <f>+S310*S311/1000000</f>
        <v>265.04839012893734</v>
      </c>
      <c r="AC312" s="11"/>
      <c r="AD312" s="11" t="s">
        <v>505</v>
      </c>
      <c r="AE312" s="38">
        <f>+AE310*AE311/1000000</f>
        <v>65.70583452232958</v>
      </c>
      <c r="AF312" s="38">
        <f>+AF310*AF311/1000000</f>
        <v>106.89327735431223</v>
      </c>
      <c r="AG312" s="38">
        <f>+AG310*AG311/1000000</f>
        <v>171.56968200871944</v>
      </c>
    </row>
    <row r="313" spans="1:5" ht="12.75">
      <c r="A313" s="26"/>
      <c r="B313" s="11"/>
      <c r="C313" s="37"/>
      <c r="D313" s="37"/>
      <c r="E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</sheetData>
  <printOptions/>
  <pageMargins left="0.75" right="0.75" top="1" bottom="1" header="0.5" footer="0.5"/>
  <pageSetup fitToHeight="0" fitToWidth="1" horizontalDpi="600" verticalDpi="600" orientation="portrait" scale="84" r:id="rId1"/>
  <rowBreaks count="4" manualBreakCount="4">
    <brk id="58" max="255" man="1"/>
    <brk id="109" max="255" man="1"/>
    <brk id="164" max="255" man="1"/>
    <brk id="2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1"/>
  <sheetViews>
    <sheetView view="pageBreakPreview" zoomScale="60" zoomScaleNormal="75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52.8515625" style="0" customWidth="1"/>
    <col min="3" max="3" width="18.8515625" style="0" customWidth="1"/>
    <col min="4" max="4" width="15.57421875" style="0" customWidth="1"/>
    <col min="5" max="5" width="17.00390625" style="0" customWidth="1"/>
    <col min="6" max="6" width="4.8515625" style="0" customWidth="1"/>
    <col min="7" max="7" width="2.00390625" style="0" customWidth="1"/>
    <col min="8" max="8" width="3.7109375" style="0" customWidth="1"/>
    <col min="9" max="9" width="2.28125" style="0" customWidth="1"/>
    <col min="10" max="10" width="2.7109375" style="0" customWidth="1"/>
    <col min="11" max="11" width="4.421875" style="0" customWidth="1"/>
    <col min="12" max="12" width="3.421875" style="0" customWidth="1"/>
    <col min="13" max="13" width="4.57421875" style="0" customWidth="1"/>
    <col min="14" max="14" width="3.421875" style="0" customWidth="1"/>
    <col min="15" max="15" width="4.8515625" style="0" customWidth="1"/>
    <col min="16" max="16" width="43.140625" style="0" customWidth="1"/>
    <col min="17" max="17" width="14.8515625" style="0" customWidth="1"/>
    <col min="18" max="18" width="19.140625" style="0" customWidth="1"/>
    <col min="19" max="19" width="12.57421875" style="0" customWidth="1"/>
    <col min="20" max="20" width="4.421875" style="0" customWidth="1"/>
    <col min="21" max="22" width="5.28125" style="0" customWidth="1"/>
    <col min="23" max="23" width="4.8515625" style="0" customWidth="1"/>
    <col min="24" max="24" width="5.140625" style="0" customWidth="1"/>
    <col min="25" max="25" width="4.57421875" style="0" customWidth="1"/>
    <col min="26" max="26" width="4.140625" style="0" customWidth="1"/>
    <col min="27" max="27" width="4.57421875" style="0" customWidth="1"/>
    <col min="28" max="28" width="2.7109375" style="0" customWidth="1"/>
    <col min="29" max="29" width="5.57421875" style="0" customWidth="1"/>
    <col min="30" max="30" width="49.8515625" style="0" customWidth="1"/>
    <col min="31" max="31" width="16.421875" style="0" customWidth="1"/>
    <col min="32" max="32" width="18.57421875" style="0" customWidth="1"/>
    <col min="33" max="33" width="13.14062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369</v>
      </c>
      <c r="B3" s="17"/>
      <c r="C3" s="18"/>
      <c r="D3" s="21"/>
      <c r="E3" s="21"/>
      <c r="O3" s="17" t="s">
        <v>369</v>
      </c>
      <c r="P3" s="17"/>
      <c r="Q3" s="18"/>
      <c r="R3" s="21"/>
      <c r="S3" s="21"/>
      <c r="AC3" s="17" t="s">
        <v>369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+'alt 1'!C7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463</v>
      </c>
      <c r="D39" s="21"/>
      <c r="E39" s="21"/>
      <c r="O39" s="11"/>
      <c r="P39" s="11"/>
      <c r="Q39" s="21" t="s">
        <v>462</v>
      </c>
      <c r="R39" s="21"/>
      <c r="S39" s="21"/>
      <c r="AC39" s="11"/>
      <c r="AD39" s="11"/>
      <c r="AE39" s="21" t="s">
        <v>462</v>
      </c>
      <c r="AF39" s="21"/>
      <c r="AG39" s="21"/>
    </row>
    <row r="40" spans="1:33" ht="12.75">
      <c r="A40" s="11"/>
      <c r="B40" s="11"/>
      <c r="C40" s="24" t="s">
        <v>92</v>
      </c>
      <c r="D40" s="24" t="s">
        <v>395</v>
      </c>
      <c r="E40" s="24" t="s">
        <v>40</v>
      </c>
      <c r="O40" s="11"/>
      <c r="P40" s="11"/>
      <c r="Q40" s="24" t="s">
        <v>92</v>
      </c>
      <c r="R40" s="24" t="s">
        <v>395</v>
      </c>
      <c r="S40" s="24" t="s">
        <v>40</v>
      </c>
      <c r="AC40" s="11"/>
      <c r="AD40" s="11"/>
      <c r="AE40" s="24" t="s">
        <v>92</v>
      </c>
      <c r="AF40" s="24" t="s">
        <v>395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176538.00771354104</v>
      </c>
      <c r="D43" s="30">
        <f>+'mode ch'!D139</f>
        <v>97026.338028169</v>
      </c>
      <c r="E43" s="30">
        <f>+'mode ch'!D129</f>
        <v>273564.34574171004</v>
      </c>
      <c r="O43" s="11" t="s">
        <v>96</v>
      </c>
      <c r="P43" s="11" t="s">
        <v>365</v>
      </c>
      <c r="Q43" s="30">
        <f>+S43-R43</f>
        <v>184333.22145669418</v>
      </c>
      <c r="R43" s="30">
        <f>+'mode ch'!R139</f>
        <v>98452.39436619719</v>
      </c>
      <c r="S43" s="30">
        <f>+'mode ch'!R129</f>
        <v>282785.61582289136</v>
      </c>
      <c r="AC43" s="11" t="s">
        <v>96</v>
      </c>
      <c r="AD43" s="11" t="s">
        <v>365</v>
      </c>
      <c r="AE43" s="30">
        <f>+AG43-AF43</f>
        <v>153152.3664840818</v>
      </c>
      <c r="AF43" s="30">
        <f>+'mode ch'!AF139</f>
        <v>92748.1690140845</v>
      </c>
      <c r="AG43" s="30">
        <f>+'mode ch'!AF129</f>
        <v>245900.5354981663</v>
      </c>
    </row>
    <row r="44" spans="1:33" ht="10.5" customHeight="1">
      <c r="A44" s="11" t="s">
        <v>97</v>
      </c>
      <c r="B44" s="11" t="s">
        <v>98</v>
      </c>
      <c r="C44" s="30">
        <f>+'mode ch'!D112</f>
        <v>13860</v>
      </c>
      <c r="D44" s="30">
        <f>+'mode ch'!D111</f>
        <v>9120</v>
      </c>
      <c r="E44" s="14"/>
      <c r="O44" s="11" t="s">
        <v>97</v>
      </c>
      <c r="P44" s="11" t="s">
        <v>98</v>
      </c>
      <c r="Q44" s="30">
        <f>+'mode ch'!R112</f>
        <v>13860</v>
      </c>
      <c r="R44" s="30">
        <f>+'mode ch'!R111</f>
        <v>9120</v>
      </c>
      <c r="S44" s="14"/>
      <c r="AC44" s="11" t="s">
        <v>97</v>
      </c>
      <c r="AD44" s="11" t="s">
        <v>98</v>
      </c>
      <c r="AE44" s="30">
        <f>+'mode ch'!AF112</f>
        <v>13860</v>
      </c>
      <c r="AF44" s="30">
        <f>+'mode ch'!AF111</f>
        <v>9120</v>
      </c>
      <c r="AG44" s="14"/>
    </row>
    <row r="45" spans="1:33" ht="12.75">
      <c r="A45" s="11" t="s">
        <v>99</v>
      </c>
      <c r="B45" s="11" t="s">
        <v>65</v>
      </c>
      <c r="C45" s="14">
        <f>C43/C44</f>
        <v>12.73722999376198</v>
      </c>
      <c r="D45" s="14"/>
      <c r="E45" s="14"/>
      <c r="O45" s="11" t="s">
        <v>99</v>
      </c>
      <c r="P45" s="11" t="s">
        <v>65</v>
      </c>
      <c r="Q45" s="14">
        <f>Q43/Q44</f>
        <v>13.299655227755713</v>
      </c>
      <c r="R45" s="14"/>
      <c r="S45" s="14"/>
      <c r="AC45" s="11" t="s">
        <v>99</v>
      </c>
      <c r="AD45" s="11" t="s">
        <v>65</v>
      </c>
      <c r="AE45" s="14">
        <f>AE43/AE44</f>
        <v>11.049954291780795</v>
      </c>
      <c r="AF45" s="14"/>
      <c r="AG45" s="14"/>
    </row>
    <row r="46" spans="1:33" ht="12.75">
      <c r="A46" s="11" t="s">
        <v>100</v>
      </c>
      <c r="B46" s="11" t="s">
        <v>67</v>
      </c>
      <c r="C46" s="14">
        <f>C44</f>
        <v>13860</v>
      </c>
      <c r="D46" s="14"/>
      <c r="E46" s="14"/>
      <c r="O46" s="11" t="s">
        <v>100</v>
      </c>
      <c r="P46" s="11" t="s">
        <v>67</v>
      </c>
      <c r="Q46" s="14">
        <f>Q44</f>
        <v>13860</v>
      </c>
      <c r="R46" s="14"/>
      <c r="S46" s="14"/>
      <c r="AC46" s="11" t="s">
        <v>100</v>
      </c>
      <c r="AD46" s="11" t="s">
        <v>67</v>
      </c>
      <c r="AE46" s="14">
        <f>AE44</f>
        <v>13860</v>
      </c>
      <c r="AF46" s="14"/>
      <c r="AG46" s="14"/>
    </row>
    <row r="47" spans="1:33" ht="12.75">
      <c r="A47" s="11" t="s">
        <v>101</v>
      </c>
      <c r="B47" s="11" t="s">
        <v>69</v>
      </c>
      <c r="C47" s="31">
        <f>0.0551483782*(C45)^3-0.0189486676*(C45)^4+0.0023287974*((C45)^5)-(0.0001133801*((C45)^6))+(0.0000018954*((C45)^7))</f>
        <v>14.891272871095865</v>
      </c>
      <c r="D47" s="31"/>
      <c r="E47" s="31"/>
      <c r="O47" s="11" t="s">
        <v>101</v>
      </c>
      <c r="P47" s="11" t="s">
        <v>69</v>
      </c>
      <c r="Q47" s="31">
        <f>0.0551483782*(Q45)^3-0.0189486676*(Q45)^4+0.0023287974*((Q45)^5)-(0.0001133801*((Q45)^6))+(0.0000018954*((Q45)^7))</f>
        <v>17.96528142639164</v>
      </c>
      <c r="R47" s="31"/>
      <c r="S47" s="31"/>
      <c r="AC47" s="11" t="s">
        <v>101</v>
      </c>
      <c r="AD47" s="11" t="s">
        <v>69</v>
      </c>
      <c r="AE47" s="31">
        <f>0.0551483782*(AE45)^3-0.0189486676*(AE45)^4+0.0023287974*((AE45)^5)-(0.0001133801*((AE45)^6))+(0.0000018954*((AE45)^7))</f>
        <v>7.285708736343025</v>
      </c>
      <c r="AF47" s="31"/>
      <c r="AG47" s="31"/>
    </row>
    <row r="48" spans="1:33" ht="12.75">
      <c r="A48" s="11" t="s">
        <v>102</v>
      </c>
      <c r="B48" s="11" t="s">
        <v>71</v>
      </c>
      <c r="C48" s="31">
        <f>1/((1/60)+C47/1000)</f>
        <v>31.68774687597682</v>
      </c>
      <c r="D48" s="31"/>
      <c r="E48" s="31"/>
      <c r="O48" s="11" t="s">
        <v>102</v>
      </c>
      <c r="P48" s="11" t="s">
        <v>71</v>
      </c>
      <c r="Q48" s="31">
        <f>1/((1/60)+Q47/1000)</f>
        <v>28.87507215340398</v>
      </c>
      <c r="R48" s="31"/>
      <c r="S48" s="31"/>
      <c r="AC48" s="11" t="s">
        <v>102</v>
      </c>
      <c r="AD48" s="11" t="s">
        <v>71</v>
      </c>
      <c r="AE48" s="31">
        <f>1/((1/60)+AE47/1000)</f>
        <v>41.74951265478023</v>
      </c>
      <c r="AF48" s="31"/>
      <c r="AG48" s="31"/>
    </row>
    <row r="49" spans="1:33" ht="12.75">
      <c r="A49" s="11" t="s">
        <v>103</v>
      </c>
      <c r="B49" s="11" t="s">
        <v>73</v>
      </c>
      <c r="C49" s="14">
        <f>(1/C48)*C15</f>
        <v>8845.659755166378</v>
      </c>
      <c r="D49" s="14"/>
      <c r="E49" s="14"/>
      <c r="O49" s="11" t="s">
        <v>103</v>
      </c>
      <c r="P49" s="11" t="s">
        <v>73</v>
      </c>
      <c r="Q49" s="14">
        <f>(1/Q48)*Q15</f>
        <v>10034.513768539684</v>
      </c>
      <c r="R49" s="14"/>
      <c r="S49" s="14"/>
      <c r="AC49" s="11" t="s">
        <v>103</v>
      </c>
      <c r="AD49" s="11" t="s">
        <v>73</v>
      </c>
      <c r="AE49" s="14">
        <f>(1/AE48)*AE15</f>
        <v>6034.90114726725</v>
      </c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>
        <f>+C19/C28</f>
        <v>1.1075949367088607</v>
      </c>
      <c r="D51" s="14"/>
      <c r="E51" s="14"/>
      <c r="O51" s="11"/>
      <c r="P51" s="11" t="s">
        <v>402</v>
      </c>
      <c r="Q51" s="31">
        <f>+Q19/Q28</f>
        <v>1.1075949367088607</v>
      </c>
      <c r="R51" s="14"/>
      <c r="S51" s="14"/>
      <c r="AC51" s="11"/>
      <c r="AD51" s="11" t="s">
        <v>402</v>
      </c>
      <c r="AE51" s="31">
        <f>+AE19/AE28</f>
        <v>1.1075949367088604</v>
      </c>
      <c r="AF51" s="14"/>
      <c r="AG51" s="14"/>
    </row>
    <row r="52" spans="1:33" ht="12.75">
      <c r="A52" s="11"/>
      <c r="B52" s="11" t="s">
        <v>403</v>
      </c>
      <c r="C52" s="14">
        <f>+C44*C16*C51</f>
        <v>819608548.1012659</v>
      </c>
      <c r="D52" s="14"/>
      <c r="E52" s="14"/>
      <c r="O52" s="11"/>
      <c r="P52" s="11" t="s">
        <v>403</v>
      </c>
      <c r="Q52" s="14">
        <f>+Q44*Q16*Q51</f>
        <v>847235802.5316457</v>
      </c>
      <c r="R52" s="14"/>
      <c r="S52" s="14"/>
      <c r="AC52" s="11"/>
      <c r="AD52" s="11" t="s">
        <v>403</v>
      </c>
      <c r="AE52" s="14">
        <f>+AE44*AE16*AE51</f>
        <v>736726784.8101265</v>
      </c>
      <c r="AF52" s="14"/>
      <c r="AG52" s="14"/>
    </row>
    <row r="53" spans="1:33" ht="12.75">
      <c r="A53" s="11"/>
      <c r="B53" s="11" t="s">
        <v>472</v>
      </c>
      <c r="C53" s="14">
        <f>+C43*C29</f>
        <v>706152030.8541641</v>
      </c>
      <c r="D53" s="14"/>
      <c r="E53" s="14"/>
      <c r="O53" s="11"/>
      <c r="P53" s="11" t="s">
        <v>472</v>
      </c>
      <c r="Q53" s="14">
        <f>+Q43*Q29</f>
        <v>737332885.8267767</v>
      </c>
      <c r="R53" s="14"/>
      <c r="S53" s="14"/>
      <c r="AC53" s="11"/>
      <c r="AD53" s="11" t="s">
        <v>404</v>
      </c>
      <c r="AE53" s="14">
        <f>+AE43*AE29</f>
        <v>612609465.9363272</v>
      </c>
      <c r="AF53" s="14"/>
      <c r="AG53" s="14"/>
    </row>
    <row r="54" spans="1:33" ht="12.75">
      <c r="A54" s="11"/>
      <c r="B54" s="11" t="s">
        <v>405</v>
      </c>
      <c r="C54" s="14">
        <f>+C52-C53</f>
        <v>113456517.24710178</v>
      </c>
      <c r="D54" s="14"/>
      <c r="E54" s="14"/>
      <c r="O54" s="11"/>
      <c r="P54" s="11" t="s">
        <v>405</v>
      </c>
      <c r="Q54" s="14">
        <f>+Q52-Q53</f>
        <v>109902916.70486891</v>
      </c>
      <c r="R54" s="14"/>
      <c r="S54" s="14"/>
      <c r="AC54" s="11"/>
      <c r="AD54" s="11" t="s">
        <v>405</v>
      </c>
      <c r="AE54" s="14">
        <f>+AE52-AE53</f>
        <v>124117318.87379932</v>
      </c>
      <c r="AF54" s="14"/>
      <c r="AG54" s="14"/>
    </row>
    <row r="55" spans="1:33" ht="12.75">
      <c r="A55" s="11"/>
      <c r="B55" s="11" t="s">
        <v>406</v>
      </c>
      <c r="C55" s="14">
        <f>+C44*C51</f>
        <v>15351.26582278481</v>
      </c>
      <c r="D55" s="14"/>
      <c r="E55" s="14"/>
      <c r="O55" s="11"/>
      <c r="P55" s="11" t="s">
        <v>406</v>
      </c>
      <c r="Q55" s="14">
        <f>+Q44*Q51</f>
        <v>15351.26582278481</v>
      </c>
      <c r="R55" s="14"/>
      <c r="S55" s="14"/>
      <c r="AC55" s="11"/>
      <c r="AD55" s="11" t="s">
        <v>406</v>
      </c>
      <c r="AE55" s="14">
        <f>+AE44*AE51</f>
        <v>15351.265822784806</v>
      </c>
      <c r="AF55" s="14"/>
      <c r="AG55" s="14"/>
    </row>
    <row r="56" spans="1:33" ht="12.75">
      <c r="A56" s="11"/>
      <c r="B56" s="11" t="s">
        <v>407</v>
      </c>
      <c r="C56" s="14">
        <f>+C29</f>
        <v>4000</v>
      </c>
      <c r="D56" s="14"/>
      <c r="E56" s="14"/>
      <c r="O56" s="11"/>
      <c r="P56" s="11" t="s">
        <v>407</v>
      </c>
      <c r="Q56" s="14">
        <f>+Q29</f>
        <v>4000</v>
      </c>
      <c r="R56" s="14"/>
      <c r="S56" s="14"/>
      <c r="AC56" s="11"/>
      <c r="AD56" s="11" t="s">
        <v>407</v>
      </c>
      <c r="AE56" s="14">
        <f>+AE29</f>
        <v>4000</v>
      </c>
      <c r="AF56" s="14"/>
      <c r="AG56" s="14"/>
    </row>
    <row r="57" spans="1:33" ht="12.75">
      <c r="A57" s="11"/>
      <c r="B57" s="11" t="s">
        <v>408</v>
      </c>
      <c r="C57" s="14">
        <f>SUM(C55:C56)</f>
        <v>19351.265822784808</v>
      </c>
      <c r="D57" s="14"/>
      <c r="E57" s="14"/>
      <c r="O57" s="11"/>
      <c r="P57" s="11" t="s">
        <v>408</v>
      </c>
      <c r="Q57" s="14">
        <f>SUM(Q55:Q56)</f>
        <v>19351.265822784808</v>
      </c>
      <c r="R57" s="14"/>
      <c r="S57" s="14"/>
      <c r="AC57" s="11"/>
      <c r="AD57" s="11" t="s">
        <v>408</v>
      </c>
      <c r="AE57" s="14">
        <f>SUM(AE55:AE56)</f>
        <v>19351.265822784808</v>
      </c>
      <c r="AF57" s="14"/>
      <c r="AG57" s="14"/>
    </row>
    <row r="58" spans="1:33" ht="12.75">
      <c r="A58" s="11" t="s">
        <v>104</v>
      </c>
      <c r="B58" s="11" t="s">
        <v>105</v>
      </c>
      <c r="C58" s="14">
        <f>+C54/C57</f>
        <v>5863.002363055465</v>
      </c>
      <c r="D58" s="14">
        <v>0</v>
      </c>
      <c r="E58" s="14"/>
      <c r="O58" s="11" t="s">
        <v>104</v>
      </c>
      <c r="P58" s="11" t="s">
        <v>105</v>
      </c>
      <c r="Q58" s="14">
        <f>+Q54/Q57</f>
        <v>5679.365769213177</v>
      </c>
      <c r="R58" s="14">
        <v>0</v>
      </c>
      <c r="S58" s="14"/>
      <c r="AC58" s="11" t="s">
        <v>104</v>
      </c>
      <c r="AD58" s="11" t="s">
        <v>105</v>
      </c>
      <c r="AE58" s="14">
        <f>+AE54/AE57</f>
        <v>6413.912144582272</v>
      </c>
      <c r="AF58" s="14">
        <v>0</v>
      </c>
      <c r="AG58" s="14"/>
    </row>
    <row r="59" spans="1:33" ht="12.75">
      <c r="A59" s="11" t="s">
        <v>106</v>
      </c>
      <c r="B59" s="11" t="s">
        <v>107</v>
      </c>
      <c r="C59" s="14">
        <f>+C43+C58</f>
        <v>182401.01007659652</v>
      </c>
      <c r="D59" s="14">
        <f>D43+D58</f>
        <v>97026.338028169</v>
      </c>
      <c r="E59" s="14"/>
      <c r="O59" s="11" t="s">
        <v>106</v>
      </c>
      <c r="P59" s="11" t="s">
        <v>107</v>
      </c>
      <c r="Q59" s="14">
        <f>+Q43+Q58</f>
        <v>190012.58722590737</v>
      </c>
      <c r="R59" s="14">
        <f>R43+R58</f>
        <v>98452.39436619719</v>
      </c>
      <c r="S59" s="14"/>
      <c r="AC59" s="11" t="s">
        <v>106</v>
      </c>
      <c r="AD59" s="11" t="s">
        <v>107</v>
      </c>
      <c r="AE59" s="14">
        <f>+AE43+AE58</f>
        <v>159566.2786286641</v>
      </c>
      <c r="AF59" s="14">
        <f>AF43+AF58</f>
        <v>92748.1690140845</v>
      </c>
      <c r="AG59" s="14"/>
    </row>
    <row r="60" spans="1:33" ht="12.75">
      <c r="A60" s="11" t="s">
        <v>108</v>
      </c>
      <c r="B60" s="11" t="s">
        <v>109</v>
      </c>
      <c r="C60" s="31">
        <f>C59/C44</f>
        <v>13.160246037272476</v>
      </c>
      <c r="D60" s="31"/>
      <c r="E60" s="31"/>
      <c r="O60" s="11" t="s">
        <v>108</v>
      </c>
      <c r="P60" s="11" t="s">
        <v>109</v>
      </c>
      <c r="Q60" s="31">
        <f>Q59/Q44</f>
        <v>13.709421877771094</v>
      </c>
      <c r="R60" s="31"/>
      <c r="S60" s="31"/>
      <c r="AC60" s="11" t="s">
        <v>108</v>
      </c>
      <c r="AD60" s="11" t="s">
        <v>109</v>
      </c>
      <c r="AE60" s="31">
        <f>AE59/AE44</f>
        <v>11.51271851577663</v>
      </c>
      <c r="AF60" s="31"/>
      <c r="AG60" s="31"/>
    </row>
    <row r="61" spans="1:33" ht="12.75">
      <c r="A61" s="11" t="s">
        <v>110</v>
      </c>
      <c r="B61" s="11" t="s">
        <v>111</v>
      </c>
      <c r="C61" s="31">
        <f>0.0551483782*(C60)^3-0.0189486676*(C60)^4+0.0023287974*((C60)^5)-(0.0001133801*((C60)^6))+(0.0000018954*((C60)^7))</f>
        <v>17.18631665364839</v>
      </c>
      <c r="D61" s="31"/>
      <c r="E61" s="31"/>
      <c r="O61" s="11" t="s">
        <v>110</v>
      </c>
      <c r="P61" s="11" t="s">
        <v>111</v>
      </c>
      <c r="Q61" s="31">
        <f>0.0551483782*(Q60)^3-0.0189486676*(Q60)^4+0.0023287974*((Q60)^5)-(0.0001133801*((Q60)^6))+(0.0000018954*((Q60)^7))</f>
        <v>20.30011954381743</v>
      </c>
      <c r="R61" s="31"/>
      <c r="S61" s="31"/>
      <c r="AC61" s="11" t="s">
        <v>110</v>
      </c>
      <c r="AD61" s="11" t="s">
        <v>111</v>
      </c>
      <c r="AE61" s="31">
        <f>0.0551483782*(AE60)^3-0.0189486676*(AE60)^4+0.0023287974*((AE60)^5)-(0.0001133801*((AE60)^6))+(0.0000018954*((AE60)^7))</f>
        <v>9.080198173990567</v>
      </c>
      <c r="AF61" s="31"/>
      <c r="AG61" s="31"/>
    </row>
    <row r="62" spans="1:33" ht="12.75">
      <c r="A62" s="11" t="s">
        <v>112</v>
      </c>
      <c r="B62" s="11" t="s">
        <v>113</v>
      </c>
      <c r="C62" s="31">
        <f>1/((1/60)+C61/1000)</f>
        <v>29.539494068751793</v>
      </c>
      <c r="D62" s="31"/>
      <c r="E62" s="31"/>
      <c r="O62" s="11" t="s">
        <v>112</v>
      </c>
      <c r="P62" s="11" t="s">
        <v>113</v>
      </c>
      <c r="Q62" s="31">
        <f>1/((1/60)+Q61/1000)</f>
        <v>27.051310176279035</v>
      </c>
      <c r="R62" s="31"/>
      <c r="S62" s="31"/>
      <c r="AC62" s="11" t="s">
        <v>112</v>
      </c>
      <c r="AD62" s="11" t="s">
        <v>113</v>
      </c>
      <c r="AE62" s="31">
        <f>1/((1/60)+AE61/1000)</f>
        <v>38.839680333462816</v>
      </c>
      <c r="AF62" s="31"/>
      <c r="AG62" s="31"/>
    </row>
    <row r="63" spans="1:33" ht="12.75">
      <c r="A63" s="11" t="s">
        <v>114</v>
      </c>
      <c r="B63" s="11" t="s">
        <v>115</v>
      </c>
      <c r="C63" s="14">
        <f>(1/C62)*C15</f>
        <v>9488.958294964172</v>
      </c>
      <c r="D63" s="14"/>
      <c r="E63" s="14"/>
      <c r="O63" s="11" t="s">
        <v>114</v>
      </c>
      <c r="P63" s="11" t="s">
        <v>115</v>
      </c>
      <c r="Q63" s="14">
        <f>(1/Q62)*Q15</f>
        <v>10711.02683022669</v>
      </c>
      <c r="R63" s="14"/>
      <c r="S63" s="14"/>
      <c r="AC63" s="11" t="s">
        <v>114</v>
      </c>
      <c r="AD63" s="11" t="s">
        <v>115</v>
      </c>
      <c r="AE63" s="14">
        <f>(1/AE62)*AE15</f>
        <v>6487.030265311105</v>
      </c>
      <c r="AF63" s="14"/>
      <c r="AG63" s="14"/>
    </row>
    <row r="64" spans="1:33" ht="12.75">
      <c r="A64" s="11" t="s">
        <v>116</v>
      </c>
      <c r="B64" s="11" t="s">
        <v>117</v>
      </c>
      <c r="C64" s="14">
        <f>+C58/1000</f>
        <v>5.8630023630554655</v>
      </c>
      <c r="D64" s="14"/>
      <c r="E64" s="14"/>
      <c r="O64" s="11" t="s">
        <v>116</v>
      </c>
      <c r="P64" s="11" t="s">
        <v>117</v>
      </c>
      <c r="Q64" s="14">
        <f>+Q58/1000</f>
        <v>5.679365769213177</v>
      </c>
      <c r="R64" s="14"/>
      <c r="S64" s="14"/>
      <c r="AC64" s="11" t="s">
        <v>116</v>
      </c>
      <c r="AD64" s="11" t="s">
        <v>117</v>
      </c>
      <c r="AE64" s="14">
        <f>+AE58/1000</f>
        <v>6.413912144582272</v>
      </c>
      <c r="AF64" s="14"/>
      <c r="AG64" s="14"/>
    </row>
    <row r="65" spans="1:33" ht="12.75">
      <c r="A65" s="11" t="s">
        <v>118</v>
      </c>
      <c r="B65" s="11" t="s">
        <v>119</v>
      </c>
      <c r="C65" s="14">
        <f>+C43/1000</f>
        <v>176.53800771354105</v>
      </c>
      <c r="D65" s="14"/>
      <c r="E65" s="14"/>
      <c r="O65" s="11" t="s">
        <v>118</v>
      </c>
      <c r="P65" s="11" t="s">
        <v>119</v>
      </c>
      <c r="Q65" s="14">
        <f>+Q43/1000</f>
        <v>184.3332214566942</v>
      </c>
      <c r="R65" s="14"/>
      <c r="S65" s="14"/>
      <c r="AC65" s="11" t="s">
        <v>118</v>
      </c>
      <c r="AD65" s="11" t="s">
        <v>119</v>
      </c>
      <c r="AE65" s="14">
        <f>+AE43/1000</f>
        <v>153.1523664840818</v>
      </c>
      <c r="AF65" s="14"/>
      <c r="AG65" s="14"/>
    </row>
    <row r="66" spans="1:33" ht="12.75">
      <c r="A66" s="11" t="s">
        <v>120</v>
      </c>
      <c r="B66" s="11" t="s">
        <v>121</v>
      </c>
      <c r="C66" s="14">
        <f>C63-C49</f>
        <v>643.2985397977936</v>
      </c>
      <c r="D66" s="14"/>
      <c r="E66" s="14"/>
      <c r="O66" s="11" t="s">
        <v>120</v>
      </c>
      <c r="P66" s="11" t="s">
        <v>121</v>
      </c>
      <c r="Q66" s="14">
        <f>Q63-Q49</f>
        <v>676.5130616870065</v>
      </c>
      <c r="R66" s="14"/>
      <c r="S66" s="14"/>
      <c r="AC66" s="11" t="s">
        <v>120</v>
      </c>
      <c r="AD66" s="11" t="s">
        <v>121</v>
      </c>
      <c r="AE66" s="14">
        <f>AE63-AE49</f>
        <v>452.12911804385476</v>
      </c>
      <c r="AF66" s="14"/>
      <c r="AG66" s="14"/>
    </row>
    <row r="67" spans="1:33" ht="12.75">
      <c r="A67" s="11" t="s">
        <v>122</v>
      </c>
      <c r="B67" s="11" t="s">
        <v>123</v>
      </c>
      <c r="C67" s="31">
        <f>C66/C64</f>
        <v>109.72169205515087</v>
      </c>
      <c r="D67" s="31"/>
      <c r="E67" s="31"/>
      <c r="O67" s="11" t="s">
        <v>122</v>
      </c>
      <c r="P67" s="11" t="s">
        <v>123</v>
      </c>
      <c r="Q67" s="31">
        <f>Q66/Q64</f>
        <v>119.11771299433863</v>
      </c>
      <c r="R67" s="31"/>
      <c r="S67" s="31"/>
      <c r="AC67" s="11" t="s">
        <v>122</v>
      </c>
      <c r="AD67" s="11" t="s">
        <v>123</v>
      </c>
      <c r="AE67" s="31">
        <f>AE66/AE64</f>
        <v>70.49194124458984</v>
      </c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>
        <f>C59/C24</f>
        <v>7867.233744405882</v>
      </c>
      <c r="D70" s="14">
        <f>D43/D24</f>
        <v>4184.893854018248</v>
      </c>
      <c r="E70" s="14"/>
      <c r="O70" s="11" t="s">
        <v>125</v>
      </c>
      <c r="P70" s="11" t="s">
        <v>126</v>
      </c>
      <c r="Q70" s="14">
        <f>Q59/Q24</f>
        <v>8707.02763093613</v>
      </c>
      <c r="R70" s="14">
        <f>R43/R24</f>
        <v>4511.425878422552</v>
      </c>
      <c r="S70" s="14"/>
      <c r="AC70" s="11" t="s">
        <v>125</v>
      </c>
      <c r="AD70" s="11" t="s">
        <v>126</v>
      </c>
      <c r="AE70" s="14">
        <f>AE59/AE24</f>
        <v>5516.289687176144</v>
      </c>
      <c r="AF70" s="14">
        <f>AF43/AF24</f>
        <v>3206.3526303237445</v>
      </c>
      <c r="AG70" s="14"/>
    </row>
    <row r="71" spans="1:33" ht="12.75">
      <c r="A71" s="11" t="s">
        <v>127</v>
      </c>
      <c r="B71" s="11" t="s">
        <v>128</v>
      </c>
      <c r="C71" s="14">
        <f>C59/C62</f>
        <v>6174.81835173164</v>
      </c>
      <c r="D71" s="14"/>
      <c r="E71" s="14"/>
      <c r="O71" s="11" t="s">
        <v>127</v>
      </c>
      <c r="P71" s="11" t="s">
        <v>128</v>
      </c>
      <c r="Q71" s="14">
        <f>Q59/Q62</f>
        <v>7024.154689281079</v>
      </c>
      <c r="R71" s="14"/>
      <c r="S71" s="14"/>
      <c r="AC71" s="11" t="s">
        <v>127</v>
      </c>
      <c r="AD71" s="11" t="s">
        <v>128</v>
      </c>
      <c r="AE71" s="14">
        <f>AE59/AE62</f>
        <v>4108.331408978867</v>
      </c>
      <c r="AF71" s="14"/>
      <c r="AG71" s="14"/>
    </row>
    <row r="72" spans="1:33" ht="12.75">
      <c r="A72" s="11" t="s">
        <v>129</v>
      </c>
      <c r="B72" s="11" t="s">
        <v>130</v>
      </c>
      <c r="C72" s="14">
        <f>C70-C71</f>
        <v>1692.415392674242</v>
      </c>
      <c r="D72" s="14"/>
      <c r="E72" s="14"/>
      <c r="O72" s="11" t="s">
        <v>129</v>
      </c>
      <c r="P72" s="11" t="s">
        <v>130</v>
      </c>
      <c r="Q72" s="14">
        <f>Q70-Q71</f>
        <v>1682.8729416550514</v>
      </c>
      <c r="R72" s="14"/>
      <c r="S72" s="14"/>
      <c r="AC72" s="11" t="s">
        <v>129</v>
      </c>
      <c r="AD72" s="11" t="s">
        <v>130</v>
      </c>
      <c r="AE72" s="14">
        <f>AE70-AE71</f>
        <v>1407.9582781972767</v>
      </c>
      <c r="AF72" s="14"/>
      <c r="AG72" s="14"/>
    </row>
    <row r="73" spans="1:33" ht="12.75">
      <c r="A73" s="11" t="s">
        <v>131</v>
      </c>
      <c r="B73" s="11" t="s">
        <v>132</v>
      </c>
      <c r="C73" s="14">
        <f>C72/((+C67/1000)-(1/(+C7*C62)))</f>
        <v>6066.296159600416</v>
      </c>
      <c r="D73" s="14">
        <v>0</v>
      </c>
      <c r="E73" s="14"/>
      <c r="O73" s="11" t="s">
        <v>131</v>
      </c>
      <c r="P73" s="11" t="s">
        <v>132</v>
      </c>
      <c r="Q73" s="14">
        <f>Q72/((+Q67/1000)-(1/(+Q7*Q62)))</f>
        <v>5536.646945710097</v>
      </c>
      <c r="R73" s="14">
        <v>0</v>
      </c>
      <c r="S73" s="14"/>
      <c r="AC73" s="11" t="s">
        <v>131</v>
      </c>
      <c r="AD73" s="11" t="s">
        <v>132</v>
      </c>
      <c r="AE73" s="14">
        <f>AE72/((+AE67/1000)-(1/(+AE7*AE62)))</f>
        <v>7067.13181132055</v>
      </c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>
        <f>C59+C73</f>
        <v>188467.30623619692</v>
      </c>
      <c r="D75" s="14">
        <f>D59+D73</f>
        <v>97026.338028169</v>
      </c>
      <c r="E75" s="14">
        <f>SUM(C75:D75)</f>
        <v>285493.6442643659</v>
      </c>
      <c r="O75" s="11" t="s">
        <v>134</v>
      </c>
      <c r="P75" s="11" t="s">
        <v>135</v>
      </c>
      <c r="Q75" s="14">
        <f>Q59+Q73</f>
        <v>195549.23417161746</v>
      </c>
      <c r="R75" s="14">
        <f>R59+R73</f>
        <v>98452.39436619719</v>
      </c>
      <c r="S75" s="14">
        <f>SUM(Q75:R75)</f>
        <v>294001.62853781466</v>
      </c>
      <c r="AC75" s="11" t="s">
        <v>134</v>
      </c>
      <c r="AD75" s="11" t="s">
        <v>135</v>
      </c>
      <c r="AE75" s="14">
        <f>AE59+AE73</f>
        <v>166633.41043998464</v>
      </c>
      <c r="AF75" s="14">
        <f>AF59+AF73</f>
        <v>92748.1690140845</v>
      </c>
      <c r="AG75" s="14">
        <f>SUM(AE75:AF75)</f>
        <v>259381.57945406914</v>
      </c>
    </row>
    <row r="76" spans="1:33" ht="12.75">
      <c r="A76" s="11" t="s">
        <v>136</v>
      </c>
      <c r="B76" s="11" t="s">
        <v>137</v>
      </c>
      <c r="C76" s="13">
        <f>(+C75-C15)/C15</f>
        <v>-0.3276205484194538</v>
      </c>
      <c r="D76" s="13"/>
      <c r="E76" s="13"/>
      <c r="O76" s="11" t="s">
        <v>136</v>
      </c>
      <c r="P76" s="11" t="s">
        <v>137</v>
      </c>
      <c r="Q76" s="13">
        <f>(+Q75-Q15)/Q15</f>
        <v>-0.3251042269032314</v>
      </c>
      <c r="R76" s="13"/>
      <c r="S76" s="13"/>
      <c r="AC76" s="11" t="s">
        <v>136</v>
      </c>
      <c r="AD76" s="11" t="s">
        <v>137</v>
      </c>
      <c r="AE76" s="13">
        <f>(+AE75-AE15)/AE15</f>
        <v>-0.33863605978870936</v>
      </c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>
        <f>C75/C44</f>
        <v>13.59792974287135</v>
      </c>
      <c r="D79" s="31"/>
      <c r="E79" s="31"/>
      <c r="O79" s="11" t="s">
        <v>139</v>
      </c>
      <c r="P79" s="11" t="s">
        <v>140</v>
      </c>
      <c r="Q79" s="31">
        <f>Q75/Q44</f>
        <v>14.108891354373554</v>
      </c>
      <c r="R79" s="31"/>
      <c r="S79" s="31"/>
      <c r="AC79" s="11" t="s">
        <v>139</v>
      </c>
      <c r="AD79" s="11" t="s">
        <v>140</v>
      </c>
      <c r="AE79" s="31">
        <f>AE75/AE44</f>
        <v>12.022612585857477</v>
      </c>
      <c r="AF79" s="31"/>
      <c r="AG79" s="31"/>
    </row>
    <row r="80" spans="1:33" ht="12.75">
      <c r="A80" s="11" t="s">
        <v>141</v>
      </c>
      <c r="B80" s="11" t="s">
        <v>142</v>
      </c>
      <c r="C80" s="31">
        <f>0.0551483782*(C79)^3-0.0189486676*(C79)^4+0.0023287974*((C79)^5)-(0.0001133801*((C79)^6))+(0.0000018954*((C79)^7))</f>
        <v>19.659577509279103</v>
      </c>
      <c r="D80" s="31"/>
      <c r="E80" s="31"/>
      <c r="O80" s="11" t="s">
        <v>141</v>
      </c>
      <c r="P80" s="11" t="s">
        <v>142</v>
      </c>
      <c r="Q80" s="31">
        <f>0.0551483782*(Q79)^3-0.0189486676*(Q79)^4+0.0023287974*((Q79)^5)-(0.0001133801*((Q79)^6))+(0.0000018954*((Q79)^7))</f>
        <v>22.610036143690763</v>
      </c>
      <c r="R80" s="31"/>
      <c r="S80" s="31"/>
      <c r="AC80" s="11" t="s">
        <v>141</v>
      </c>
      <c r="AD80" s="11" t="s">
        <v>142</v>
      </c>
      <c r="AE80" s="31">
        <f>0.0551483782*(AE79)^3-0.0189486676*(AE79)^4+0.0023287974*((AE79)^5)-(0.0001133801*((AE79)^6))+(0.0000018954*((AE79)^7))</f>
        <v>11.325815696771585</v>
      </c>
      <c r="AF80" s="31"/>
      <c r="AG80" s="31"/>
    </row>
    <row r="81" spans="1:33" ht="12.75">
      <c r="A81" s="11" t="s">
        <v>143</v>
      </c>
      <c r="B81" s="11" t="s">
        <v>144</v>
      </c>
      <c r="C81" s="31">
        <f>1/((1/60)+C80/1000)</f>
        <v>27.528306949557212</v>
      </c>
      <c r="D81" s="31">
        <v>60</v>
      </c>
      <c r="E81" s="31"/>
      <c r="O81" s="11" t="s">
        <v>143</v>
      </c>
      <c r="P81" s="11" t="s">
        <v>144</v>
      </c>
      <c r="Q81" s="31">
        <f>1/((1/60)+Q80/1000)</f>
        <v>25.460385634414706</v>
      </c>
      <c r="R81" s="31">
        <v>60</v>
      </c>
      <c r="S81" s="31"/>
      <c r="AC81" s="11" t="s">
        <v>143</v>
      </c>
      <c r="AD81" s="11" t="s">
        <v>144</v>
      </c>
      <c r="AE81" s="31">
        <f>1/((1/60)+AE80/1000)</f>
        <v>35.72387711159649</v>
      </c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>
        <f>C43/C81</f>
        <v>6412.962774537089</v>
      </c>
      <c r="D82" s="14">
        <f>D43/D81</f>
        <v>1617.1056338028168</v>
      </c>
      <c r="E82" s="14"/>
      <c r="O82" s="11" t="s">
        <v>145</v>
      </c>
      <c r="P82" s="11" t="s">
        <v>146</v>
      </c>
      <c r="Q82" s="14">
        <f>Q43/Q81</f>
        <v>7240.001157230378</v>
      </c>
      <c r="R82" s="14">
        <f>R43/R81</f>
        <v>1640.8732394366198</v>
      </c>
      <c r="S82" s="14"/>
      <c r="AC82" s="11" t="s">
        <v>145</v>
      </c>
      <c r="AD82" s="11" t="s">
        <v>146</v>
      </c>
      <c r="AE82" s="14">
        <f>AE43/AE81</f>
        <v>4287.1149177244915</v>
      </c>
      <c r="AF82" s="14">
        <f>AF43/AF81</f>
        <v>1545.8028169014083</v>
      </c>
      <c r="AG82" s="14"/>
    </row>
    <row r="83" spans="1:33" ht="12.75">
      <c r="A83" s="11" t="s">
        <v>147</v>
      </c>
      <c r="B83" s="11" t="s">
        <v>148</v>
      </c>
      <c r="C83" s="14">
        <f>C70-C82</f>
        <v>1454.2709698687931</v>
      </c>
      <c r="D83" s="14">
        <f>D70-D82</f>
        <v>2567.7882202154315</v>
      </c>
      <c r="E83" s="14"/>
      <c r="O83" s="11" t="s">
        <v>147</v>
      </c>
      <c r="P83" s="11" t="s">
        <v>148</v>
      </c>
      <c r="Q83" s="14">
        <f>Q70-Q82</f>
        <v>1467.0264737057523</v>
      </c>
      <c r="R83" s="14">
        <f>R70-R82</f>
        <v>2870.5526389859324</v>
      </c>
      <c r="S83" s="14"/>
      <c r="AC83" s="11" t="s">
        <v>147</v>
      </c>
      <c r="AD83" s="11" t="s">
        <v>148</v>
      </c>
      <c r="AE83" s="14">
        <f>AE70-AE82</f>
        <v>1229.1747694516525</v>
      </c>
      <c r="AF83" s="14">
        <f>AF70-AF82</f>
        <v>1660.5498134223362</v>
      </c>
      <c r="AG83" s="14"/>
    </row>
    <row r="84" spans="1:33" ht="12.75">
      <c r="A84" s="11" t="s">
        <v>149</v>
      </c>
      <c r="B84" s="11" t="s">
        <v>150</v>
      </c>
      <c r="C84" s="31">
        <f>(+C83/C43)*60</f>
        <v>0.4942632995706723</v>
      </c>
      <c r="D84" s="31">
        <f>(+D83/D43)*60</f>
        <v>1.5878914565259237</v>
      </c>
      <c r="E84" s="31"/>
      <c r="O84" s="11" t="s">
        <v>149</v>
      </c>
      <c r="P84" s="11" t="s">
        <v>150</v>
      </c>
      <c r="Q84" s="31">
        <f>(+Q83/Q43)*60</f>
        <v>0.47751342773024913</v>
      </c>
      <c r="R84" s="31">
        <f>(+R83/R43)*60</f>
        <v>1.7494054811762991</v>
      </c>
      <c r="S84" s="31"/>
      <c r="AC84" s="11" t="s">
        <v>149</v>
      </c>
      <c r="AD84" s="11" t="s">
        <v>150</v>
      </c>
      <c r="AE84" s="31">
        <f>(+AE83/AE43)*60</f>
        <v>0.48154976550600376</v>
      </c>
      <c r="AF84" s="31">
        <f>(+AF83/AF43)*60</f>
        <v>1.0742313283856868</v>
      </c>
      <c r="AG84" s="31"/>
    </row>
    <row r="85" spans="1:33" ht="12.75">
      <c r="A85" s="11"/>
      <c r="B85" s="11" t="s">
        <v>151</v>
      </c>
      <c r="C85" s="35">
        <f>+'mode ch'!D152</f>
        <v>1.1996061874036021</v>
      </c>
      <c r="D85" s="35">
        <f>+'mode ch'!D145</f>
        <v>1.743615122978172</v>
      </c>
      <c r="E85" s="31"/>
      <c r="O85" s="11"/>
      <c r="P85" s="11" t="s">
        <v>151</v>
      </c>
      <c r="Q85" s="35">
        <f>+'mode ch'!R152</f>
        <v>1.1980690815441424</v>
      </c>
      <c r="R85" s="35">
        <f>+'mode ch'!R145</f>
        <v>1.757546667513478</v>
      </c>
      <c r="S85" s="31"/>
      <c r="AC85" s="11"/>
      <c r="AD85" s="11" t="s">
        <v>151</v>
      </c>
      <c r="AE85" s="35">
        <f>+'mode ch'!AF152</f>
        <v>1.205097375085098</v>
      </c>
      <c r="AF85" s="35">
        <f>+'mode ch'!AF145</f>
        <v>1.699250023441429</v>
      </c>
      <c r="AG85" s="31"/>
    </row>
    <row r="86" spans="1:33" ht="12.75">
      <c r="A86" s="11"/>
      <c r="B86" s="11" t="s">
        <v>152</v>
      </c>
      <c r="C86" s="31">
        <f>+C85*C83</f>
        <v>1744.5524536160417</v>
      </c>
      <c r="D86" s="31">
        <f>+D85*D83</f>
        <v>4477.234373372831</v>
      </c>
      <c r="E86" s="31"/>
      <c r="O86" s="11"/>
      <c r="P86" s="11" t="s">
        <v>152</v>
      </c>
      <c r="Q86" s="31">
        <f>+Q85*Q83</f>
        <v>1757.5990599535926</v>
      </c>
      <c r="R86" s="31">
        <f>+R85*R83</f>
        <v>5045.130224571745</v>
      </c>
      <c r="S86" s="31"/>
      <c r="AC86" s="11"/>
      <c r="AD86" s="11" t="s">
        <v>152</v>
      </c>
      <c r="AE86" s="31">
        <f>+AE85*AE83</f>
        <v>1481.275288187017</v>
      </c>
      <c r="AF86" s="31">
        <f>+AF85*AF83</f>
        <v>2821.689309383565</v>
      </c>
      <c r="AG86" s="31"/>
    </row>
    <row r="87" spans="1:33" ht="12.75">
      <c r="A87" s="11" t="s">
        <v>153</v>
      </c>
      <c r="B87" s="11" t="s">
        <v>154</v>
      </c>
      <c r="C87" s="36">
        <f>+'Sensitivity Anal'!B5</f>
        <v>9</v>
      </c>
      <c r="D87" s="36">
        <f>+C87</f>
        <v>9</v>
      </c>
      <c r="E87" s="36"/>
      <c r="O87" s="11" t="s">
        <v>153</v>
      </c>
      <c r="P87" s="11" t="s">
        <v>154</v>
      </c>
      <c r="Q87" s="36">
        <f>+C87</f>
        <v>9</v>
      </c>
      <c r="R87" s="36">
        <f>+C87</f>
        <v>9</v>
      </c>
      <c r="S87" s="36"/>
      <c r="AC87" s="11" t="s">
        <v>153</v>
      </c>
      <c r="AD87" s="11" t="s">
        <v>154</v>
      </c>
      <c r="AE87" s="36">
        <f>+C87</f>
        <v>9</v>
      </c>
      <c r="AF87" s="36">
        <f>+AE87</f>
        <v>9</v>
      </c>
      <c r="AG87" s="36"/>
    </row>
    <row r="88" spans="1:33" ht="12.75">
      <c r="A88" s="11" t="s">
        <v>155</v>
      </c>
      <c r="B88" s="11" t="s">
        <v>156</v>
      </c>
      <c r="C88" s="37">
        <f>C86*C87</f>
        <v>15700.972082544375</v>
      </c>
      <c r="D88" s="37">
        <f>D86*D87</f>
        <v>40295.109360355484</v>
      </c>
      <c r="E88" s="37"/>
      <c r="O88" s="11" t="s">
        <v>155</v>
      </c>
      <c r="P88" s="11" t="s">
        <v>156</v>
      </c>
      <c r="Q88" s="37">
        <f>Q86*Q87</f>
        <v>15818.391539582333</v>
      </c>
      <c r="R88" s="37">
        <f>R86*R87</f>
        <v>45406.17202114571</v>
      </c>
      <c r="S88" s="37"/>
      <c r="AC88" s="11" t="s">
        <v>155</v>
      </c>
      <c r="AD88" s="11" t="s">
        <v>156</v>
      </c>
      <c r="AE88" s="37">
        <f>AE86*AE87</f>
        <v>13331.477593683152</v>
      </c>
      <c r="AF88" s="37">
        <f>AF86*AF87</f>
        <v>25395.203784452086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>
        <f>C58</f>
        <v>5863.002363055465</v>
      </c>
      <c r="D91" s="14">
        <f>D58</f>
        <v>0</v>
      </c>
      <c r="E91" s="14"/>
      <c r="O91" s="11" t="s">
        <v>158</v>
      </c>
      <c r="P91" s="11" t="s">
        <v>159</v>
      </c>
      <c r="Q91" s="14">
        <f>Q58</f>
        <v>5679.365769213177</v>
      </c>
      <c r="R91" s="14">
        <f>R58</f>
        <v>0</v>
      </c>
      <c r="S91" s="14"/>
      <c r="AC91" s="11" t="s">
        <v>158</v>
      </c>
      <c r="AD91" s="11" t="s">
        <v>159</v>
      </c>
      <c r="AE91" s="14">
        <f>AE58</f>
        <v>6413.912144582272</v>
      </c>
      <c r="AF91" s="14">
        <f>AF58</f>
        <v>0</v>
      </c>
      <c r="AG91" s="14"/>
    </row>
    <row r="92" spans="1:33" ht="12.75">
      <c r="A92" s="11" t="s">
        <v>160</v>
      </c>
      <c r="B92" s="11" t="s">
        <v>161</v>
      </c>
      <c r="C92" s="31">
        <f>C101</f>
        <v>0.24713164978533614</v>
      </c>
      <c r="D92" s="31">
        <f>D101</f>
        <v>0.7939457282629618</v>
      </c>
      <c r="E92" s="31"/>
      <c r="O92" s="11" t="s">
        <v>160</v>
      </c>
      <c r="P92" s="11" t="s">
        <v>161</v>
      </c>
      <c r="Q92" s="31">
        <f>Q101</f>
        <v>0.23875671386512456</v>
      </c>
      <c r="R92" s="31">
        <f>R101</f>
        <v>0.8747027405881496</v>
      </c>
      <c r="S92" s="31"/>
      <c r="AC92" s="11" t="s">
        <v>160</v>
      </c>
      <c r="AD92" s="11" t="s">
        <v>161</v>
      </c>
      <c r="AE92" s="31">
        <f>AE101</f>
        <v>0.24077488275300188</v>
      </c>
      <c r="AF92" s="31">
        <f>AF101</f>
        <v>0.5371156641928434</v>
      </c>
      <c r="AG92" s="31"/>
    </row>
    <row r="93" spans="1:33" ht="12.75">
      <c r="A93" s="11" t="s">
        <v>162</v>
      </c>
      <c r="B93" s="11" t="s">
        <v>163</v>
      </c>
      <c r="C93" s="31">
        <f>(+C91*C92)/60</f>
        <v>24.14889077795369</v>
      </c>
      <c r="D93" s="31">
        <f>(+D91*D92)/60</f>
        <v>0</v>
      </c>
      <c r="E93" s="31"/>
      <c r="O93" s="11" t="s">
        <v>162</v>
      </c>
      <c r="P93" s="11" t="s">
        <v>163</v>
      </c>
      <c r="Q93" s="31">
        <f>(+Q91*Q92)/60</f>
        <v>22.599778464923563</v>
      </c>
      <c r="R93" s="31">
        <f>(+R91*R92)/60</f>
        <v>0</v>
      </c>
      <c r="S93" s="31"/>
      <c r="AC93" s="11" t="s">
        <v>162</v>
      </c>
      <c r="AD93" s="11" t="s">
        <v>163</v>
      </c>
      <c r="AE93" s="31">
        <f>(+AE91*AE92)/60</f>
        <v>25.738482409997523</v>
      </c>
      <c r="AF93" s="31">
        <f>(+AF91*AF92)/60</f>
        <v>0</v>
      </c>
      <c r="AG93" s="31"/>
    </row>
    <row r="94" spans="1:33" ht="12.75">
      <c r="A94" s="11"/>
      <c r="B94" s="11" t="s">
        <v>151</v>
      </c>
      <c r="C94" s="31">
        <f>+C85</f>
        <v>1.1996061874036021</v>
      </c>
      <c r="D94" s="31">
        <f>+D85</f>
        <v>1.743615122978172</v>
      </c>
      <c r="E94" s="31"/>
      <c r="O94" s="11"/>
      <c r="P94" s="11" t="s">
        <v>151</v>
      </c>
      <c r="Q94" s="31">
        <f>+Q85</f>
        <v>1.1980690815441424</v>
      </c>
      <c r="R94" s="31">
        <f>+R85</f>
        <v>1.757546667513478</v>
      </c>
      <c r="S94" s="31"/>
      <c r="AC94" s="11"/>
      <c r="AD94" s="11" t="s">
        <v>151</v>
      </c>
      <c r="AE94" s="31">
        <f>+AE85</f>
        <v>1.205097375085098</v>
      </c>
      <c r="AF94" s="31">
        <f>+AF85</f>
        <v>1.699250023441429</v>
      </c>
      <c r="AG94" s="31"/>
    </row>
    <row r="95" spans="1:33" ht="12.75">
      <c r="A95" s="11"/>
      <c r="B95" s="11" t="s">
        <v>152</v>
      </c>
      <c r="C95" s="31">
        <f>+C94*C93</f>
        <v>28.969158796167033</v>
      </c>
      <c r="D95" s="31">
        <f>+D94*D93</f>
        <v>0</v>
      </c>
      <c r="E95" s="31"/>
      <c r="O95" s="11"/>
      <c r="P95" s="11" t="s">
        <v>152</v>
      </c>
      <c r="Q95" s="31">
        <f>+Q94*Q93</f>
        <v>27.07609582857206</v>
      </c>
      <c r="R95" s="31">
        <f>+R94*R93</f>
        <v>0</v>
      </c>
      <c r="S95" s="31"/>
      <c r="AC95" s="11"/>
      <c r="AD95" s="11" t="s">
        <v>152</v>
      </c>
      <c r="AE95" s="31">
        <f>+AE94*AE93</f>
        <v>31.01737759096198</v>
      </c>
      <c r="AF95" s="31">
        <f>+AF94*AF93</f>
        <v>0</v>
      </c>
      <c r="AG95" s="31"/>
    </row>
    <row r="96" spans="1:33" ht="12.75">
      <c r="A96" s="11" t="s">
        <v>164</v>
      </c>
      <c r="B96" s="11" t="s">
        <v>154</v>
      </c>
      <c r="C96" s="38">
        <f>C87</f>
        <v>9</v>
      </c>
      <c r="D96" s="38">
        <f>D87</f>
        <v>9</v>
      </c>
      <c r="E96" s="38"/>
      <c r="O96" s="11" t="s">
        <v>164</v>
      </c>
      <c r="P96" s="11" t="s">
        <v>154</v>
      </c>
      <c r="Q96" s="38">
        <f>Q87</f>
        <v>9</v>
      </c>
      <c r="R96" s="38">
        <f>R87</f>
        <v>9</v>
      </c>
      <c r="S96" s="38"/>
      <c r="AC96" s="11" t="s">
        <v>164</v>
      </c>
      <c r="AD96" s="11" t="s">
        <v>154</v>
      </c>
      <c r="AE96" s="38">
        <f>AE87</f>
        <v>9</v>
      </c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>
        <f>C95*C96</f>
        <v>260.7224291655033</v>
      </c>
      <c r="D97" s="37">
        <f>D95*D96</f>
        <v>0</v>
      </c>
      <c r="E97" s="37"/>
      <c r="O97" s="11" t="s">
        <v>165</v>
      </c>
      <c r="P97" s="11" t="s">
        <v>156</v>
      </c>
      <c r="Q97" s="37">
        <f>Q95*Q96</f>
        <v>243.68486245714854</v>
      </c>
      <c r="R97" s="37">
        <f>R95*R96</f>
        <v>0</v>
      </c>
      <c r="S97" s="37"/>
      <c r="AC97" s="11" t="s">
        <v>165</v>
      </c>
      <c r="AD97" s="11" t="s">
        <v>156</v>
      </c>
      <c r="AE97" s="37">
        <f>AE95*AE96</f>
        <v>279.1563983186578</v>
      </c>
      <c r="AF97" s="37">
        <f>AF95*AF96</f>
        <v>0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>
        <f>C73</f>
        <v>6066.296159600416</v>
      </c>
      <c r="D100" s="14">
        <f>D73</f>
        <v>0</v>
      </c>
      <c r="E100" s="14"/>
      <c r="O100" s="11" t="s">
        <v>167</v>
      </c>
      <c r="P100" s="11" t="s">
        <v>132</v>
      </c>
      <c r="Q100" s="14">
        <f>Q73</f>
        <v>5536.646945710097</v>
      </c>
      <c r="R100" s="14">
        <f>R73</f>
        <v>0</v>
      </c>
      <c r="S100" s="14"/>
      <c r="AC100" s="11" t="s">
        <v>167</v>
      </c>
      <c r="AD100" s="11" t="s">
        <v>132</v>
      </c>
      <c r="AE100" s="14">
        <f>AE73</f>
        <v>7067.13181132055</v>
      </c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>
        <f>C84/2</f>
        <v>0.24713164978533614</v>
      </c>
      <c r="D101" s="31">
        <f>D84/2</f>
        <v>0.7939457282629618</v>
      </c>
      <c r="E101" s="31"/>
      <c r="O101" s="11" t="s">
        <v>168</v>
      </c>
      <c r="P101" s="11" t="s">
        <v>169</v>
      </c>
      <c r="Q101" s="31">
        <f>Q84/2</f>
        <v>0.23875671386512456</v>
      </c>
      <c r="R101" s="31">
        <f>R84/2</f>
        <v>0.8747027405881496</v>
      </c>
      <c r="S101" s="31"/>
      <c r="AC101" s="11" t="s">
        <v>168</v>
      </c>
      <c r="AD101" s="11" t="s">
        <v>169</v>
      </c>
      <c r="AE101" s="31">
        <f>AE84/2</f>
        <v>0.24077488275300188</v>
      </c>
      <c r="AF101" s="31">
        <f>AF84/2</f>
        <v>0.5371156641928434</v>
      </c>
      <c r="AG101" s="31"/>
    </row>
    <row r="102" spans="1:33" ht="12.75">
      <c r="A102" s="11" t="s">
        <v>170</v>
      </c>
      <c r="B102" s="11" t="s">
        <v>171</v>
      </c>
      <c r="C102" s="31">
        <f>(+C100*C101)/60</f>
        <v>24.98622963347499</v>
      </c>
      <c r="D102" s="31">
        <f>(+D100*D101)/60</f>
        <v>0</v>
      </c>
      <c r="E102" s="31"/>
      <c r="O102" s="11" t="s">
        <v>170</v>
      </c>
      <c r="P102" s="11" t="s">
        <v>171</v>
      </c>
      <c r="Q102" s="31">
        <f>(+Q100*Q101)/60</f>
        <v>22.03186050981869</v>
      </c>
      <c r="R102" s="31">
        <f>(+R100*R101)/60</f>
        <v>0</v>
      </c>
      <c r="S102" s="31"/>
      <c r="AC102" s="11" t="s">
        <v>170</v>
      </c>
      <c r="AD102" s="11" t="s">
        <v>171</v>
      </c>
      <c r="AE102" s="31">
        <f>(+AE100*AE101)/60</f>
        <v>28.35979722117859</v>
      </c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>
        <f>+C94</f>
        <v>1.1996061874036021</v>
      </c>
      <c r="D103" s="31">
        <f>+D94</f>
        <v>1.743615122978172</v>
      </c>
      <c r="E103" s="31"/>
      <c r="O103" s="11"/>
      <c r="P103" s="11" t="s">
        <v>151</v>
      </c>
      <c r="Q103" s="31">
        <f>+Q94</f>
        <v>1.1980690815441424</v>
      </c>
      <c r="R103" s="31">
        <f>+R94</f>
        <v>1.757546667513478</v>
      </c>
      <c r="S103" s="31"/>
      <c r="AC103" s="11"/>
      <c r="AD103" s="11" t="s">
        <v>151</v>
      </c>
      <c r="AE103" s="31">
        <f>+AE94</f>
        <v>1.205097375085098</v>
      </c>
      <c r="AF103" s="31">
        <f>+AF94</f>
        <v>1.699250023441429</v>
      </c>
      <c r="AG103" s="31"/>
    </row>
    <row r="104" spans="1:33" ht="12.75">
      <c r="A104" s="11"/>
      <c r="B104" s="11" t="s">
        <v>152</v>
      </c>
      <c r="C104" s="31">
        <f>+C103*C102</f>
        <v>29.973635668203837</v>
      </c>
      <c r="D104" s="31">
        <f>+D103*D102</f>
        <v>0</v>
      </c>
      <c r="E104" s="31"/>
      <c r="O104" s="11"/>
      <c r="P104" s="11" t="s">
        <v>152</v>
      </c>
      <c r="Q104" s="31">
        <f>+Q103*Q102</f>
        <v>26.395690885707136</v>
      </c>
      <c r="R104" s="31">
        <f>+R103*R102</f>
        <v>0</v>
      </c>
      <c r="S104" s="31"/>
      <c r="AC104" s="11"/>
      <c r="AD104" s="11" t="s">
        <v>152</v>
      </c>
      <c r="AE104" s="31">
        <f>+AE103*AE102</f>
        <v>34.17631718918797</v>
      </c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>
        <f>C87</f>
        <v>9</v>
      </c>
      <c r="D105" s="38">
        <f>D87</f>
        <v>9</v>
      </c>
      <c r="E105" s="38"/>
      <c r="O105" s="11" t="s">
        <v>172</v>
      </c>
      <c r="P105" s="11" t="s">
        <v>154</v>
      </c>
      <c r="Q105" s="38">
        <f>Q87</f>
        <v>9</v>
      </c>
      <c r="R105" s="38">
        <f>R87</f>
        <v>9</v>
      </c>
      <c r="S105" s="38"/>
      <c r="AC105" s="11" t="s">
        <v>172</v>
      </c>
      <c r="AD105" s="11" t="s">
        <v>154</v>
      </c>
      <c r="AE105" s="38">
        <f>AE87</f>
        <v>9</v>
      </c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>
        <f>C104*C105</f>
        <v>269.76272101383455</v>
      </c>
      <c r="D106" s="37">
        <f>D104*D105</f>
        <v>0</v>
      </c>
      <c r="E106" s="37"/>
      <c r="O106" s="11" t="s">
        <v>173</v>
      </c>
      <c r="P106" s="11" t="s">
        <v>156</v>
      </c>
      <c r="Q106" s="37">
        <f>Q104*Q105</f>
        <v>237.56121797136421</v>
      </c>
      <c r="R106" s="37">
        <f>R104*R105</f>
        <v>0</v>
      </c>
      <c r="S106" s="37"/>
      <c r="AC106" s="11" t="s">
        <v>173</v>
      </c>
      <c r="AD106" s="11" t="s">
        <v>156</v>
      </c>
      <c r="AE106" s="37">
        <f>AE104*AE105</f>
        <v>307.5868547026917</v>
      </c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>
        <f>+C88+C97+C106</f>
        <v>16231.457232723713</v>
      </c>
      <c r="D108" s="37">
        <f>+D88+D97+D106</f>
        <v>40295.109360355484</v>
      </c>
      <c r="E108" s="37">
        <f>SUM(C108:D108)</f>
        <v>56526.566593079195</v>
      </c>
      <c r="O108" s="11"/>
      <c r="P108" s="11" t="s">
        <v>391</v>
      </c>
      <c r="Q108" s="37">
        <f>+Q88+Q97+Q106</f>
        <v>16299.637620010846</v>
      </c>
      <c r="R108" s="37">
        <f>+R88+R97+R106</f>
        <v>45406.17202114571</v>
      </c>
      <c r="S108" s="37">
        <f>SUM(Q108:R108)</f>
        <v>61705.80964115655</v>
      </c>
      <c r="AC108" s="11"/>
      <c r="AD108" s="11" t="s">
        <v>391</v>
      </c>
      <c r="AE108" s="37">
        <f>+AE88+AE97+AE106</f>
        <v>13918.2208467045</v>
      </c>
      <c r="AF108" s="37">
        <f>+AF88+AF97+AF106</f>
        <v>25395.203784452086</v>
      </c>
      <c r="AG108" s="37">
        <f>SUM(AE108:AF108)</f>
        <v>39313.42463115659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3951.7587431999214</v>
      </c>
      <c r="D117" s="14"/>
      <c r="E117" s="14"/>
      <c r="O117" s="11" t="s">
        <v>180</v>
      </c>
      <c r="P117" s="11" t="s">
        <v>181</v>
      </c>
      <c r="Q117" s="14">
        <f>(1/Q116)*Q121</f>
        <v>4302.6722438092</v>
      </c>
      <c r="R117" s="14"/>
      <c r="S117" s="14"/>
      <c r="AC117" s="11" t="s">
        <v>180</v>
      </c>
      <c r="AD117" s="11" t="s">
        <v>181</v>
      </c>
      <c r="AE117" s="14">
        <f>(1/AE116)*AE121</f>
        <v>3046.6948021226444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C58</f>
        <v>5863.002363055465</v>
      </c>
      <c r="D120" s="14"/>
      <c r="E120" s="14"/>
      <c r="O120" s="11" t="s">
        <v>182</v>
      </c>
      <c r="P120" s="11" t="s">
        <v>183</v>
      </c>
      <c r="Q120" s="14">
        <f>Q58</f>
        <v>5679.365769213177</v>
      </c>
      <c r="R120" s="14"/>
      <c r="S120" s="14"/>
      <c r="AC120" s="11" t="s">
        <v>182</v>
      </c>
      <c r="AD120" s="11" t="s">
        <v>183</v>
      </c>
      <c r="AE120" s="14">
        <f>AE58</f>
        <v>6413.912144582272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47527.28854603545</v>
      </c>
      <c r="D121" s="14"/>
      <c r="E121" s="14"/>
      <c r="O121" s="11" t="s">
        <v>184</v>
      </c>
      <c r="P121" s="11" t="s">
        <v>185</v>
      </c>
      <c r="Q121" s="14">
        <f>Q16-Q120</f>
        <v>49510.59786715047</v>
      </c>
      <c r="R121" s="14"/>
      <c r="S121" s="14"/>
      <c r="AC121" s="11" t="s">
        <v>184</v>
      </c>
      <c r="AD121" s="11" t="s">
        <v>185</v>
      </c>
      <c r="AE121" s="14">
        <f>AE16-AE120</f>
        <v>41577.36058269046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11.881822136508863</v>
      </c>
      <c r="D122" s="31"/>
      <c r="E122" s="31"/>
      <c r="O122" s="11" t="s">
        <v>186</v>
      </c>
      <c r="P122" s="11" t="s">
        <v>187</v>
      </c>
      <c r="Q122" s="31">
        <f>Q121/Q114</f>
        <v>12.377649466787618</v>
      </c>
      <c r="R122" s="31"/>
      <c r="S122" s="31"/>
      <c r="AC122" s="11" t="s">
        <v>186</v>
      </c>
      <c r="AD122" s="11" t="s">
        <v>187</v>
      </c>
      <c r="AE122" s="31">
        <f>AE121/AE114</f>
        <v>10.394340145672615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47.532997884294026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50.83205858900746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39.40204851046609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278.6860789187263</v>
      </c>
      <c r="D124" s="31"/>
      <c r="E124" s="31"/>
      <c r="O124" s="11" t="s">
        <v>190</v>
      </c>
      <c r="P124" s="11" t="s">
        <v>191</v>
      </c>
      <c r="Q124" s="31">
        <f>Q120*Q123/1000</f>
        <v>288.6938535290476</v>
      </c>
      <c r="R124" s="31"/>
      <c r="S124" s="31"/>
      <c r="AC124" s="11" t="s">
        <v>190</v>
      </c>
      <c r="AD124" s="11" t="s">
        <v>191</v>
      </c>
      <c r="AE124" s="31">
        <f>AE120*AE123/1000</f>
        <v>252.72127746269825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13.786828466613477</v>
      </c>
      <c r="D125" s="31"/>
      <c r="E125" s="31"/>
      <c r="O125" s="11" t="s">
        <v>192</v>
      </c>
      <c r="P125" s="11" t="s">
        <v>193</v>
      </c>
      <c r="Q125" s="31">
        <f>1/((1/40)+(Q123/1000))</f>
        <v>13.18703485843333</v>
      </c>
      <c r="R125" s="31"/>
      <c r="S125" s="31"/>
      <c r="AC125" s="11" t="s">
        <v>192</v>
      </c>
      <c r="AD125" s="11" t="s">
        <v>193</v>
      </c>
      <c r="AE125" s="31">
        <f>1/((1/40)+(AE123/1000))</f>
        <v>15.527456395078618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3447.2967195558213</v>
      </c>
      <c r="D126" s="14"/>
      <c r="E126" s="14"/>
      <c r="O126" s="11" t="s">
        <v>194</v>
      </c>
      <c r="P126" s="11" t="s">
        <v>195</v>
      </c>
      <c r="Q126" s="14">
        <f>(1/Q125)*Q121</f>
        <v>3754.4905582385422</v>
      </c>
      <c r="R126" s="14"/>
      <c r="S126" s="14"/>
      <c r="AC126" s="11" t="s">
        <v>194</v>
      </c>
      <c r="AD126" s="11" t="s">
        <v>195</v>
      </c>
      <c r="AE126" s="14">
        <f>(1/AE125)*AE121</f>
        <v>2677.6671931835717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5.8630023630554655</v>
      </c>
      <c r="D127" s="14"/>
      <c r="E127" s="14"/>
      <c r="O127" s="11" t="s">
        <v>196</v>
      </c>
      <c r="P127" s="11" t="s">
        <v>197</v>
      </c>
      <c r="Q127" s="14">
        <f>Q120/1000</f>
        <v>5.679365769213177</v>
      </c>
      <c r="R127" s="14"/>
      <c r="S127" s="14"/>
      <c r="AC127" s="11" t="s">
        <v>196</v>
      </c>
      <c r="AD127" s="11" t="s">
        <v>197</v>
      </c>
      <c r="AE127" s="14">
        <f>AE120/1000</f>
        <v>6.413912144582272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47.52728854603545</v>
      </c>
      <c r="D128" s="14"/>
      <c r="E128" s="14"/>
      <c r="O128" s="11" t="s">
        <v>198</v>
      </c>
      <c r="P128" s="11" t="s">
        <v>199</v>
      </c>
      <c r="Q128" s="14">
        <f>Q121/1000</f>
        <v>49.51059786715047</v>
      </c>
      <c r="R128" s="14"/>
      <c r="S128" s="14"/>
      <c r="AC128" s="11" t="s">
        <v>198</v>
      </c>
      <c r="AD128" s="11" t="s">
        <v>199</v>
      </c>
      <c r="AE128" s="14">
        <f>AE121/1000</f>
        <v>41.57736058269046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504.4620236441001</v>
      </c>
      <c r="D129" s="14"/>
      <c r="E129" s="14"/>
      <c r="O129" s="11" t="s">
        <v>200</v>
      </c>
      <c r="P129" s="11" t="s">
        <v>201</v>
      </c>
      <c r="Q129" s="14">
        <f>Q117-Q126</f>
        <v>548.1816855706579</v>
      </c>
      <c r="R129" s="14"/>
      <c r="S129" s="14"/>
      <c r="AC129" s="11" t="s">
        <v>200</v>
      </c>
      <c r="AD129" s="11" t="s">
        <v>201</v>
      </c>
      <c r="AE129" s="14">
        <f>AE117-AE126</f>
        <v>369.0276089390727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86.04158627376077</v>
      </c>
      <c r="D130" s="31"/>
      <c r="E130" s="31"/>
      <c r="O130" s="11" t="s">
        <v>202</v>
      </c>
      <c r="P130" s="11" t="s">
        <v>203</v>
      </c>
      <c r="Q130" s="31">
        <f>Q129/Q127</f>
        <v>96.52163777551579</v>
      </c>
      <c r="R130" s="31"/>
      <c r="S130" s="31"/>
      <c r="AC130" s="11" t="s">
        <v>202</v>
      </c>
      <c r="AD130" s="11" t="s">
        <v>203</v>
      </c>
      <c r="AE130" s="31">
        <f>AE129/AE127</f>
        <v>57.53549481509259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621.0875748520668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606.9052341167136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665.8519714003505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48148.37612088752</v>
      </c>
      <c r="D135" s="14"/>
      <c r="E135" s="14"/>
      <c r="O135" s="11" t="s">
        <v>207</v>
      </c>
      <c r="P135" s="11" t="s">
        <v>208</v>
      </c>
      <c r="Q135" s="14">
        <f>Q121+Q133</f>
        <v>50117.50310126718</v>
      </c>
      <c r="R135" s="14"/>
      <c r="S135" s="14"/>
      <c r="AC135" s="11" t="s">
        <v>207</v>
      </c>
      <c r="AD135" s="11" t="s">
        <v>208</v>
      </c>
      <c r="AE135" s="14">
        <f>AE121+AE133</f>
        <v>42243.21255409081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-0.09818104938084984</v>
      </c>
      <c r="D136" s="13"/>
      <c r="E136" s="13"/>
      <c r="O136" s="11" t="s">
        <v>209</v>
      </c>
      <c r="P136" s="11" t="s">
        <v>210</v>
      </c>
      <c r="Q136" s="13">
        <f>(+Q135-Q16)/Q16</f>
        <v>-0.09190911174571445</v>
      </c>
      <c r="R136" s="13"/>
      <c r="S136" s="13"/>
      <c r="AC136" s="11" t="s">
        <v>209</v>
      </c>
      <c r="AD136" s="11" t="s">
        <v>210</v>
      </c>
      <c r="AE136" s="13">
        <f>(+AE135-AE16)/AE16</f>
        <v>-0.11977303052259725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C75+C135</f>
        <v>236615.68235708444</v>
      </c>
      <c r="D138" s="14"/>
      <c r="E138" s="14">
        <f>SUM(C138:D138)</f>
        <v>236615.68235708444</v>
      </c>
      <c r="O138" s="11" t="s">
        <v>213</v>
      </c>
      <c r="P138" s="11" t="s">
        <v>214</v>
      </c>
      <c r="Q138" s="14">
        <f>Q75+Q135</f>
        <v>245666.73727288464</v>
      </c>
      <c r="R138" s="14"/>
      <c r="S138" s="14">
        <f>SUM(Q138:R138)</f>
        <v>245666.73727288464</v>
      </c>
      <c r="AC138" s="11" t="s">
        <v>213</v>
      </c>
      <c r="AD138" s="11" t="s">
        <v>214</v>
      </c>
      <c r="AE138" s="14">
        <f>AE75+AE135</f>
        <v>208876.62299407544</v>
      </c>
      <c r="AF138" s="14"/>
      <c r="AG138" s="14">
        <f>SUM(AE138:AF138)</f>
        <v>208876.62299407544</v>
      </c>
    </row>
    <row r="139" spans="1:33" ht="12.75">
      <c r="A139" s="11" t="s">
        <v>215</v>
      </c>
      <c r="B139" s="11" t="s">
        <v>216</v>
      </c>
      <c r="C139" s="13">
        <f>(+C138-C137)/C138</f>
        <v>-0.4102586728729026</v>
      </c>
      <c r="D139" s="13"/>
      <c r="E139" s="13"/>
      <c r="O139" s="11" t="s">
        <v>215</v>
      </c>
      <c r="P139" s="11" t="s">
        <v>216</v>
      </c>
      <c r="Q139" s="13">
        <f>(+Q138-Q137)/Q138</f>
        <v>-0.4040861882905994</v>
      </c>
      <c r="R139" s="13"/>
      <c r="S139" s="13"/>
      <c r="AC139" s="11" t="s">
        <v>215</v>
      </c>
      <c r="AD139" s="11" t="s">
        <v>216</v>
      </c>
      <c r="AE139" s="13">
        <f>(+AE138-AE137)/AE138</f>
        <v>-0.4359934120246772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12.03709403022188</v>
      </c>
      <c r="D142" s="31"/>
      <c r="E142" s="31"/>
      <c r="O142" s="11" t="s">
        <v>217</v>
      </c>
      <c r="P142" s="11" t="s">
        <v>218</v>
      </c>
      <c r="Q142" s="31">
        <f>Q135/Q114</f>
        <v>12.529375775316796</v>
      </c>
      <c r="R142" s="31"/>
      <c r="S142" s="31"/>
      <c r="AC142" s="11" t="s">
        <v>217</v>
      </c>
      <c r="AD142" s="11" t="s">
        <v>218</v>
      </c>
      <c r="AE142" s="31">
        <f>AE135/AE114</f>
        <v>10.560803138522703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48.533641228945676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51.90189787469616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40.18641518325758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13.59921776328902</v>
      </c>
      <c r="D144" s="31"/>
      <c r="E144" s="31"/>
      <c r="O144" s="11" t="s">
        <v>221</v>
      </c>
      <c r="P144" s="11" t="s">
        <v>222</v>
      </c>
      <c r="Q144" s="31">
        <f>1/((1/40)+Q143/1000)</f>
        <v>13.003580244916693</v>
      </c>
      <c r="R144" s="31"/>
      <c r="S144" s="31"/>
      <c r="AC144" s="11" t="s">
        <v>221</v>
      </c>
      <c r="AD144" s="11" t="s">
        <v>222</v>
      </c>
      <c r="AE144" s="31">
        <f>1/((1/40)+AE143/1000)</f>
        <v>15.340619624329936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3494.8545845287504</v>
      </c>
      <c r="D145" s="14"/>
      <c r="E145" s="14"/>
      <c r="O145" s="11" t="s">
        <v>223</v>
      </c>
      <c r="P145" s="11" t="s">
        <v>224</v>
      </c>
      <c r="Q145" s="14">
        <f>(+Q121)/Q144</f>
        <v>3807.458940894755</v>
      </c>
      <c r="R145" s="14"/>
      <c r="S145" s="14"/>
      <c r="AC145" s="11" t="s">
        <v>223</v>
      </c>
      <c r="AD145" s="11" t="s">
        <v>224</v>
      </c>
      <c r="AE145" s="14">
        <f>(+AE121)/AE144</f>
        <v>2710.2790891672685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3951.7587431999214</v>
      </c>
      <c r="D146" s="14"/>
      <c r="E146" s="14"/>
      <c r="O146" s="11" t="s">
        <v>225</v>
      </c>
      <c r="P146" s="11" t="s">
        <v>226</v>
      </c>
      <c r="Q146" s="14">
        <f>Q121/Q116</f>
        <v>4302.6722438092</v>
      </c>
      <c r="R146" s="14"/>
      <c r="S146" s="14"/>
      <c r="AC146" s="11" t="s">
        <v>225</v>
      </c>
      <c r="AD146" s="11" t="s">
        <v>226</v>
      </c>
      <c r="AE146" s="14">
        <f>AE121/AE116</f>
        <v>3046.6948021226444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456.904158671171</v>
      </c>
      <c r="D147" s="14"/>
      <c r="E147" s="14"/>
      <c r="O147" s="11" t="s">
        <v>227</v>
      </c>
      <c r="P147" s="11" t="s">
        <v>148</v>
      </c>
      <c r="Q147" s="14">
        <f>Q146-Q145</f>
        <v>495.2133029144452</v>
      </c>
      <c r="R147" s="14"/>
      <c r="S147" s="14"/>
      <c r="AC147" s="11" t="s">
        <v>227</v>
      </c>
      <c r="AD147" s="11" t="s">
        <v>148</v>
      </c>
      <c r="AE147" s="14">
        <f>AE146-AE145</f>
        <v>336.41571295537597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0.576810719881832</v>
      </c>
      <c r="D148" s="31"/>
      <c r="E148" s="31"/>
      <c r="O148" s="11" t="s">
        <v>228</v>
      </c>
      <c r="P148" s="11" t="s">
        <v>150</v>
      </c>
      <c r="Q148" s="31">
        <f>(+Q147/Q121)*60</f>
        <v>0.6001300621453554</v>
      </c>
      <c r="R148" s="31"/>
      <c r="S148" s="31"/>
      <c r="AC148" s="11" t="s">
        <v>228</v>
      </c>
      <c r="AD148" s="11" t="s">
        <v>150</v>
      </c>
      <c r="AE148" s="31">
        <f>(+AE147/AE121)*60</f>
        <v>0.48547917651429706</v>
      </c>
      <c r="AF148" s="31"/>
      <c r="AG148" s="31"/>
    </row>
    <row r="149" spans="1:33" ht="12.75">
      <c r="A149" s="11"/>
      <c r="B149" s="11" t="s">
        <v>151</v>
      </c>
      <c r="C149" s="31">
        <f>+C85</f>
        <v>1.1996061874036021</v>
      </c>
      <c r="D149" s="31"/>
      <c r="E149" s="31"/>
      <c r="O149" s="11"/>
      <c r="P149" s="11" t="s">
        <v>151</v>
      </c>
      <c r="Q149" s="31">
        <f>+Q85</f>
        <v>1.1980690815441424</v>
      </c>
      <c r="R149" s="31"/>
      <c r="S149" s="31"/>
      <c r="AC149" s="11"/>
      <c r="AD149" s="11" t="s">
        <v>151</v>
      </c>
      <c r="AE149" s="31">
        <f>+AE85</f>
        <v>1.205097375085098</v>
      </c>
      <c r="AF149" s="31"/>
      <c r="AG149" s="31"/>
    </row>
    <row r="150" spans="1:33" ht="12.75">
      <c r="A150" s="11"/>
      <c r="B150" s="11" t="s">
        <v>152</v>
      </c>
      <c r="C150" s="31">
        <f>+C149*C147</f>
        <v>548.105055792374</v>
      </c>
      <c r="D150" s="31"/>
      <c r="E150" s="31"/>
      <c r="O150" s="11"/>
      <c r="P150" s="11" t="s">
        <v>152</v>
      </c>
      <c r="Q150" s="31">
        <f>+Q149*Q147</f>
        <v>593.2997469911505</v>
      </c>
      <c r="R150" s="31"/>
      <c r="S150" s="31"/>
      <c r="AC150" s="11"/>
      <c r="AD150" s="11" t="s">
        <v>152</v>
      </c>
      <c r="AE150" s="31">
        <f>+AE149*AE147</f>
        <v>405.41369261990536</v>
      </c>
      <c r="AF150" s="31"/>
      <c r="AG150" s="31"/>
    </row>
    <row r="151" spans="1:33" ht="12.75">
      <c r="A151" s="11" t="s">
        <v>229</v>
      </c>
      <c r="B151" s="11" t="s">
        <v>154</v>
      </c>
      <c r="C151" s="38">
        <f>C105</f>
        <v>9</v>
      </c>
      <c r="D151" s="38"/>
      <c r="E151" s="38"/>
      <c r="O151" s="11" t="s">
        <v>229</v>
      </c>
      <c r="P151" s="11" t="s">
        <v>154</v>
      </c>
      <c r="Q151" s="38">
        <f>Q105</f>
        <v>9</v>
      </c>
      <c r="R151" s="38"/>
      <c r="S151" s="38"/>
      <c r="AC151" s="11" t="s">
        <v>229</v>
      </c>
      <c r="AD151" s="11" t="s">
        <v>154</v>
      </c>
      <c r="AE151" s="38">
        <f>AE105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4932.945502131365</v>
      </c>
      <c r="D152" s="37"/>
      <c r="E152" s="37"/>
      <c r="O152" s="11" t="s">
        <v>230</v>
      </c>
      <c r="P152" s="11" t="s">
        <v>156</v>
      </c>
      <c r="Q152" s="37">
        <f>Q150*Q151</f>
        <v>5339.697722920355</v>
      </c>
      <c r="R152" s="37"/>
      <c r="S152" s="37"/>
      <c r="AC152" s="11" t="s">
        <v>230</v>
      </c>
      <c r="AD152" s="11" t="s">
        <v>156</v>
      </c>
      <c r="AE152" s="37">
        <f>AE150*AE151</f>
        <v>3648.723233579148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621.0875748520668</v>
      </c>
      <c r="D155" s="14"/>
      <c r="E155" s="14"/>
      <c r="O155" s="11" t="s">
        <v>231</v>
      </c>
      <c r="P155" s="11" t="s">
        <v>205</v>
      </c>
      <c r="Q155" s="14">
        <f>Q133</f>
        <v>606.9052341167136</v>
      </c>
      <c r="R155" s="14"/>
      <c r="S155" s="14"/>
      <c r="AC155" s="11" t="s">
        <v>231</v>
      </c>
      <c r="AD155" s="11" t="s">
        <v>205</v>
      </c>
      <c r="AE155" s="14">
        <f>AE133</f>
        <v>665.8519714003505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0.288405359940916</v>
      </c>
      <c r="D156" s="31"/>
      <c r="E156" s="31"/>
      <c r="O156" s="11" t="s">
        <v>232</v>
      </c>
      <c r="P156" s="11" t="s">
        <v>169</v>
      </c>
      <c r="Q156" s="31">
        <f>Q148/2</f>
        <v>0.3000650310726777</v>
      </c>
      <c r="R156" s="31"/>
      <c r="S156" s="31"/>
      <c r="AC156" s="11" t="s">
        <v>232</v>
      </c>
      <c r="AD156" s="11" t="s">
        <v>169</v>
      </c>
      <c r="AE156" s="31">
        <f>AE148/2</f>
        <v>0.24273958825714853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2.9854164263340155</v>
      </c>
      <c r="D157" s="31"/>
      <c r="E157" s="31"/>
      <c r="O157" s="11" t="s">
        <v>233</v>
      </c>
      <c r="P157" s="11" t="s">
        <v>234</v>
      </c>
      <c r="Q157" s="31">
        <f>(+Q155*Q156)/60</f>
        <v>3.035183965556706</v>
      </c>
      <c r="R157" s="31"/>
      <c r="S157" s="31"/>
      <c r="AC157" s="11" t="s">
        <v>233</v>
      </c>
      <c r="AD157" s="11" t="s">
        <v>234</v>
      </c>
      <c r="AE157" s="31">
        <f>(+AE155*AE156)/60</f>
        <v>2.693810556298862</v>
      </c>
      <c r="AF157" s="31"/>
      <c r="AG157" s="31"/>
    </row>
    <row r="158" spans="1:33" ht="12.75">
      <c r="A158" s="11"/>
      <c r="B158" s="11" t="s">
        <v>151</v>
      </c>
      <c r="C158" s="31">
        <f>+C85</f>
        <v>1.1996061874036021</v>
      </c>
      <c r="D158" s="31"/>
      <c r="E158" s="31"/>
      <c r="O158" s="11"/>
      <c r="P158" s="11" t="s">
        <v>151</v>
      </c>
      <c r="Q158" s="31">
        <f>+Q85</f>
        <v>1.1980690815441424</v>
      </c>
      <c r="R158" s="31"/>
      <c r="S158" s="31"/>
      <c r="AC158" s="11"/>
      <c r="AD158" s="11" t="s">
        <v>151</v>
      </c>
      <c r="AE158" s="31">
        <f>+AE85</f>
        <v>1.205097375085098</v>
      </c>
      <c r="AF158" s="31"/>
      <c r="AG158" s="31"/>
    </row>
    <row r="159" spans="1:33" ht="12.75">
      <c r="A159" s="11"/>
      <c r="B159" s="11" t="s">
        <v>152</v>
      </c>
      <c r="C159" s="31">
        <f>+C158*C157</f>
        <v>3.581324017006635</v>
      </c>
      <c r="D159" s="31"/>
      <c r="E159" s="31"/>
      <c r="O159" s="11"/>
      <c r="P159" s="11" t="s">
        <v>152</v>
      </c>
      <c r="Q159" s="31">
        <f>+Q158*Q157</f>
        <v>3.6363600659320308</v>
      </c>
      <c r="R159" s="31"/>
      <c r="S159" s="31"/>
      <c r="AC159" s="11"/>
      <c r="AD159" s="11" t="s">
        <v>152</v>
      </c>
      <c r="AE159" s="31">
        <f>+AE158*AE157</f>
        <v>3.2463040303722863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32.231916153059714</v>
      </c>
      <c r="D161" s="37"/>
      <c r="E161" s="37"/>
      <c r="O161" s="11" t="s">
        <v>236</v>
      </c>
      <c r="P161" s="11" t="s">
        <v>156</v>
      </c>
      <c r="Q161" s="37">
        <f>Q159*Q160</f>
        <v>32.727240593388274</v>
      </c>
      <c r="R161" s="37"/>
      <c r="S161" s="37"/>
      <c r="AC161" s="11" t="s">
        <v>236</v>
      </c>
      <c r="AD161" s="11" t="s">
        <v>156</v>
      </c>
      <c r="AE161" s="37">
        <f>AE159*AE160</f>
        <v>29.216736273350577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4965.177418284425</v>
      </c>
      <c r="D163" s="37">
        <f>+D143+D152+D161</f>
        <v>0</v>
      </c>
      <c r="E163" s="37">
        <f>SUM(C163:D163)</f>
        <v>4965.177418284425</v>
      </c>
      <c r="O163" s="18"/>
      <c r="P163" s="11" t="s">
        <v>391</v>
      </c>
      <c r="Q163" s="37">
        <f>+Q152+Q161</f>
        <v>5372.424963513743</v>
      </c>
      <c r="R163" s="37">
        <f>+R143+R152+R161</f>
        <v>0</v>
      </c>
      <c r="S163" s="37">
        <f>SUM(Q163:R163)</f>
        <v>5372.424963513743</v>
      </c>
      <c r="AC163" s="18"/>
      <c r="AD163" s="11" t="s">
        <v>391</v>
      </c>
      <c r="AE163" s="37">
        <f>+AE152+AE161</f>
        <v>3677.939969852499</v>
      </c>
      <c r="AF163" s="37">
        <f>+AF143+AF152+AF161</f>
        <v>0</v>
      </c>
      <c r="AG163" s="37">
        <f>SUM(AE163:AF163)</f>
        <v>3677.939969852499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395</v>
      </c>
      <c r="E166" s="46"/>
      <c r="O166" s="18"/>
      <c r="P166" s="18"/>
      <c r="Q166" s="39" t="s">
        <v>92</v>
      </c>
      <c r="R166" s="24" t="s">
        <v>395</v>
      </c>
      <c r="S166" s="46"/>
      <c r="AC166" s="18"/>
      <c r="AD166" s="18"/>
      <c r="AE166" s="39" t="s">
        <v>92</v>
      </c>
      <c r="AF166" s="24" t="s">
        <v>395</v>
      </c>
      <c r="AG166" s="46"/>
    </row>
    <row r="167" spans="1:33" ht="12.75">
      <c r="A167" s="11" t="s">
        <v>237</v>
      </c>
      <c r="B167" s="11" t="s">
        <v>238</v>
      </c>
      <c r="C167" s="37">
        <f>C88</f>
        <v>15700.972082544375</v>
      </c>
      <c r="D167" s="37">
        <f>D88</f>
        <v>40295.109360355484</v>
      </c>
      <c r="E167" s="37"/>
      <c r="O167" s="11" t="s">
        <v>237</v>
      </c>
      <c r="P167" s="11" t="s">
        <v>238</v>
      </c>
      <c r="Q167" s="37">
        <f>Q88</f>
        <v>15818.391539582333</v>
      </c>
      <c r="R167" s="37">
        <f>R88</f>
        <v>45406.17202114571</v>
      </c>
      <c r="S167" s="37"/>
      <c r="AC167" s="11" t="s">
        <v>237</v>
      </c>
      <c r="AD167" s="11" t="s">
        <v>238</v>
      </c>
      <c r="AE167" s="37">
        <f>AE88</f>
        <v>13331.477593683152</v>
      </c>
      <c r="AF167" s="37">
        <f>AF88</f>
        <v>25395.203784452086</v>
      </c>
      <c r="AG167" s="37"/>
    </row>
    <row r="168" spans="1:33" ht="12.75">
      <c r="A168" s="11" t="s">
        <v>239</v>
      </c>
      <c r="B168" s="11" t="s">
        <v>240</v>
      </c>
      <c r="C168" s="37">
        <f>C97</f>
        <v>260.7224291655033</v>
      </c>
      <c r="D168" s="37">
        <f>D97</f>
        <v>0</v>
      </c>
      <c r="E168" s="37"/>
      <c r="O168" s="11" t="s">
        <v>239</v>
      </c>
      <c r="P168" s="11" t="s">
        <v>240</v>
      </c>
      <c r="Q168" s="37">
        <f>Q97</f>
        <v>243.68486245714854</v>
      </c>
      <c r="R168" s="37">
        <f>R97</f>
        <v>0</v>
      </c>
      <c r="S168" s="37"/>
      <c r="AC168" s="11" t="s">
        <v>239</v>
      </c>
      <c r="AD168" s="11" t="s">
        <v>240</v>
      </c>
      <c r="AE168" s="37">
        <f>AE97</f>
        <v>279.1563983186578</v>
      </c>
      <c r="AF168" s="37">
        <f>AF97</f>
        <v>0</v>
      </c>
      <c r="AG168" s="37"/>
    </row>
    <row r="169" spans="1:33" ht="12.75">
      <c r="A169" s="11" t="s">
        <v>241</v>
      </c>
      <c r="B169" s="11" t="s">
        <v>242</v>
      </c>
      <c r="C169" s="37">
        <f>C106</f>
        <v>269.76272101383455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237.56121797136421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307.5868547026917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4932.945502131365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5339.697722920355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3648.723233579148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32.231916153059714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32.727240593388274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29.216736273350577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21196.63465100814</v>
      </c>
      <c r="D172" s="37">
        <f>SUM(D167:D171)</f>
        <v>40295.109360355484</v>
      </c>
      <c r="E172" s="37">
        <f>SUM(C172:D172)</f>
        <v>61491.744011363626</v>
      </c>
      <c r="O172" s="11" t="s">
        <v>247</v>
      </c>
      <c r="P172" s="11" t="s">
        <v>248</v>
      </c>
      <c r="Q172" s="37">
        <f>SUM(Q167:Q171)</f>
        <v>21672.06258352459</v>
      </c>
      <c r="R172" s="37">
        <f>SUM(R167:R171)</f>
        <v>45406.17202114571</v>
      </c>
      <c r="S172" s="37">
        <f>SUM(Q172:R172)</f>
        <v>67078.23460467029</v>
      </c>
      <c r="AC172" s="11" t="s">
        <v>247</v>
      </c>
      <c r="AD172" s="11" t="s">
        <v>248</v>
      </c>
      <c r="AE172" s="37">
        <f>SUM(AE167:AE171)</f>
        <v>17596.160816556996</v>
      </c>
      <c r="AF172" s="37">
        <f>SUM(AF167:AF171)</f>
        <v>25395.203784452086</v>
      </c>
      <c r="AG172" s="37">
        <f>SUM(AE172:AF172)</f>
        <v>42991.36460100908</v>
      </c>
    </row>
    <row r="173" spans="1:33" ht="12.75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188467.30623619692</v>
      </c>
      <c r="D185" s="14">
        <f>D75</f>
        <v>97026.338028169</v>
      </c>
      <c r="E185" s="14"/>
      <c r="O185" s="11" t="s">
        <v>258</v>
      </c>
      <c r="P185" s="11" t="s">
        <v>259</v>
      </c>
      <c r="Q185" s="14">
        <f>Q75</f>
        <v>195549.23417161746</v>
      </c>
      <c r="R185" s="14">
        <f>R75</f>
        <v>98452.39436619719</v>
      </c>
      <c r="S185" s="14"/>
      <c r="AC185" s="11" t="s">
        <v>258</v>
      </c>
      <c r="AD185" s="11" t="s">
        <v>259</v>
      </c>
      <c r="AE185" s="14">
        <f>AE75</f>
        <v>166633.41043998464</v>
      </c>
      <c r="AF185" s="14">
        <f>AF75</f>
        <v>92748.1690140845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48148.37612088752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50117.50310126718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42243.21255409081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236615.68235708444</v>
      </c>
      <c r="D187" s="14">
        <f>D185+D186</f>
        <v>97026.338028169</v>
      </c>
      <c r="E187" s="14"/>
      <c r="O187" s="11" t="s">
        <v>262</v>
      </c>
      <c r="P187" s="11" t="s">
        <v>263</v>
      </c>
      <c r="Q187" s="14">
        <f>Q185+Q186</f>
        <v>245666.73727288464</v>
      </c>
      <c r="R187" s="14">
        <f>R185+R186</f>
        <v>98452.39436619719</v>
      </c>
      <c r="S187" s="14"/>
      <c r="AC187" s="11" t="s">
        <v>262</v>
      </c>
      <c r="AD187" s="11" t="s">
        <v>263</v>
      </c>
      <c r="AE187" s="14">
        <f>AE185+AE186</f>
        <v>208876.62299407544</v>
      </c>
      <c r="AF187" s="14">
        <f>AF185+AF186</f>
        <v>92748.1690140845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-91831.72103653036</v>
      </c>
      <c r="D189" s="14">
        <f>D185-D181</f>
        <v>97026.338028169</v>
      </c>
      <c r="E189" s="14"/>
      <c r="O189" s="11" t="s">
        <v>264</v>
      </c>
      <c r="P189" s="11" t="s">
        <v>265</v>
      </c>
      <c r="Q189" s="14">
        <f>Q185-Q181</f>
        <v>-94198.07491929163</v>
      </c>
      <c r="R189" s="14">
        <f>R185-R181</f>
        <v>98452.39436619719</v>
      </c>
      <c r="S189" s="14"/>
      <c r="AC189" s="11" t="s">
        <v>264</v>
      </c>
      <c r="AD189" s="11" t="s">
        <v>265</v>
      </c>
      <c r="AE189" s="14">
        <f>AE185-AE181</f>
        <v>-85320.77137819715</v>
      </c>
      <c r="AF189" s="14">
        <f>AF185-AF181</f>
        <v>92748.1690140845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-5241.914788203394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-5072.460535096463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-5748.060173181926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-97073.63582473376</v>
      </c>
      <c r="D191" s="14">
        <f>D189+D190</f>
        <v>97026.33522517871</v>
      </c>
      <c r="E191" s="14"/>
      <c r="O191" s="11" t="s">
        <v>268</v>
      </c>
      <c r="P191" s="11" t="s">
        <v>269</v>
      </c>
      <c r="Q191" s="14">
        <f>Q189+Q190</f>
        <v>-99270.5354543881</v>
      </c>
      <c r="R191" s="14">
        <f>R189+R190</f>
        <v>98452.39146872408</v>
      </c>
      <c r="S191" s="14"/>
      <c r="AC191" s="11" t="s">
        <v>268</v>
      </c>
      <c r="AD191" s="11" t="s">
        <v>269</v>
      </c>
      <c r="AE191" s="14">
        <f>AE189+AE190</f>
        <v>-91068.83155137909</v>
      </c>
      <c r="AF191" s="14">
        <f>AF189+AF190</f>
        <v>92748.16649454267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>
        <f>(1/C81)*C185</f>
        <v>6846.309385518835</v>
      </c>
      <c r="D199" s="14">
        <f>(1/D81)*D185</f>
        <v>1617.1056338028168</v>
      </c>
      <c r="E199" s="14"/>
      <c r="O199" s="11" t="s">
        <v>280</v>
      </c>
      <c r="P199" s="11" t="s">
        <v>281</v>
      </c>
      <c r="Q199" s="14">
        <f>(1/Q81)*Q185</f>
        <v>7680.529155351611</v>
      </c>
      <c r="R199" s="14">
        <f>(1/R81)*R185</f>
        <v>1640.8732394366198</v>
      </c>
      <c r="S199" s="14"/>
      <c r="AC199" s="11" t="s">
        <v>280</v>
      </c>
      <c r="AD199" s="11" t="s">
        <v>281</v>
      </c>
      <c r="AE199" s="14">
        <f>(1/AE81)*AE185</f>
        <v>4664.482802900838</v>
      </c>
      <c r="AF199" s="14">
        <f>(1/AF81)*AF185</f>
        <v>1545.8028169014083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3540.525415429678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3854.131105228417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2753.6835922255623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>
        <f>C199+C200</f>
        <v>10386.834800948513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>
        <f>Q199+Q200</f>
        <v>11534.660260580027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>
        <f>AE199+AE200</f>
        <v>7418.1663951264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>
        <f>C187/C201</f>
        <v>22.780345205401456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>
        <f>Q187/Q201</f>
        <v>21.29813377446898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>
        <f>AE187/AE201</f>
        <v>28.157446445432065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>
        <f>1/C202</f>
        <v>0.04389749106009551</v>
      </c>
      <c r="D203" s="41" t="e">
        <f>1/D202</f>
        <v>#DIV/0!</v>
      </c>
      <c r="E203" s="41"/>
      <c r="O203" s="11" t="s">
        <v>288</v>
      </c>
      <c r="P203" s="11" t="s">
        <v>289</v>
      </c>
      <c r="Q203" s="41">
        <f>1/Q202</f>
        <v>0.046952470605605104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>
        <f>1/AE202</f>
        <v>0.035514584106124736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>
        <f>(C203-C197)/C197</f>
        <v>-0.11379116621350688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>
        <f>(Q203-Q197)/Q197</f>
        <v>-0.10389768726734043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>
        <f>(AE203-AE197)/AE197</f>
        <v>-0.12876887214505778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-0.29091022857327725</v>
      </c>
      <c r="D206" s="13">
        <f>D191/D183</f>
        <v>34615294.8448299</v>
      </c>
      <c r="E206" s="13"/>
      <c r="O206" s="11" t="s">
        <v>292</v>
      </c>
      <c r="P206" s="11" t="s">
        <v>293</v>
      </c>
      <c r="Q206" s="13">
        <f>Q191/Q183</f>
        <v>-0.2877930084780287</v>
      </c>
      <c r="R206" s="13">
        <f>R191/R183</f>
        <v>33978707.61351395</v>
      </c>
      <c r="S206" s="13"/>
      <c r="AC206" s="11" t="s">
        <v>292</v>
      </c>
      <c r="AD206" s="11" t="s">
        <v>293</v>
      </c>
      <c r="AE206" s="13">
        <f>AE191/AE183</f>
        <v>-0.3036179751061314</v>
      </c>
      <c r="AF206" s="13">
        <f>AF191/AF183</f>
        <v>36811520.79287</v>
      </c>
      <c r="AG206" s="13"/>
    </row>
    <row r="207" spans="1:33" ht="12.75" hidden="1">
      <c r="A207" s="11" t="s">
        <v>294</v>
      </c>
      <c r="B207" s="11" t="s">
        <v>295</v>
      </c>
      <c r="C207" s="33">
        <f>C206/C205</f>
        <v>2.5565273496489267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>
        <f>Q206/Q205</f>
        <v>2.769965492470539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>
        <f>AE206/AE205</f>
        <v>2.3578522514673157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182401.01007659652</v>
      </c>
      <c r="D210" s="14">
        <f>D59</f>
        <v>97026.338028169</v>
      </c>
      <c r="E210" s="14"/>
      <c r="O210" s="11" t="s">
        <v>297</v>
      </c>
      <c r="P210" s="11" t="s">
        <v>298</v>
      </c>
      <c r="Q210" s="14">
        <f>Q59</f>
        <v>190012.58722590737</v>
      </c>
      <c r="R210" s="14">
        <f>R59</f>
        <v>98452.39436619719</v>
      </c>
      <c r="S210" s="14"/>
      <c r="AC210" s="11" t="s">
        <v>297</v>
      </c>
      <c r="AD210" s="11" t="s">
        <v>298</v>
      </c>
      <c r="AE210" s="14">
        <f>AE59</f>
        <v>159566.2786286641</v>
      </c>
      <c r="AF210" s="14">
        <f>AF59</f>
        <v>92748.1690140845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29.539494068751793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27.051310176279035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38.839680333462816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>
        <f>(1/C211)*C210</f>
        <v>6174.81835173164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>
        <f>(1/Q211)*Q210</f>
        <v>7024.154689281079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>
        <f>(1/AE211)*AE210</f>
        <v>4108.331408978867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47527.28854603545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49510.59786715047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41577.36058269046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13.786828466613477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13.18703485843333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15.527456395078618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3447.2967195558213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3754.4905582385422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2677.6671931835717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229928.29862263196</v>
      </c>
      <c r="D216" s="14">
        <f>D210+D213</f>
        <v>97026.338028169</v>
      </c>
      <c r="E216" s="14"/>
      <c r="O216" s="11" t="s">
        <v>309</v>
      </c>
      <c r="P216" s="11" t="s">
        <v>310</v>
      </c>
      <c r="Q216" s="14">
        <f>Q210+Q213</f>
        <v>239523.18509305784</v>
      </c>
      <c r="R216" s="14">
        <f>R210+R213</f>
        <v>98452.39436619719</v>
      </c>
      <c r="S216" s="14"/>
      <c r="AC216" s="11" t="s">
        <v>309</v>
      </c>
      <c r="AD216" s="11" t="s">
        <v>310</v>
      </c>
      <c r="AE216" s="14">
        <f>AE210+AE213</f>
        <v>201143.63921135454</v>
      </c>
      <c r="AF216" s="14">
        <f>AF210+AF213</f>
        <v>92748.1690140845</v>
      </c>
      <c r="AG216" s="14"/>
    </row>
    <row r="217" spans="1:33" ht="12.75" hidden="1">
      <c r="A217" s="11" t="s">
        <v>311</v>
      </c>
      <c r="B217" s="11" t="s">
        <v>312</v>
      </c>
      <c r="C217" s="14">
        <f>C212+C215</f>
        <v>9622.115071287462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>
        <f>Q212+Q215</f>
        <v>10778.645247519622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>
        <f>AE212+AE215</f>
        <v>6785.998602162439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>
        <f>C216/C217</f>
        <v>23.89581676369071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>
        <f>Q216/Q217</f>
        <v>22.222012098243685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>
        <f>AE216/AE217</f>
        <v>29.64097858011019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>
        <f>1/C218</f>
        <v>0.0418483289309233</v>
      </c>
      <c r="D219" s="42" t="e">
        <f>1/D218</f>
        <v>#DIV/0!</v>
      </c>
      <c r="E219" s="42"/>
      <c r="O219" s="11" t="s">
        <v>315</v>
      </c>
      <c r="P219" s="11" t="s">
        <v>316</v>
      </c>
      <c r="Q219" s="42">
        <f>1/Q218</f>
        <v>0.04500042550507993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>
        <f>1/AE218</f>
        <v>0.03373707778565125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>
        <f>C203</f>
        <v>0.04389749106009551</v>
      </c>
      <c r="D220" s="42" t="e">
        <f>D203</f>
        <v>#DIV/0!</v>
      </c>
      <c r="E220" s="42"/>
      <c r="O220" s="11" t="s">
        <v>317</v>
      </c>
      <c r="P220" s="11" t="s">
        <v>289</v>
      </c>
      <c r="Q220" s="42">
        <f>Q203</f>
        <v>0.046952470605605104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>
        <f>AE203</f>
        <v>0.035514584106124736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>
        <f>(C220-C219)/C219</f>
        <v>0.0489664027577934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>
        <f>(Q220-Q219)/Q219</f>
        <v>0.04337836984018766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>
        <f>(AE220-AE219)/AE219</f>
        <v>0.05268702677116508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-0.29091022857327725</v>
      </c>
      <c r="D222" s="13">
        <f>D206</f>
        <v>34615294.8448299</v>
      </c>
      <c r="E222" s="13"/>
      <c r="O222" s="11" t="s">
        <v>319</v>
      </c>
      <c r="P222" s="11" t="s">
        <v>293</v>
      </c>
      <c r="Q222" s="13">
        <f>Q206</f>
        <v>-0.2877930084780287</v>
      </c>
      <c r="R222" s="13">
        <f>R206</f>
        <v>33978707.61351395</v>
      </c>
      <c r="S222" s="13"/>
      <c r="AC222" s="11" t="s">
        <v>319</v>
      </c>
      <c r="AD222" s="11" t="s">
        <v>293</v>
      </c>
      <c r="AE222" s="13">
        <f>AE206</f>
        <v>-0.3036179751061314</v>
      </c>
      <c r="AF222" s="13">
        <f>AF206</f>
        <v>36811520.79287</v>
      </c>
      <c r="AG222" s="13"/>
    </row>
    <row r="223" spans="1:33" ht="12.75" hidden="1">
      <c r="A223" s="11" t="s">
        <v>320</v>
      </c>
      <c r="B223" s="11" t="s">
        <v>321</v>
      </c>
      <c r="C223" s="42">
        <f>C221/C222</f>
        <v>-0.16832135122213232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>
        <f>Q221/Q222</f>
        <v>-0.15072767079919994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>
        <f>AE221/AE222</f>
        <v>-0.1735306572436893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 hidden="1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395</v>
      </c>
      <c r="E229" s="24" t="s">
        <v>40</v>
      </c>
      <c r="O229" s="11"/>
      <c r="P229" s="11"/>
      <c r="Q229" s="24" t="s">
        <v>92</v>
      </c>
      <c r="R229" s="24" t="s">
        <v>395</v>
      </c>
      <c r="S229" s="24" t="s">
        <v>40</v>
      </c>
      <c r="AC229" s="11"/>
      <c r="AD229" s="11"/>
      <c r="AE229" s="24" t="s">
        <v>92</v>
      </c>
      <c r="AF229" s="24" t="s">
        <v>395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>
        <f>+C43</f>
        <v>176538.00771354104</v>
      </c>
      <c r="D231" s="14">
        <f>+D43</f>
        <v>97026.338028169</v>
      </c>
      <c r="E231" s="14">
        <f>SUM(C231:D231)</f>
        <v>273564.34574171004</v>
      </c>
      <c r="O231" s="11"/>
      <c r="P231" s="11" t="s">
        <v>325</v>
      </c>
      <c r="Q231" s="14">
        <f>+Q43</f>
        <v>184333.22145669418</v>
      </c>
      <c r="R231" s="14">
        <f>+R43</f>
        <v>98452.39436619719</v>
      </c>
      <c r="S231" s="14">
        <f>SUM(Q231:R231)</f>
        <v>282785.61582289136</v>
      </c>
      <c r="AC231" s="11"/>
      <c r="AD231" s="11" t="s">
        <v>325</v>
      </c>
      <c r="AE231" s="14">
        <f>+AE43</f>
        <v>153152.3664840818</v>
      </c>
      <c r="AF231" s="14">
        <f>+AF43</f>
        <v>92748.1690140845</v>
      </c>
      <c r="AG231" s="14">
        <f>SUM(AE231:AF231)</f>
        <v>245900.5354981663</v>
      </c>
    </row>
    <row r="232" spans="1:33" ht="12.75">
      <c r="A232" s="11"/>
      <c r="B232" s="11" t="s">
        <v>326</v>
      </c>
      <c r="C232" s="14">
        <f>C58</f>
        <v>5863.002363055465</v>
      </c>
      <c r="D232" s="14">
        <f>D58</f>
        <v>0</v>
      </c>
      <c r="E232" s="14"/>
      <c r="O232" s="11"/>
      <c r="P232" s="11" t="s">
        <v>326</v>
      </c>
      <c r="Q232" s="14">
        <f>Q58</f>
        <v>5679.365769213177</v>
      </c>
      <c r="R232" s="14">
        <f>R58</f>
        <v>0</v>
      </c>
      <c r="S232" s="14"/>
      <c r="AC232" s="11"/>
      <c r="AD232" s="11" t="s">
        <v>326</v>
      </c>
      <c r="AE232" s="14">
        <f>AE58</f>
        <v>6413.912144582272</v>
      </c>
      <c r="AF232" s="14">
        <f>AF58</f>
        <v>0</v>
      </c>
      <c r="AG232" s="14"/>
    </row>
    <row r="233" spans="1:33" ht="12.75">
      <c r="A233" s="11"/>
      <c r="B233" s="11" t="s">
        <v>327</v>
      </c>
      <c r="C233" s="14">
        <f>C73</f>
        <v>6066.296159600416</v>
      </c>
      <c r="D233" s="14">
        <f>D73</f>
        <v>0</v>
      </c>
      <c r="E233" s="14"/>
      <c r="O233" s="11"/>
      <c r="P233" s="11" t="s">
        <v>327</v>
      </c>
      <c r="Q233" s="14">
        <f>Q73</f>
        <v>5536.646945710097</v>
      </c>
      <c r="R233" s="14">
        <f>R73</f>
        <v>0</v>
      </c>
      <c r="S233" s="14"/>
      <c r="AC233" s="11"/>
      <c r="AD233" s="11" t="s">
        <v>327</v>
      </c>
      <c r="AE233" s="14">
        <f>AE73</f>
        <v>7067.13181132055</v>
      </c>
      <c r="AF233" s="14">
        <f>AF73</f>
        <v>0</v>
      </c>
      <c r="AG233" s="14"/>
    </row>
    <row r="234" spans="1:33" ht="12.75">
      <c r="A234" s="11"/>
      <c r="B234" s="11" t="s">
        <v>328</v>
      </c>
      <c r="C234" s="14">
        <f>C231+C232+C233</f>
        <v>188467.30623619692</v>
      </c>
      <c r="D234" s="14">
        <f>D231+D232+D233</f>
        <v>97026.338028169</v>
      </c>
      <c r="E234" s="14">
        <f>SUM(C234:D234)</f>
        <v>285493.6442643659</v>
      </c>
      <c r="O234" s="11"/>
      <c r="P234" s="11" t="s">
        <v>328</v>
      </c>
      <c r="Q234" s="14">
        <f>Q231+Q232+Q233</f>
        <v>195549.23417161746</v>
      </c>
      <c r="R234" s="14">
        <f>R231+R232+R233</f>
        <v>98452.39436619719</v>
      </c>
      <c r="S234" s="14">
        <f>SUM(Q234:R234)</f>
        <v>294001.62853781466</v>
      </c>
      <c r="AC234" s="11"/>
      <c r="AD234" s="11" t="s">
        <v>328</v>
      </c>
      <c r="AE234" s="14">
        <f>AE231+AE232+AE233</f>
        <v>166633.41043998464</v>
      </c>
      <c r="AF234" s="14">
        <f>AF231+AF232+AF233</f>
        <v>92748.1690140845</v>
      </c>
      <c r="AG234" s="14">
        <f>SUM(AE234:AF234)</f>
        <v>259381.57945406914</v>
      </c>
    </row>
    <row r="235" spans="1:33" ht="12.75">
      <c r="A235" s="11"/>
      <c r="B235" s="11" t="s">
        <v>293</v>
      </c>
      <c r="C235" s="13">
        <f>(+C234-C231)/C231</f>
        <v>0.06757354224826717</v>
      </c>
      <c r="D235" s="13">
        <f>(+D234-D231)/D231</f>
        <v>0</v>
      </c>
      <c r="E235" s="13">
        <f>(+E234-E231)/E231</f>
        <v>0.04360691993802102</v>
      </c>
      <c r="O235" s="11"/>
      <c r="P235" s="11" t="s">
        <v>293</v>
      </c>
      <c r="Q235" s="13">
        <f>(+Q234-Q231)/Q231</f>
        <v>0.06084639885468651</v>
      </c>
      <c r="R235" s="13">
        <f>(+R234-R231)/R231</f>
        <v>0</v>
      </c>
      <c r="S235" s="13">
        <f>(+S234-S231)/S231</f>
        <v>0.03966259981889563</v>
      </c>
      <c r="AC235" s="11"/>
      <c r="AD235" s="11" t="s">
        <v>293</v>
      </c>
      <c r="AE235" s="13">
        <f>(+AE234-AE231)/AE231</f>
        <v>0.0880237391389183</v>
      </c>
      <c r="AF235" s="13">
        <f>(+AF234-AF231)/AF231</f>
        <v>0</v>
      </c>
      <c r="AG235" s="13">
        <f>(+AG234-AG231)/AG231</f>
        <v>0.05482315818707666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-5863.002363055465</v>
      </c>
      <c r="D239" s="14">
        <f>-D120</f>
        <v>0</v>
      </c>
      <c r="E239" s="14"/>
      <c r="O239" s="11"/>
      <c r="P239" s="11" t="s">
        <v>326</v>
      </c>
      <c r="Q239" s="14">
        <f>-Q120</f>
        <v>-5679.365769213177</v>
      </c>
      <c r="R239" s="14">
        <f>-R120</f>
        <v>0</v>
      </c>
      <c r="S239" s="14"/>
      <c r="AC239" s="11"/>
      <c r="AD239" s="11" t="s">
        <v>326</v>
      </c>
      <c r="AE239" s="14">
        <f>-AE120</f>
        <v>-6413.912144582272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621.0875748520668</v>
      </c>
      <c r="D240" s="14">
        <f>D133</f>
        <v>0</v>
      </c>
      <c r="E240" s="14"/>
      <c r="O240" s="11"/>
      <c r="P240" s="11" t="s">
        <v>327</v>
      </c>
      <c r="Q240" s="14">
        <f>Q133</f>
        <v>606.9052341167136</v>
      </c>
      <c r="R240" s="14">
        <f>R133</f>
        <v>0</v>
      </c>
      <c r="S240" s="14"/>
      <c r="AC240" s="11"/>
      <c r="AD240" s="11" t="s">
        <v>327</v>
      </c>
      <c r="AE240" s="14">
        <f>AE133</f>
        <v>665.8519714003505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48148.37612088752</v>
      </c>
      <c r="D241" s="14">
        <f>D238+D239+D240</f>
        <v>0.0028029902868116244</v>
      </c>
      <c r="E241" s="14">
        <f>SUM(C241:D241)</f>
        <v>48148.37892387781</v>
      </c>
      <c r="O241" s="11"/>
      <c r="P241" s="11" t="s">
        <v>328</v>
      </c>
      <c r="Q241" s="14">
        <f>Q238+Q239+Q240</f>
        <v>50117.50310126718</v>
      </c>
      <c r="R241" s="14">
        <f>R238+R239+R240</f>
        <v>0.0028974731054681956</v>
      </c>
      <c r="S241" s="14">
        <f>SUM(Q241:R241)</f>
        <v>50117.505998740286</v>
      </c>
      <c r="AC241" s="11"/>
      <c r="AD241" s="11" t="s">
        <v>328</v>
      </c>
      <c r="AE241" s="14">
        <f>AE238+AE239+AE240</f>
        <v>42243.21255409081</v>
      </c>
      <c r="AF241" s="14">
        <f>AF238+AF239+AF240</f>
        <v>0.002519541830841909</v>
      </c>
      <c r="AG241" s="14">
        <f>SUM(AE241:AF241)</f>
        <v>42243.21507363264</v>
      </c>
    </row>
    <row r="242" spans="1:33" ht="12.75">
      <c r="A242" s="11"/>
      <c r="B242" s="11" t="s">
        <v>293</v>
      </c>
      <c r="C242" s="13">
        <f>(+C241-C238)/C238</f>
        <v>-0.09818104938084984</v>
      </c>
      <c r="D242" s="13">
        <f>(+D241-D238)/D238</f>
        <v>0</v>
      </c>
      <c r="E242" s="13">
        <f>(+E241-E238)/E238</f>
        <v>-0.098181044226345</v>
      </c>
      <c r="O242" s="11"/>
      <c r="P242" s="11" t="s">
        <v>293</v>
      </c>
      <c r="Q242" s="13">
        <f>(+Q241-Q238)/Q238</f>
        <v>-0.09190911174571445</v>
      </c>
      <c r="R242" s="13">
        <f>(+R241-R238)/R238</f>
        <v>0</v>
      </c>
      <c r="S242" s="13">
        <f>(+S241-S238)/S238</f>
        <v>-0.09190910692048632</v>
      </c>
      <c r="AC242" s="11"/>
      <c r="AD242" s="11" t="s">
        <v>293</v>
      </c>
      <c r="AE242" s="13">
        <f>(+AE241-AE238)/AE238</f>
        <v>-0.11977303052259725</v>
      </c>
      <c r="AF242" s="13">
        <f>(+AF241-AF238)/AF238</f>
        <v>0</v>
      </c>
      <c r="AG242" s="13">
        <f>(+AG241-AG238)/AG238</f>
        <v>-0.11977302423451346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229928.29862263196</v>
      </c>
      <c r="D245" s="14">
        <f t="shared" si="0"/>
        <v>97026.3408311593</v>
      </c>
      <c r="E245" s="14">
        <f>SUM(C245:D245)</f>
        <v>326954.63945379126</v>
      </c>
      <c r="O245" s="11"/>
      <c r="P245" s="11" t="s">
        <v>325</v>
      </c>
      <c r="Q245" s="14">
        <f aca="true" t="shared" si="1" ref="Q245:R247">Q231+Q238</f>
        <v>239523.18509305784</v>
      </c>
      <c r="R245" s="14">
        <f t="shared" si="1"/>
        <v>98452.3972636703</v>
      </c>
      <c r="S245" s="14">
        <f>SUM(Q245:R245)</f>
        <v>337975.58235672815</v>
      </c>
      <c r="AC245" s="11"/>
      <c r="AD245" s="11" t="s">
        <v>325</v>
      </c>
      <c r="AE245" s="14">
        <f aca="true" t="shared" si="2" ref="AE245:AF247">AE231+AE238</f>
        <v>201143.63921135454</v>
      </c>
      <c r="AF245" s="14">
        <f t="shared" si="2"/>
        <v>92748.17153362633</v>
      </c>
      <c r="AG245" s="14">
        <f>SUM(AE245:AF245)</f>
        <v>293891.8107449809</v>
      </c>
    </row>
    <row r="246" spans="1:33" ht="12.75">
      <c r="A246" s="11"/>
      <c r="B246" s="11" t="s">
        <v>326</v>
      </c>
      <c r="C246" s="14">
        <f t="shared" si="0"/>
        <v>0</v>
      </c>
      <c r="D246" s="14">
        <f t="shared" si="0"/>
        <v>0</v>
      </c>
      <c r="E246" s="14"/>
      <c r="O246" s="11"/>
      <c r="P246" s="11" t="s">
        <v>326</v>
      </c>
      <c r="Q246" s="14">
        <f t="shared" si="1"/>
        <v>0</v>
      </c>
      <c r="R246" s="14">
        <f t="shared" si="1"/>
        <v>0</v>
      </c>
      <c r="S246" s="14"/>
      <c r="AC246" s="11"/>
      <c r="AD246" s="11" t="s">
        <v>326</v>
      </c>
      <c r="AE246" s="14">
        <f t="shared" si="2"/>
        <v>0</v>
      </c>
      <c r="AF246" s="14">
        <f t="shared" si="2"/>
        <v>0</v>
      </c>
      <c r="AG246" s="14"/>
    </row>
    <row r="247" spans="1:33" ht="12.75">
      <c r="A247" s="11"/>
      <c r="B247" s="11" t="s">
        <v>327</v>
      </c>
      <c r="C247" s="14">
        <f t="shared" si="0"/>
        <v>6687.383734452483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6143.55217982681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7732.9837827209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236615.68235708444</v>
      </c>
      <c r="D248" s="14">
        <f>D245+D246+D247</f>
        <v>97026.3408311593</v>
      </c>
      <c r="E248" s="14">
        <f>SUM(C248:D248)</f>
        <v>333642.02318824374</v>
      </c>
      <c r="O248" s="11"/>
      <c r="P248" s="11" t="s">
        <v>328</v>
      </c>
      <c r="Q248" s="14">
        <f>Q245+Q246+Q247</f>
        <v>245666.73727288464</v>
      </c>
      <c r="R248" s="14">
        <f>R245+R246+R247</f>
        <v>98452.3972636703</v>
      </c>
      <c r="S248" s="14">
        <f>SUM(Q248:R248)</f>
        <v>344119.1345365549</v>
      </c>
      <c r="AC248" s="11"/>
      <c r="AD248" s="11" t="s">
        <v>328</v>
      </c>
      <c r="AE248" s="14">
        <f>AE245+AE246+AE247</f>
        <v>208876.62299407544</v>
      </c>
      <c r="AF248" s="14">
        <f>AF245+AF246+AF247</f>
        <v>92748.17153362633</v>
      </c>
      <c r="AG248" s="14">
        <f>SUM(AE248:AF248)</f>
        <v>301624.7945277018</v>
      </c>
    </row>
    <row r="249" spans="1:33" ht="12.75">
      <c r="A249" s="11"/>
      <c r="B249" s="11" t="s">
        <v>293</v>
      </c>
      <c r="C249" s="13">
        <f>(+C248-C245)/C245</f>
        <v>0.029084648451333503</v>
      </c>
      <c r="D249" s="13">
        <f>D139</f>
        <v>0</v>
      </c>
      <c r="E249" s="13">
        <f>(+E248-E245)/E245</f>
        <v>0.020453552045092215</v>
      </c>
      <c r="O249" s="11"/>
      <c r="P249" s="11" t="s">
        <v>293</v>
      </c>
      <c r="Q249" s="13">
        <f>(+Q248-Q245)/Q245</f>
        <v>0.025649091871586264</v>
      </c>
      <c r="R249" s="13">
        <f>R139</f>
        <v>0</v>
      </c>
      <c r="S249" s="13">
        <f>(+S248-S245)/S245</f>
        <v>0.01817750305210613</v>
      </c>
      <c r="AC249" s="11"/>
      <c r="AD249" s="11" t="s">
        <v>293</v>
      </c>
      <c r="AE249" s="13">
        <f>(+AE248-AE245)/AE245</f>
        <v>0.0384450823950508</v>
      </c>
      <c r="AF249" s="13">
        <f>AF139</f>
        <v>0</v>
      </c>
      <c r="AG249" s="13">
        <f>(+AG248-AG245)/AG245</f>
        <v>0.026312348626246953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395</v>
      </c>
      <c r="E252" s="24" t="s">
        <v>40</v>
      </c>
      <c r="O252" s="11"/>
      <c r="P252" s="11"/>
      <c r="Q252" s="24" t="s">
        <v>92</v>
      </c>
      <c r="R252" s="24" t="s">
        <v>395</v>
      </c>
      <c r="S252" s="24" t="s">
        <v>40</v>
      </c>
      <c r="AC252" s="11"/>
      <c r="AD252" s="11"/>
      <c r="AE252" s="24" t="s">
        <v>92</v>
      </c>
      <c r="AF252" s="24" t="s">
        <v>395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27.528306949557212</v>
      </c>
      <c r="D255" s="33">
        <f>D81</f>
        <v>60</v>
      </c>
      <c r="E255" s="33"/>
      <c r="O255" s="11"/>
      <c r="P255" s="11" t="s">
        <v>333</v>
      </c>
      <c r="Q255" s="33">
        <f>Q81</f>
        <v>25.460385634414706</v>
      </c>
      <c r="R255" s="33">
        <f>R81</f>
        <v>60</v>
      </c>
      <c r="S255" s="33"/>
      <c r="AC255" s="11"/>
      <c r="AD255" s="11" t="s">
        <v>333</v>
      </c>
      <c r="AE255" s="33">
        <f>AE81</f>
        <v>35.72387711159649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13.59921776328902</v>
      </c>
      <c r="D259" s="33">
        <f>D144</f>
        <v>0</v>
      </c>
      <c r="E259" s="33"/>
      <c r="O259" s="11"/>
      <c r="P259" s="11" t="s">
        <v>333</v>
      </c>
      <c r="Q259" s="33">
        <f>Q144</f>
        <v>13.003580244916693</v>
      </c>
      <c r="R259" s="33">
        <f>R144</f>
        <v>0</v>
      </c>
      <c r="S259" s="33"/>
      <c r="AC259" s="11"/>
      <c r="AD259" s="11" t="s">
        <v>333</v>
      </c>
      <c r="AE259" s="33">
        <f>AE144</f>
        <v>15.340619624329936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15700.972082544375</v>
      </c>
      <c r="D262" s="37">
        <f t="shared" si="3"/>
        <v>40295.109360355484</v>
      </c>
      <c r="E262" s="37"/>
      <c r="O262" s="11"/>
      <c r="P262" s="11" t="s">
        <v>238</v>
      </c>
      <c r="Q262" s="37">
        <f aca="true" t="shared" si="4" ref="Q262:R266">Q167</f>
        <v>15818.391539582333</v>
      </c>
      <c r="R262" s="37">
        <f t="shared" si="4"/>
        <v>45406.17202114571</v>
      </c>
      <c r="S262" s="37"/>
      <c r="AC262" s="11"/>
      <c r="AD262" s="11" t="s">
        <v>238</v>
      </c>
      <c r="AE262" s="37">
        <f aca="true" t="shared" si="5" ref="AE262:AF266">AE167</f>
        <v>13331.477593683152</v>
      </c>
      <c r="AF262" s="37">
        <f t="shared" si="5"/>
        <v>25395.203784452086</v>
      </c>
      <c r="AG262" s="37"/>
    </row>
    <row r="263" spans="1:33" ht="12.75">
      <c r="A263" s="11"/>
      <c r="B263" s="11" t="s">
        <v>240</v>
      </c>
      <c r="C263" s="37">
        <f t="shared" si="3"/>
        <v>260.7224291655033</v>
      </c>
      <c r="D263" s="37">
        <f t="shared" si="3"/>
        <v>0</v>
      </c>
      <c r="E263" s="37"/>
      <c r="O263" s="11"/>
      <c r="P263" s="11" t="s">
        <v>240</v>
      </c>
      <c r="Q263" s="37">
        <f t="shared" si="4"/>
        <v>243.68486245714854</v>
      </c>
      <c r="R263" s="37">
        <f t="shared" si="4"/>
        <v>0</v>
      </c>
      <c r="S263" s="37"/>
      <c r="AC263" s="11"/>
      <c r="AD263" s="11" t="s">
        <v>240</v>
      </c>
      <c r="AE263" s="37">
        <f t="shared" si="5"/>
        <v>279.1563983186578</v>
      </c>
      <c r="AF263" s="37">
        <f t="shared" si="5"/>
        <v>0</v>
      </c>
      <c r="AG263" s="37"/>
    </row>
    <row r="264" spans="1:33" ht="12.75">
      <c r="A264" s="11"/>
      <c r="B264" s="11" t="s">
        <v>242</v>
      </c>
      <c r="C264" s="37">
        <f t="shared" si="3"/>
        <v>269.76272101383455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237.56121797136421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307.5868547026917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4932.945502131365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5339.697722920355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3648.723233579148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32.231916153059714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32.727240593388274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29.216736273350577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21196.63465100814</v>
      </c>
      <c r="D267" s="37">
        <f>D172</f>
        <v>40295.109360355484</v>
      </c>
      <c r="E267" s="37">
        <f>SUM(C267:D267)</f>
        <v>61491.744011363626</v>
      </c>
      <c r="O267" s="11"/>
      <c r="P267" s="11" t="s">
        <v>248</v>
      </c>
      <c r="Q267" s="37">
        <f>SUM(Q262:Q266)</f>
        <v>21672.06258352459</v>
      </c>
      <c r="R267" s="37">
        <f>R172</f>
        <v>45406.17202114571</v>
      </c>
      <c r="S267" s="37">
        <f>SUM(Q267:R267)</f>
        <v>67078.23460467029</v>
      </c>
      <c r="AC267" s="11"/>
      <c r="AD267" s="11" t="s">
        <v>248</v>
      </c>
      <c r="AE267" s="37">
        <f>SUM(AE262:AE266)</f>
        <v>17596.160816556996</v>
      </c>
      <c r="AF267" s="37">
        <f>AF172</f>
        <v>25395.203784452086</v>
      </c>
      <c r="AG267" s="37">
        <f>SUM(AE267:AF267)</f>
        <v>42991.36460100908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60/C255</f>
        <v>2.179574650556746</v>
      </c>
      <c r="D271" s="33">
        <f>60/D255</f>
        <v>1</v>
      </c>
      <c r="E271" s="11"/>
      <c r="O271" s="11"/>
      <c r="P271" s="11" t="s">
        <v>335</v>
      </c>
      <c r="Q271" s="33">
        <f>60/Q255</f>
        <v>2.356602168621446</v>
      </c>
      <c r="R271" s="33">
        <f>60/R255</f>
        <v>1</v>
      </c>
      <c r="S271" s="11"/>
      <c r="AC271" s="11"/>
      <c r="AD271" s="11" t="s">
        <v>335</v>
      </c>
      <c r="AE271" s="33">
        <f>60/AE255</f>
        <v>1.679548941806295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1.179574650556746</v>
      </c>
      <c r="E272" s="11"/>
      <c r="O272" s="11"/>
      <c r="P272" s="11" t="s">
        <v>385</v>
      </c>
      <c r="Q272" s="33"/>
      <c r="R272" s="33">
        <f>+Q271-R271</f>
        <v>1.3566021686214458</v>
      </c>
      <c r="S272" s="11"/>
      <c r="AC272" s="11"/>
      <c r="AD272" s="11" t="s">
        <v>385</v>
      </c>
      <c r="AE272" s="33"/>
      <c r="AF272" s="33">
        <f>+AE271-AF271</f>
        <v>0.679548941806295</v>
      </c>
      <c r="AG272" s="11"/>
    </row>
    <row r="273" spans="1:33" ht="12.75">
      <c r="A273" s="11"/>
      <c r="B273" s="11" t="s">
        <v>461</v>
      </c>
      <c r="C273" s="33"/>
      <c r="D273" s="79">
        <f>+'Sensitivity Anal'!D18</f>
        <v>13</v>
      </c>
      <c r="E273" s="11"/>
      <c r="O273" s="11"/>
      <c r="P273" s="11" t="s">
        <v>461</v>
      </c>
      <c r="Q273" s="33"/>
      <c r="R273" s="79">
        <f>+D273</f>
        <v>13</v>
      </c>
      <c r="S273" s="11"/>
      <c r="AC273" s="11"/>
      <c r="AD273" s="11" t="s">
        <v>461</v>
      </c>
      <c r="AE273" s="33"/>
      <c r="AF273" s="79">
        <f>+D273</f>
        <v>13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0.2555745076206283</v>
      </c>
      <c r="E274" s="11"/>
      <c r="O274" s="11"/>
      <c r="P274" s="11" t="s">
        <v>336</v>
      </c>
      <c r="Q274" s="33"/>
      <c r="R274" s="38">
        <f>+R272*R273/60</f>
        <v>0.2939304698679799</v>
      </c>
      <c r="S274" s="11"/>
      <c r="AC274" s="11"/>
      <c r="AD274" s="11" t="s">
        <v>336</v>
      </c>
      <c r="AE274" s="33"/>
      <c r="AF274" s="38">
        <f>+AF272*AF273/60</f>
        <v>0.14723560405803057</v>
      </c>
      <c r="AG274" s="11"/>
    </row>
    <row r="275" spans="1:33" ht="12.75">
      <c r="A275" s="11"/>
      <c r="B275" s="11" t="s">
        <v>464</v>
      </c>
      <c r="C275" s="33"/>
      <c r="D275" s="30">
        <f>+'mode ch'!D135</f>
        <v>53883.03440824768</v>
      </c>
      <c r="E275" s="11"/>
      <c r="O275" s="11"/>
      <c r="P275" s="11" t="s">
        <v>464</v>
      </c>
      <c r="Q275" s="33"/>
      <c r="R275" s="30">
        <f>+'mode ch'!R135</f>
        <v>53854.82208493018</v>
      </c>
      <c r="S275" s="11"/>
      <c r="AC275" s="11"/>
      <c r="AD275" s="11" t="s">
        <v>464</v>
      </c>
      <c r="AE275" s="33"/>
      <c r="AF275" s="30">
        <f>+'mode ch'!AF135</f>
        <v>53967.67137820016</v>
      </c>
      <c r="AG275" s="11"/>
    </row>
    <row r="276" spans="1:33" ht="12.75">
      <c r="A276" s="11"/>
      <c r="B276" s="11" t="s">
        <v>468</v>
      </c>
      <c r="C276" s="33"/>
      <c r="D276" s="30">
        <f>+'mode ch'!C138</f>
        <v>42306.33802816901</v>
      </c>
      <c r="E276" s="11"/>
      <c r="O276" s="11"/>
      <c r="P276" s="11" t="s">
        <v>465</v>
      </c>
      <c r="Q276" s="33"/>
      <c r="R276" s="30">
        <f>+'mode ch'!R138</f>
        <v>43732.394366197186</v>
      </c>
      <c r="S276" s="11"/>
      <c r="AC276" s="11"/>
      <c r="AD276" s="11" t="s">
        <v>465</v>
      </c>
      <c r="AE276" s="33"/>
      <c r="AF276" s="30">
        <f>+'mode ch'!AF138</f>
        <v>38028.16901408451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24583.55149877443</v>
      </c>
      <c r="E277" s="11"/>
      <c r="O277" s="11"/>
      <c r="P277" s="11" t="s">
        <v>337</v>
      </c>
      <c r="Q277" s="33"/>
      <c r="R277" s="37">
        <f>+(R275+R276)*R274</f>
        <v>28683.856384588125</v>
      </c>
      <c r="S277" s="11"/>
      <c r="AC277" s="11"/>
      <c r="AD277" s="11" t="s">
        <v>337</v>
      </c>
      <c r="AE277" s="33"/>
      <c r="AF277" s="37">
        <f>+(AF275+AF276)*AF274</f>
        <v>13545.063130984203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221251.96348896986</v>
      </c>
      <c r="E279" s="11"/>
      <c r="O279" s="11"/>
      <c r="P279" s="11" t="s">
        <v>339</v>
      </c>
      <c r="Q279" s="33"/>
      <c r="R279" s="37">
        <f>+R278*R277</f>
        <v>172103.13830752874</v>
      </c>
      <c r="S279" s="11"/>
      <c r="AC279" s="11"/>
      <c r="AD279" s="11" t="s">
        <v>339</v>
      </c>
      <c r="AE279" s="33"/>
      <c r="AF279" s="37">
        <f>+AF278*AF277</f>
        <v>67725.31565492101</v>
      </c>
      <c r="AG279" s="11"/>
    </row>
    <row r="280" spans="1:33" ht="12.75">
      <c r="A280" s="11"/>
      <c r="B280" s="11" t="s">
        <v>480</v>
      </c>
      <c r="C280" s="33"/>
      <c r="D280" s="44">
        <v>250</v>
      </c>
      <c r="E280" s="11"/>
      <c r="O280" s="11"/>
      <c r="P280" s="11" t="s">
        <v>480</v>
      </c>
      <c r="Q280" s="33"/>
      <c r="R280" s="44">
        <v>250</v>
      </c>
      <c r="S280" s="11"/>
      <c r="AC280" s="11"/>
      <c r="AD280" s="11" t="s">
        <v>480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60844289.95946672</v>
      </c>
      <c r="E281" s="11"/>
      <c r="O281" s="11"/>
      <c r="P281" s="11" t="s">
        <v>467</v>
      </c>
      <c r="Q281" s="33"/>
      <c r="R281" s="37">
        <f>+R280*R279*1.1</f>
        <v>47328363.0345704</v>
      </c>
      <c r="S281" s="11"/>
      <c r="AC281" s="11"/>
      <c r="AD281" s="11" t="s">
        <v>467</v>
      </c>
      <c r="AE281" s="33"/>
      <c r="AF281" s="37">
        <f>+AF280*AF279*1.1</f>
        <v>18624461.80510328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1731408.7038555006</v>
      </c>
      <c r="E282" s="11"/>
      <c r="O282" s="11"/>
      <c r="P282" s="11" t="s">
        <v>466</v>
      </c>
      <c r="Q282" s="33"/>
      <c r="R282" s="45">
        <f>+(R275+R276)*250*1.2*6/5*0.1</f>
        <v>3513139.7922405857</v>
      </c>
      <c r="S282" s="11"/>
      <c r="AC282" s="11"/>
      <c r="AD282" s="11" t="s">
        <v>466</v>
      </c>
      <c r="AE282" s="33"/>
      <c r="AF282" s="45">
        <f>+(AF275+AF276)*250*1.2*5/5*0.1</f>
        <v>2759875.21176854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 hidden="1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14">
        <f>+E248-C12</f>
        <v>-47.294993574440014</v>
      </c>
      <c r="O287" s="11"/>
      <c r="P287" s="11" t="s">
        <v>343</v>
      </c>
      <c r="Q287" s="14"/>
      <c r="R287" s="14"/>
      <c r="S287" s="14">
        <f>+S248-Q12</f>
        <v>-818.1381907177856</v>
      </c>
      <c r="AC287" s="11"/>
      <c r="AD287" s="11" t="s">
        <v>343</v>
      </c>
      <c r="AE287" s="14"/>
      <c r="AF287" s="14"/>
      <c r="AG287" s="14">
        <f>+AG248-AE12</f>
        <v>1679.339982247271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-2.8376996144664006</v>
      </c>
      <c r="O291" s="11"/>
      <c r="P291" s="11" t="s">
        <v>598</v>
      </c>
      <c r="Q291" s="37"/>
      <c r="R291" s="37"/>
      <c r="S291" s="67">
        <f>+S287*S288</f>
        <v>-49.088291443067135</v>
      </c>
      <c r="AC291" s="11"/>
      <c r="AD291" s="11" t="s">
        <v>598</v>
      </c>
      <c r="AE291" s="37"/>
      <c r="AF291" s="37"/>
      <c r="AG291" s="67">
        <f>+AG287*AG288</f>
        <v>100.76039893483626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395</v>
      </c>
      <c r="E295" s="24" t="s">
        <v>40</v>
      </c>
      <c r="O295" s="11"/>
      <c r="P295" s="11"/>
      <c r="Q295" s="24" t="s">
        <v>92</v>
      </c>
      <c r="R295" s="24" t="s">
        <v>395</v>
      </c>
      <c r="S295" s="24" t="s">
        <v>40</v>
      </c>
      <c r="AC295" s="11"/>
      <c r="AD295" s="11"/>
      <c r="AE295" s="24" t="s">
        <v>92</v>
      </c>
      <c r="AF295" s="24" t="s">
        <v>395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21196.63465100814</v>
      </c>
      <c r="D297" s="37">
        <f>+D267</f>
        <v>40295.109360355484</v>
      </c>
      <c r="E297" s="37">
        <f>SUM(C297:D297)</f>
        <v>61491.744011363626</v>
      </c>
      <c r="O297" s="26"/>
      <c r="P297" s="11" t="s">
        <v>349</v>
      </c>
      <c r="Q297" s="37">
        <f>+Q267</f>
        <v>21672.06258352459</v>
      </c>
      <c r="R297" s="37">
        <f>+R267</f>
        <v>45406.17202114571</v>
      </c>
      <c r="S297" s="37">
        <f>+S267</f>
        <v>67078.23460467029</v>
      </c>
      <c r="AC297" s="26"/>
      <c r="AD297" s="11" t="s">
        <v>349</v>
      </c>
      <c r="AE297" s="37">
        <f>+AE267</f>
        <v>17596.160816556996</v>
      </c>
      <c r="AF297" s="37">
        <f>+AF267</f>
        <v>25395.203784452086</v>
      </c>
      <c r="AG297" s="37">
        <f>+AG267</f>
        <v>42991.36460100908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8477.112284016035</v>
      </c>
      <c r="D303" s="37">
        <f>+D297*D302</f>
        <v>16115.11318511086</v>
      </c>
      <c r="E303" s="37">
        <f>SUM(C303:D303)</f>
        <v>24592.225469126897</v>
      </c>
      <c r="F303" s="75">
        <f>SUM(C303:D303)</f>
        <v>24592.225469126897</v>
      </c>
      <c r="O303" s="26"/>
      <c r="P303" s="11" t="s">
        <v>594</v>
      </c>
      <c r="Q303" s="37">
        <f>+Q297*Q302</f>
        <v>8667.248880379359</v>
      </c>
      <c r="R303" s="37">
        <f>+R297*R302</f>
        <v>18159.16653506563</v>
      </c>
      <c r="S303" s="37">
        <f>SUM(Q303:R303)</f>
        <v>26826.415415444986</v>
      </c>
      <c r="AC303" s="26"/>
      <c r="AD303" s="11" t="s">
        <v>594</v>
      </c>
      <c r="AE303" s="37">
        <f>+AE297*AE302</f>
        <v>7037.184603380541</v>
      </c>
      <c r="AF303" s="37">
        <f>+AF297*AF302</f>
        <v>10156.23458632526</v>
      </c>
      <c r="AG303" s="37">
        <f>SUM(AE303:AF303)</f>
        <v>17193.4191897058</v>
      </c>
    </row>
    <row r="304" spans="1:33" ht="12.75">
      <c r="A304" s="11"/>
      <c r="B304" s="11" t="s">
        <v>351</v>
      </c>
      <c r="C304" s="37">
        <f>C297+C303</f>
        <v>29673.746935024174</v>
      </c>
      <c r="D304" s="37">
        <f>D297+D303</f>
        <v>56410.22254546634</v>
      </c>
      <c r="E304" s="37">
        <f>SUM(C304:D304)</f>
        <v>86083.96948049052</v>
      </c>
      <c r="O304" s="11"/>
      <c r="P304" s="11" t="s">
        <v>351</v>
      </c>
      <c r="Q304" s="37">
        <f>Q297+Q303</f>
        <v>30339.31146390395</v>
      </c>
      <c r="R304" s="37">
        <f>R297+R303</f>
        <v>63565.33855621134</v>
      </c>
      <c r="S304" s="37">
        <f>SUM(Q304:R304)</f>
        <v>93904.65002011528</v>
      </c>
      <c r="AC304" s="11"/>
      <c r="AD304" s="11" t="s">
        <v>351</v>
      </c>
      <c r="AE304" s="37">
        <f>AE297+AE303</f>
        <v>24633.345419937537</v>
      </c>
      <c r="AF304" s="37">
        <f>AF297+AF303</f>
        <v>35551.438370777345</v>
      </c>
      <c r="AG304" s="37">
        <f>SUM(AE304:AF304)</f>
        <v>60184.78379071488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>
        <f>+C291</f>
        <v>0</v>
      </c>
      <c r="D306" s="37">
        <f>+D291</f>
        <v>0</v>
      </c>
      <c r="E306" s="37">
        <f>+E291</f>
        <v>-2.8376996144664006</v>
      </c>
      <c r="O306" s="11"/>
      <c r="P306" s="11" t="s">
        <v>352</v>
      </c>
      <c r="Q306" s="37">
        <f>+Q291</f>
        <v>0</v>
      </c>
      <c r="R306" s="37">
        <f>+R291</f>
        <v>0</v>
      </c>
      <c r="S306" s="37">
        <f>+S291</f>
        <v>-49.088291443067135</v>
      </c>
      <c r="AC306" s="11"/>
      <c r="AD306" s="11" t="s">
        <v>352</v>
      </c>
      <c r="AE306" s="37">
        <f>+AE291</f>
        <v>0</v>
      </c>
      <c r="AF306" s="37">
        <f>+AF291</f>
        <v>0</v>
      </c>
      <c r="AG306" s="37">
        <f>+AG291</f>
        <v>100.76039893483626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29673.746935024174</v>
      </c>
      <c r="D308" s="37">
        <f>D304-D306</f>
        <v>56410.22254546634</v>
      </c>
      <c r="E308" s="37">
        <f>+E304-E306</f>
        <v>86086.80718010498</v>
      </c>
      <c r="O308" s="11"/>
      <c r="P308" s="11" t="s">
        <v>353</v>
      </c>
      <c r="Q308" s="37">
        <f>Q304-Q306</f>
        <v>30339.31146390395</v>
      </c>
      <c r="R308" s="37">
        <f>R304-R306</f>
        <v>63565.33855621134</v>
      </c>
      <c r="S308" s="37">
        <f>+S304-S306</f>
        <v>93953.73831155835</v>
      </c>
      <c r="AC308" s="11"/>
      <c r="AD308" s="11" t="s">
        <v>353</v>
      </c>
      <c r="AE308" s="37">
        <f>AE304-AE306</f>
        <v>24633.345419937537</v>
      </c>
      <c r="AF308" s="37">
        <f>AF304-AF306</f>
        <v>35551.438370777345</v>
      </c>
      <c r="AG308" s="37">
        <f>+AG304-AG306</f>
        <v>60084.02339178004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7418436.733756043</v>
      </c>
      <c r="D310" s="37">
        <f>+D308*D309</f>
        <v>14102555.636366585</v>
      </c>
      <c r="E310" s="37">
        <f>+E308*E309</f>
        <v>21521701.795026246</v>
      </c>
      <c r="O310" s="11"/>
      <c r="P310" s="11" t="s">
        <v>355</v>
      </c>
      <c r="Q310" s="37">
        <f>+Q308*Q309</f>
        <v>7584827.865975987</v>
      </c>
      <c r="R310" s="37">
        <f>+R308*R309</f>
        <v>15891334.639052834</v>
      </c>
      <c r="S310" s="37">
        <f>+S308*S309</f>
        <v>23488434.577889588</v>
      </c>
      <c r="AC310" s="11"/>
      <c r="AD310" s="11" t="s">
        <v>355</v>
      </c>
      <c r="AE310" s="37">
        <f>+AE308*AE309</f>
        <v>6158336.354984384</v>
      </c>
      <c r="AF310" s="37">
        <f>+AF308*AF309</f>
        <v>8887859.592694337</v>
      </c>
      <c r="AG310" s="37">
        <f>+AG308*AG309</f>
        <v>15021005.84794501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504</v>
      </c>
      <c r="Q311" s="47">
        <v>12.409</v>
      </c>
      <c r="R311" s="47">
        <v>12.409</v>
      </c>
      <c r="S311" s="47">
        <v>12.409</v>
      </c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92.05538142917874</v>
      </c>
      <c r="D312" s="38">
        <f>+D310*D311/1000000</f>
        <v>174.99861289167296</v>
      </c>
      <c r="E312" s="38">
        <f>+E310*E311/1000000</f>
        <v>267.0627975744807</v>
      </c>
      <c r="O312" s="11"/>
      <c r="P312" s="11" t="s">
        <v>505</v>
      </c>
      <c r="Q312" s="38">
        <f>+Q310*Q311/1000000</f>
        <v>94.12012898889603</v>
      </c>
      <c r="R312" s="38">
        <f>+R310*R311/1000000</f>
        <v>197.19557153600664</v>
      </c>
      <c r="S312" s="38">
        <f>+S310*S311/1000000</f>
        <v>291.46798467703195</v>
      </c>
      <c r="AC312" s="11"/>
      <c r="AD312" s="11" t="s">
        <v>505</v>
      </c>
      <c r="AE312" s="38">
        <f>+AE310*AE311/1000000</f>
        <v>76.41879582900123</v>
      </c>
      <c r="AF312" s="38">
        <f>+AF310*AF311/1000000</f>
        <v>110.28944968574403</v>
      </c>
      <c r="AG312" s="38">
        <f>+AG310*AG311/1000000</f>
        <v>186.39566156714963</v>
      </c>
    </row>
    <row r="313" spans="1:33" ht="12.75">
      <c r="A313" s="26"/>
      <c r="B313" s="11"/>
      <c r="C313" s="37"/>
      <c r="D313" s="37"/>
      <c r="E313" s="37"/>
      <c r="O313" s="26"/>
      <c r="P313" s="11"/>
      <c r="Q313" s="37"/>
      <c r="R313" s="37"/>
      <c r="S313" s="37"/>
      <c r="AC313" s="26"/>
      <c r="AD313" s="11"/>
      <c r="AE313" s="37"/>
      <c r="AF313" s="37"/>
      <c r="AG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</sheetData>
  <printOptions/>
  <pageMargins left="0.75" right="0.75" top="1" bottom="1" header="0.5" footer="0.5"/>
  <pageSetup fitToHeight="0" fitToWidth="1" horizontalDpi="600" verticalDpi="600" orientation="portrait" scale="83" r:id="rId1"/>
  <rowBreaks count="4" manualBreakCount="4">
    <brk id="58" max="4" man="1"/>
    <brk id="109" max="4" man="1"/>
    <brk id="164" max="4" man="1"/>
    <brk id="268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1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2.8515625" style="0" customWidth="1"/>
    <col min="3" max="3" width="18.8515625" style="0" customWidth="1"/>
    <col min="4" max="4" width="15.57421875" style="0" customWidth="1"/>
    <col min="5" max="5" width="17.00390625" style="0" customWidth="1"/>
    <col min="6" max="6" width="4.8515625" style="0" customWidth="1"/>
    <col min="7" max="7" width="2.00390625" style="0" customWidth="1"/>
    <col min="8" max="8" width="3.7109375" style="0" customWidth="1"/>
    <col min="9" max="9" width="2.28125" style="0" customWidth="1"/>
    <col min="10" max="10" width="2.7109375" style="0" customWidth="1"/>
    <col min="11" max="11" width="4.421875" style="0" customWidth="1"/>
    <col min="12" max="12" width="3.421875" style="0" customWidth="1"/>
    <col min="13" max="13" width="4.57421875" style="0" customWidth="1"/>
    <col min="14" max="14" width="3.421875" style="0" customWidth="1"/>
    <col min="15" max="15" width="4.8515625" style="0" customWidth="1"/>
    <col min="16" max="16" width="43.140625" style="0" customWidth="1"/>
    <col min="17" max="17" width="14.8515625" style="0" customWidth="1"/>
    <col min="18" max="18" width="15.140625" style="0" customWidth="1"/>
    <col min="19" max="19" width="12.57421875" style="0" customWidth="1"/>
    <col min="20" max="20" width="4.421875" style="0" customWidth="1"/>
    <col min="21" max="22" width="5.28125" style="0" customWidth="1"/>
    <col min="23" max="23" width="4.8515625" style="0" customWidth="1"/>
    <col min="24" max="24" width="5.140625" style="0" customWidth="1"/>
    <col min="25" max="25" width="4.57421875" style="0" customWidth="1"/>
    <col min="26" max="26" width="4.140625" style="0" customWidth="1"/>
    <col min="27" max="27" width="4.57421875" style="0" customWidth="1"/>
    <col min="28" max="28" width="2.7109375" style="0" customWidth="1"/>
    <col min="29" max="29" width="5.57421875" style="0" customWidth="1"/>
    <col min="30" max="30" width="49.8515625" style="0" customWidth="1"/>
    <col min="31" max="31" width="16.421875" style="0" customWidth="1"/>
    <col min="32" max="32" width="15.421875" style="0" customWidth="1"/>
    <col min="33" max="33" width="13.140625" style="0" customWidth="1"/>
  </cols>
  <sheetData>
    <row r="1" spans="1:29" ht="12.75">
      <c r="A1" s="1" t="s">
        <v>443</v>
      </c>
      <c r="O1" s="1" t="s">
        <v>445</v>
      </c>
      <c r="AC1" s="1" t="s">
        <v>444</v>
      </c>
    </row>
    <row r="3" spans="1:33" ht="12.75">
      <c r="A3" s="17" t="s">
        <v>394</v>
      </c>
      <c r="B3" s="17"/>
      <c r="C3" s="18"/>
      <c r="D3" s="21"/>
      <c r="E3" s="21"/>
      <c r="O3" s="17" t="s">
        <v>394</v>
      </c>
      <c r="P3" s="17"/>
      <c r="Q3" s="18"/>
      <c r="R3" s="21"/>
      <c r="S3" s="21"/>
      <c r="AC3" s="17" t="s">
        <v>394</v>
      </c>
      <c r="AD3" s="17"/>
      <c r="AE3" s="18"/>
      <c r="AF3" s="21"/>
      <c r="AG3" s="21"/>
    </row>
    <row r="4" spans="1:33" ht="12.75">
      <c r="A4" s="22"/>
      <c r="B4" s="22"/>
      <c r="C4" s="21" t="s">
        <v>381</v>
      </c>
      <c r="D4" s="22"/>
      <c r="E4" s="22"/>
      <c r="O4" s="22"/>
      <c r="P4" s="22"/>
      <c r="Q4" s="21" t="s">
        <v>381</v>
      </c>
      <c r="R4" s="22"/>
      <c r="S4" s="22"/>
      <c r="AC4" s="22"/>
      <c r="AD4" s="22"/>
      <c r="AE4" s="21" t="s">
        <v>381</v>
      </c>
      <c r="AF4" s="22"/>
      <c r="AG4" s="22"/>
    </row>
    <row r="5" spans="1:33" ht="12.75">
      <c r="A5" s="11"/>
      <c r="B5" s="11"/>
      <c r="C5" s="23"/>
      <c r="D5" s="23"/>
      <c r="E5" s="23"/>
      <c r="O5" s="11"/>
      <c r="P5" s="11"/>
      <c r="Q5" s="23"/>
      <c r="R5" s="23"/>
      <c r="S5" s="23"/>
      <c r="AC5" s="11"/>
      <c r="AD5" s="11"/>
      <c r="AE5" s="23"/>
      <c r="AF5" s="23"/>
      <c r="AG5" s="23"/>
    </row>
    <row r="6" spans="1:33" ht="12.75">
      <c r="A6" s="11"/>
      <c r="B6" s="11"/>
      <c r="C6" s="24" t="s">
        <v>382</v>
      </c>
      <c r="D6" s="24" t="s">
        <v>383</v>
      </c>
      <c r="E6" s="24" t="s">
        <v>40</v>
      </c>
      <c r="O6" s="11"/>
      <c r="P6" s="11"/>
      <c r="Q6" s="24" t="s">
        <v>382</v>
      </c>
      <c r="R6" s="24" t="s">
        <v>383</v>
      </c>
      <c r="S6" s="24" t="s">
        <v>40</v>
      </c>
      <c r="AC6" s="11"/>
      <c r="AD6" s="11"/>
      <c r="AE6" s="24" t="s">
        <v>382</v>
      </c>
      <c r="AF6" s="24" t="s">
        <v>383</v>
      </c>
      <c r="AG6" s="24" t="s">
        <v>40</v>
      </c>
    </row>
    <row r="7" spans="1:33" ht="12.75">
      <c r="A7" s="11"/>
      <c r="B7" s="11" t="s">
        <v>50</v>
      </c>
      <c r="C7" s="25">
        <f>+'alt 1'!C7</f>
        <v>-0.2</v>
      </c>
      <c r="D7" s="25"/>
      <c r="E7" s="25"/>
      <c r="O7" s="11"/>
      <c r="P7" s="11" t="s">
        <v>50</v>
      </c>
      <c r="Q7" s="25">
        <f>+C7</f>
        <v>-0.2</v>
      </c>
      <c r="R7" s="25"/>
      <c r="S7" s="25"/>
      <c r="AC7" s="11"/>
      <c r="AD7" s="11" t="s">
        <v>50</v>
      </c>
      <c r="AE7" s="25">
        <f>+C7</f>
        <v>-0.2</v>
      </c>
      <c r="AF7" s="25"/>
      <c r="AG7" s="25"/>
    </row>
    <row r="8" spans="1:33" ht="12.75">
      <c r="A8" s="18"/>
      <c r="B8" s="18"/>
      <c r="C8" s="18"/>
      <c r="D8" s="18"/>
      <c r="E8" s="18"/>
      <c r="O8" s="18"/>
      <c r="P8" s="18"/>
      <c r="Q8" s="18"/>
      <c r="R8" s="18"/>
      <c r="S8" s="18"/>
      <c r="AC8" s="18"/>
      <c r="AD8" s="18"/>
      <c r="AE8" s="18"/>
      <c r="AF8" s="18"/>
      <c r="AG8" s="18"/>
    </row>
    <row r="9" spans="1:33" ht="12.75">
      <c r="A9" s="17" t="s">
        <v>51</v>
      </c>
      <c r="B9" s="11"/>
      <c r="C9" s="11"/>
      <c r="D9" s="11"/>
      <c r="E9" s="11"/>
      <c r="O9" s="17" t="s">
        <v>51</v>
      </c>
      <c r="P9" s="11"/>
      <c r="Q9" s="11"/>
      <c r="R9" s="11"/>
      <c r="S9" s="11"/>
      <c r="AC9" s="17" t="s">
        <v>51</v>
      </c>
      <c r="AD9" s="11"/>
      <c r="AE9" s="11"/>
      <c r="AF9" s="11"/>
      <c r="AG9" s="11"/>
    </row>
    <row r="10" spans="1:33" ht="12.75">
      <c r="A10" s="18"/>
      <c r="B10" s="18"/>
      <c r="C10" s="18"/>
      <c r="D10" s="18"/>
      <c r="E10" s="18"/>
      <c r="O10" s="18"/>
      <c r="P10" s="18"/>
      <c r="Q10" s="18"/>
      <c r="R10" s="18"/>
      <c r="S10" s="18"/>
      <c r="AC10" s="18"/>
      <c r="AD10" s="18"/>
      <c r="AE10" s="18"/>
      <c r="AF10" s="18"/>
      <c r="AG10" s="18"/>
    </row>
    <row r="11" spans="1:33" ht="12.75">
      <c r="A11" s="26" t="s">
        <v>52</v>
      </c>
      <c r="B11" s="21"/>
      <c r="C11" s="21"/>
      <c r="D11" s="21"/>
      <c r="E11" s="21"/>
      <c r="O11" s="26" t="s">
        <v>52</v>
      </c>
      <c r="P11" s="21"/>
      <c r="Q11" s="21"/>
      <c r="R11" s="21"/>
      <c r="S11" s="21"/>
      <c r="AC11" s="26" t="s">
        <v>52</v>
      </c>
      <c r="AD11" s="21"/>
      <c r="AE11" s="21"/>
      <c r="AF11" s="21"/>
      <c r="AG11" s="21"/>
    </row>
    <row r="12" spans="1:33" ht="12.75">
      <c r="A12" s="11" t="s">
        <v>53</v>
      </c>
      <c r="B12" s="11" t="s">
        <v>54</v>
      </c>
      <c r="C12" s="27">
        <f>+'mode ch'!B31</f>
        <v>333689.3181818182</v>
      </c>
      <c r="D12" s="27">
        <f>+C15</f>
        <v>280299.0272727273</v>
      </c>
      <c r="E12" s="27"/>
      <c r="O12" s="11" t="s">
        <v>53</v>
      </c>
      <c r="P12" s="11" t="s">
        <v>54</v>
      </c>
      <c r="Q12" s="27">
        <f>+'mode ch'!P31</f>
        <v>344937.2727272727</v>
      </c>
      <c r="R12" s="27">
        <f>+Q15</f>
        <v>289747.3090909091</v>
      </c>
      <c r="S12" s="27"/>
      <c r="AC12" s="11" t="s">
        <v>53</v>
      </c>
      <c r="AD12" s="11" t="s">
        <v>54</v>
      </c>
      <c r="AE12" s="27">
        <f>+'mode ch'!AD31</f>
        <v>299945.45454545453</v>
      </c>
      <c r="AF12" s="27">
        <f>+AE15</f>
        <v>251954.1818181818</v>
      </c>
      <c r="AG12" s="27"/>
    </row>
    <row r="13" spans="1:33" ht="12.75">
      <c r="A13" s="11" t="s">
        <v>55</v>
      </c>
      <c r="B13" s="11" t="s">
        <v>56</v>
      </c>
      <c r="C13" s="28">
        <f>+Inputs!B16</f>
        <v>0.84</v>
      </c>
      <c r="D13" s="28">
        <v>0.99999999</v>
      </c>
      <c r="E13" s="28"/>
      <c r="O13" s="11" t="s">
        <v>55</v>
      </c>
      <c r="P13" s="11" t="s">
        <v>56</v>
      </c>
      <c r="Q13" s="28">
        <f>+Inputs!P16</f>
        <v>0.84</v>
      </c>
      <c r="R13" s="28">
        <v>0.99999999</v>
      </c>
      <c r="S13" s="28"/>
      <c r="AC13" s="11" t="s">
        <v>55</v>
      </c>
      <c r="AD13" s="11" t="s">
        <v>56</v>
      </c>
      <c r="AE13" s="28">
        <f>+Inputs!AD16</f>
        <v>0.84</v>
      </c>
      <c r="AF13" s="28">
        <v>0.99999999</v>
      </c>
      <c r="AG13" s="28"/>
    </row>
    <row r="14" spans="1:33" ht="12.75">
      <c r="A14" s="11" t="s">
        <v>57</v>
      </c>
      <c r="B14" s="11" t="s">
        <v>58</v>
      </c>
      <c r="C14" s="13">
        <f>1-C13</f>
        <v>0.16000000000000003</v>
      </c>
      <c r="D14" s="13">
        <f>1-D13</f>
        <v>1.0000000050247593E-08</v>
      </c>
      <c r="E14" s="28"/>
      <c r="O14" s="11" t="s">
        <v>57</v>
      </c>
      <c r="P14" s="11" t="s">
        <v>58</v>
      </c>
      <c r="Q14" s="13">
        <f>1-Q13</f>
        <v>0.16000000000000003</v>
      </c>
      <c r="R14" s="13">
        <f>1-R13</f>
        <v>1.0000000050247593E-08</v>
      </c>
      <c r="S14" s="28"/>
      <c r="AC14" s="11" t="s">
        <v>57</v>
      </c>
      <c r="AD14" s="11" t="s">
        <v>58</v>
      </c>
      <c r="AE14" s="13">
        <f>1-AE13</f>
        <v>0.16000000000000003</v>
      </c>
      <c r="AF14" s="13">
        <f>1-AF13</f>
        <v>1.0000000050247593E-08</v>
      </c>
      <c r="AG14" s="28"/>
    </row>
    <row r="15" spans="1:33" ht="12.75">
      <c r="A15" s="11" t="s">
        <v>59</v>
      </c>
      <c r="B15" s="11" t="s">
        <v>60</v>
      </c>
      <c r="C15" s="14">
        <f>C13*C12</f>
        <v>280299.0272727273</v>
      </c>
      <c r="D15" s="14">
        <f>D13*D12</f>
        <v>280299.024469737</v>
      </c>
      <c r="E15" s="27"/>
      <c r="O15" s="11" t="s">
        <v>59</v>
      </c>
      <c r="P15" s="11" t="s">
        <v>60</v>
      </c>
      <c r="Q15" s="14">
        <f>Q13*Q12</f>
        <v>289747.3090909091</v>
      </c>
      <c r="R15" s="14">
        <f>R13*R12</f>
        <v>289747.306193436</v>
      </c>
      <c r="S15" s="27"/>
      <c r="AC15" s="11" t="s">
        <v>59</v>
      </c>
      <c r="AD15" s="11" t="s">
        <v>60</v>
      </c>
      <c r="AE15" s="14">
        <f>AE13*AE12</f>
        <v>251954.1818181818</v>
      </c>
      <c r="AF15" s="14">
        <f>AF13*AF12</f>
        <v>251954.17929863997</v>
      </c>
      <c r="AG15" s="27"/>
    </row>
    <row r="16" spans="1:33" ht="12.75">
      <c r="A16" s="11" t="s">
        <v>61</v>
      </c>
      <c r="B16" s="11" t="s">
        <v>62</v>
      </c>
      <c r="C16" s="14">
        <f>C14*C12</f>
        <v>53390.290909090916</v>
      </c>
      <c r="D16" s="14">
        <f>D14*D12</f>
        <v>0.0028029902868116244</v>
      </c>
      <c r="E16" s="14"/>
      <c r="O16" s="11" t="s">
        <v>61</v>
      </c>
      <c r="P16" s="11" t="s">
        <v>62</v>
      </c>
      <c r="Q16" s="14">
        <f>Q14*Q12</f>
        <v>55189.963636363645</v>
      </c>
      <c r="R16" s="14">
        <f>R14*R12</f>
        <v>0.0028974731054681956</v>
      </c>
      <c r="S16" s="14"/>
      <c r="AC16" s="11" t="s">
        <v>61</v>
      </c>
      <c r="AD16" s="11" t="s">
        <v>62</v>
      </c>
      <c r="AE16" s="14">
        <f>AE14*AE12</f>
        <v>47991.272727272735</v>
      </c>
      <c r="AF16" s="14">
        <f>AF14*AF12</f>
        <v>0.002519541830841909</v>
      </c>
      <c r="AG16" s="14"/>
    </row>
    <row r="17" spans="1:33" ht="12.75">
      <c r="A17" s="11"/>
      <c r="B17" s="11"/>
      <c r="C17" s="14"/>
      <c r="D17" s="14"/>
      <c r="E17" s="14"/>
      <c r="O17" s="11"/>
      <c r="P17" s="11"/>
      <c r="Q17" s="14"/>
      <c r="R17" s="14"/>
      <c r="S17" s="14"/>
      <c r="AC17" s="11"/>
      <c r="AD17" s="11"/>
      <c r="AE17" s="14"/>
      <c r="AF17" s="14"/>
      <c r="AG17" s="14"/>
    </row>
    <row r="18" spans="1:33" ht="12.75">
      <c r="A18" s="26" t="s">
        <v>63</v>
      </c>
      <c r="B18" s="11"/>
      <c r="C18" s="11"/>
      <c r="D18" s="11"/>
      <c r="E18" s="11"/>
      <c r="O18" s="26" t="s">
        <v>63</v>
      </c>
      <c r="P18" s="11"/>
      <c r="Q18" s="11"/>
      <c r="R18" s="11"/>
      <c r="S18" s="11"/>
      <c r="AC18" s="26" t="s">
        <v>63</v>
      </c>
      <c r="AD18" s="11"/>
      <c r="AE18" s="11"/>
      <c r="AF18" s="11"/>
      <c r="AG18" s="11"/>
    </row>
    <row r="19" spans="1:33" ht="12.75">
      <c r="A19" s="11" t="s">
        <v>64</v>
      </c>
      <c r="B19" s="11" t="s">
        <v>65</v>
      </c>
      <c r="C19" s="29">
        <f>+C15/C22</f>
        <v>14.783703970080554</v>
      </c>
      <c r="D19" s="29">
        <f>+D15/D22</f>
        <v>14.783703822243513</v>
      </c>
      <c r="E19" s="17"/>
      <c r="O19" s="11" t="s">
        <v>64</v>
      </c>
      <c r="P19" s="11" t="s">
        <v>65</v>
      </c>
      <c r="Q19" s="29">
        <f>+Q15/Q22</f>
        <v>15.282031070195627</v>
      </c>
      <c r="R19" s="29">
        <f>+R15/R22</f>
        <v>15.282030917375314</v>
      </c>
      <c r="S19" s="17"/>
      <c r="AC19" s="11" t="s">
        <v>64</v>
      </c>
      <c r="AD19" s="11" t="s">
        <v>65</v>
      </c>
      <c r="AE19" s="29">
        <f>+AE15/AE22</f>
        <v>13.288722669735327</v>
      </c>
      <c r="AF19" s="29">
        <f>+AF15/AF22</f>
        <v>13.2887225368481</v>
      </c>
      <c r="AG19" s="17"/>
    </row>
    <row r="20" spans="1:33" ht="12.75">
      <c r="A20" s="11"/>
      <c r="B20" t="s">
        <v>470</v>
      </c>
      <c r="C20" s="8">
        <f>+Inputs!B17</f>
        <v>2370</v>
      </c>
      <c r="D20" s="29"/>
      <c r="E20" s="17"/>
      <c r="O20" s="11"/>
      <c r="P20" t="s">
        <v>470</v>
      </c>
      <c r="Q20" s="8">
        <f>+Inputs!P17</f>
        <v>2370</v>
      </c>
      <c r="R20" s="29"/>
      <c r="S20" s="17"/>
      <c r="AC20" s="11"/>
      <c r="AD20" t="s">
        <v>470</v>
      </c>
      <c r="AE20" s="8">
        <f>+Inputs!AD17</f>
        <v>2370</v>
      </c>
      <c r="AF20" s="29"/>
      <c r="AG20" s="17"/>
    </row>
    <row r="21" spans="1:33" ht="12.75">
      <c r="A21" s="11"/>
      <c r="B21" t="s">
        <v>469</v>
      </c>
      <c r="C21" s="8">
        <f>+Inputs!B18</f>
        <v>8</v>
      </c>
      <c r="D21" s="29"/>
      <c r="E21" s="17"/>
      <c r="O21" s="11"/>
      <c r="P21" t="s">
        <v>469</v>
      </c>
      <c r="Q21" s="8">
        <f>+Inputs!P18</f>
        <v>8</v>
      </c>
      <c r="R21" s="29"/>
      <c r="S21" s="17"/>
      <c r="AC21" s="11"/>
      <c r="AD21" t="s">
        <v>469</v>
      </c>
      <c r="AE21" s="8">
        <f>+Inputs!AD18</f>
        <v>8</v>
      </c>
      <c r="AF21" s="29"/>
      <c r="AG21" s="17"/>
    </row>
    <row r="22" spans="1:33" ht="12.75">
      <c r="A22" s="11" t="s">
        <v>66</v>
      </c>
      <c r="B22" s="11" t="s">
        <v>67</v>
      </c>
      <c r="C22" s="30">
        <f>+C20*C21</f>
        <v>18960</v>
      </c>
      <c r="D22" s="14">
        <f>+C22</f>
        <v>18960</v>
      </c>
      <c r="E22" s="14"/>
      <c r="O22" s="11" t="s">
        <v>66</v>
      </c>
      <c r="P22" s="11" t="s">
        <v>67</v>
      </c>
      <c r="Q22" s="30">
        <f>+Q20*Q21</f>
        <v>18960</v>
      </c>
      <c r="R22" s="14">
        <f>+Q22</f>
        <v>18960</v>
      </c>
      <c r="S22" s="14"/>
      <c r="AC22" s="11" t="s">
        <v>66</v>
      </c>
      <c r="AD22" s="11" t="s">
        <v>67</v>
      </c>
      <c r="AE22" s="30">
        <f>+AE20*AE21</f>
        <v>18960</v>
      </c>
      <c r="AF22" s="14">
        <f>+AE22</f>
        <v>18960</v>
      </c>
      <c r="AG22" s="14"/>
    </row>
    <row r="23" spans="1:33" ht="12.75">
      <c r="A23" s="11" t="s">
        <v>68</v>
      </c>
      <c r="B23" s="11" t="s">
        <v>69</v>
      </c>
      <c r="C23" s="31">
        <f>0.0551483782*(C19)^3-0.0189486676*(C19)^4+0.0023287974*((C19)^5)-(0.0001133801*((C19)^6))+(0.0000018954*((C19)^7))</f>
        <v>26.46485843345289</v>
      </c>
      <c r="D23" s="31">
        <f>0.0551483782*(D19)^3-0.0189486676*(D19)^4+0.0023287974*((D19)^5)-(0.0001133801*((D19)^6))+(0.0000018954*((D19)^7))</f>
        <v>26.464857608765385</v>
      </c>
      <c r="E23" s="31"/>
      <c r="O23" s="11" t="s">
        <v>68</v>
      </c>
      <c r="P23" s="11" t="s">
        <v>69</v>
      </c>
      <c r="Q23" s="31">
        <f>0.0551483782*(Q19)^3-0.0189486676*(Q19)^4+0.0023287974*((Q19)^5)-(0.0001133801*((Q19)^6))+(0.0000018954*((Q19)^7))</f>
        <v>29.15675881295317</v>
      </c>
      <c r="R23" s="31">
        <f>0.0551483782*(R19)^3-0.0189486676*(R19)^4+0.0023287974*((R19)^5)-(0.0001133801*((R19)^6))+(0.0000018954*((R19)^7))</f>
        <v>29.15675801960498</v>
      </c>
      <c r="S23" s="31"/>
      <c r="AC23" s="11" t="s">
        <v>68</v>
      </c>
      <c r="AD23" s="11" t="s">
        <v>69</v>
      </c>
      <c r="AE23" s="31">
        <f>0.0551483782*(AE19)^3-0.0189486676*(AE19)^4+0.0023287974*((AE19)^5)-(0.0001133801*((AE19)^6))+(0.0000018954*((AE19)^7))</f>
        <v>17.903856219396374</v>
      </c>
      <c r="AF23" s="31">
        <f>0.0551483782*(AF19)^3-0.0189486676*(AF19)^4+0.0023287974*((AF19)^5)-(0.0001133801*((AF19)^6))+(0.0000018954*((AF19)^7))</f>
        <v>17.90385547309478</v>
      </c>
      <c r="AG23" s="31"/>
    </row>
    <row r="24" spans="1:33" ht="12.75">
      <c r="A24" s="11" t="s">
        <v>70</v>
      </c>
      <c r="B24" s="11" t="s">
        <v>71</v>
      </c>
      <c r="C24" s="31">
        <f>1/((1/60)+C23/1000)</f>
        <v>23.184897767438976</v>
      </c>
      <c r="D24" s="31">
        <f>1/((1/60)+D23/1000)</f>
        <v>23.18489821074108</v>
      </c>
      <c r="E24" s="31"/>
      <c r="O24" s="11" t="s">
        <v>70</v>
      </c>
      <c r="P24" s="11" t="s">
        <v>71</v>
      </c>
      <c r="Q24" s="31">
        <f>1/((1/60)+Q23/1000)</f>
        <v>21.822899303867064</v>
      </c>
      <c r="R24" s="31">
        <f>1/((1/60)+R23/1000)</f>
        <v>21.822899681690366</v>
      </c>
      <c r="S24" s="31"/>
      <c r="AC24" s="11" t="s">
        <v>70</v>
      </c>
      <c r="AD24" s="11" t="s">
        <v>71</v>
      </c>
      <c r="AE24" s="31">
        <f>1/((1/60)+AE23/1000)</f>
        <v>28.926377633794647</v>
      </c>
      <c r="AF24" s="31">
        <f>1/((1/60)+AF23/1000)</f>
        <v>28.92637825825157</v>
      </c>
      <c r="AG24" s="31"/>
    </row>
    <row r="25" spans="1:33" ht="12.75">
      <c r="A25" s="11" t="s">
        <v>72</v>
      </c>
      <c r="B25" s="11" t="s">
        <v>73</v>
      </c>
      <c r="C25" s="14">
        <f>(1/C24)*C15</f>
        <v>12089.724530352732</v>
      </c>
      <c r="D25" s="14">
        <f>(1/D24)*D15</f>
        <v>12089.724178296387</v>
      </c>
      <c r="E25" s="14"/>
      <c r="O25" s="11" t="s">
        <v>72</v>
      </c>
      <c r="P25" s="11" t="s">
        <v>73</v>
      </c>
      <c r="Q25" s="14">
        <f>(1/Q24)*Q15</f>
        <v>13277.214226047648</v>
      </c>
      <c r="R25" s="14">
        <f>(1/R24)*R15</f>
        <v>13277.213863405002</v>
      </c>
      <c r="S25" s="14"/>
      <c r="AC25" s="11" t="s">
        <v>72</v>
      </c>
      <c r="AD25" s="11" t="s">
        <v>73</v>
      </c>
      <c r="AE25" s="14">
        <f>(1/AE24)*AE15</f>
        <v>8710.187808784742</v>
      </c>
      <c r="AF25" s="14">
        <f>(1/AF24)*AF15</f>
        <v>8710.187533649058</v>
      </c>
      <c r="AG25" s="14"/>
    </row>
    <row r="26" spans="1:33" ht="12.75">
      <c r="A26" s="11"/>
      <c r="B26" s="11"/>
      <c r="C26" s="31"/>
      <c r="D26" s="31"/>
      <c r="E26" s="31"/>
      <c r="O26" s="11"/>
      <c r="P26" s="11"/>
      <c r="Q26" s="31"/>
      <c r="R26" s="31"/>
      <c r="S26" s="31"/>
      <c r="AC26" s="11"/>
      <c r="AD26" s="11"/>
      <c r="AE26" s="31"/>
      <c r="AF26" s="31"/>
      <c r="AG26" s="31"/>
    </row>
    <row r="27" spans="1:33" ht="12.75">
      <c r="A27" s="26" t="s">
        <v>74</v>
      </c>
      <c r="B27" s="11"/>
      <c r="C27" s="11"/>
      <c r="D27" s="11"/>
      <c r="E27" s="11"/>
      <c r="O27" s="26" t="s">
        <v>74</v>
      </c>
      <c r="P27" s="11"/>
      <c r="Q27" s="11"/>
      <c r="R27" s="11"/>
      <c r="S27" s="11"/>
      <c r="AC27" s="26" t="s">
        <v>74</v>
      </c>
      <c r="AD27" s="11"/>
      <c r="AE27" s="11"/>
      <c r="AF27" s="11"/>
      <c r="AG27" s="11"/>
    </row>
    <row r="28" spans="1:33" ht="12.75">
      <c r="A28" s="11" t="s">
        <v>75</v>
      </c>
      <c r="B28" s="11" t="s">
        <v>76</v>
      </c>
      <c r="C28" s="32">
        <f>+C16/C29</f>
        <v>13.347572727272729</v>
      </c>
      <c r="D28" s="32"/>
      <c r="E28" s="17"/>
      <c r="O28" s="11" t="s">
        <v>75</v>
      </c>
      <c r="P28" s="11" t="s">
        <v>76</v>
      </c>
      <c r="Q28" s="32">
        <f>+Q16/Q29</f>
        <v>13.79749090909091</v>
      </c>
      <c r="R28" s="32"/>
      <c r="S28" s="17"/>
      <c r="AC28" s="11" t="s">
        <v>75</v>
      </c>
      <c r="AD28" s="11" t="s">
        <v>76</v>
      </c>
      <c r="AE28" s="32">
        <f>+AE16/AE29</f>
        <v>11.997818181818184</v>
      </c>
      <c r="AF28" s="32"/>
      <c r="AG28" s="17"/>
    </row>
    <row r="29" spans="1:33" ht="12.75">
      <c r="A29" s="11" t="s">
        <v>77</v>
      </c>
      <c r="B29" s="11" t="s">
        <v>78</v>
      </c>
      <c r="C29" s="30">
        <f>+'mode ch'!B113</f>
        <v>4000</v>
      </c>
      <c r="D29" s="14"/>
      <c r="E29" s="14"/>
      <c r="O29" s="11" t="s">
        <v>77</v>
      </c>
      <c r="P29" s="11" t="s">
        <v>78</v>
      </c>
      <c r="Q29" s="30">
        <f>+'mode ch'!P113</f>
        <v>4000</v>
      </c>
      <c r="R29" s="14"/>
      <c r="S29" s="14"/>
      <c r="AC29" s="11" t="s">
        <v>77</v>
      </c>
      <c r="AD29" s="11" t="s">
        <v>78</v>
      </c>
      <c r="AE29" s="30">
        <f>+'mode ch'!AD113</f>
        <v>4000</v>
      </c>
      <c r="AF29" s="14"/>
      <c r="AG29" s="14"/>
    </row>
    <row r="30" spans="1:33" ht="12.75">
      <c r="A30" s="11" t="s">
        <v>79</v>
      </c>
      <c r="B30" s="11" t="s">
        <v>80</v>
      </c>
      <c r="C30" s="31">
        <f>((1-(2.718)^(-0.3*4))*((0.0000144058*(C28)^6)-(0.0000006601*(C28)^7))+((1-(2.718)^(-0.3*4))*(32.9015+0.15119788*(C28)^2-0.00000333*(C28)^6+0.00000014*(C28)^7)))</f>
        <v>58.14715322697622</v>
      </c>
      <c r="D30" s="31"/>
      <c r="E30" s="31"/>
      <c r="O30" s="11" t="s">
        <v>79</v>
      </c>
      <c r="P30" s="11" t="s">
        <v>80</v>
      </c>
      <c r="Q30" s="31">
        <f>((1-(2.718)^(-0.3*4))*((0.0000144058*(Q28)^6)-(0.0000006601*(Q28)^7))+((1-(2.718)^(-0.3*4))*(32.9015+0.15119788*(Q28)^2-0.00000333*(Q28)^6+0.00000014*(Q28)^7)))</f>
        <v>61.90406557711874</v>
      </c>
      <c r="R30" s="31"/>
      <c r="S30" s="31"/>
      <c r="AC30" s="11" t="s">
        <v>79</v>
      </c>
      <c r="AD30" s="11" t="s">
        <v>80</v>
      </c>
      <c r="AE30" s="31">
        <f>((1-(2.718)^(-0.3*4))*((0.0000144058*(AE28)^6)-(0.0000006601*(AE28)^7))+((1-(2.718)^(-0.3*4))*(32.9015+0.15119788*(AE28)^2-0.00000333*(AE28)^6+0.00000014*(AE28)^7)))</f>
        <v>48.27773479182919</v>
      </c>
      <c r="AF30" s="31"/>
      <c r="AG30" s="31"/>
    </row>
    <row r="31" spans="1:33" ht="12.75">
      <c r="A31" s="11" t="s">
        <v>81</v>
      </c>
      <c r="B31" s="11" t="s">
        <v>82</v>
      </c>
      <c r="C31" s="31">
        <f>1/((1/40)+C30/1000)</f>
        <v>12.02686996715554</v>
      </c>
      <c r="D31" s="31"/>
      <c r="E31" s="31"/>
      <c r="O31" s="11" t="s">
        <v>81</v>
      </c>
      <c r="P31" s="11" t="s">
        <v>82</v>
      </c>
      <c r="Q31" s="31">
        <f>1/((1/40)+Q30/1000)</f>
        <v>11.506941514866172</v>
      </c>
      <c r="R31" s="31"/>
      <c r="S31" s="31"/>
      <c r="AC31" s="11" t="s">
        <v>81</v>
      </c>
      <c r="AD31" s="11" t="s">
        <v>82</v>
      </c>
      <c r="AE31" s="31">
        <f>1/((1/40)+AE30/1000)</f>
        <v>13.646710052389674</v>
      </c>
      <c r="AF31" s="31"/>
      <c r="AG31" s="31"/>
    </row>
    <row r="32" spans="1:33" ht="12.75">
      <c r="A32" s="11" t="s">
        <v>83</v>
      </c>
      <c r="B32" s="11" t="s">
        <v>84</v>
      </c>
      <c r="C32" s="14">
        <f>(1/C31)*C16</f>
        <v>4439.250699051017</v>
      </c>
      <c r="D32" s="14"/>
      <c r="E32" s="14"/>
      <c r="O32" s="11" t="s">
        <v>83</v>
      </c>
      <c r="P32" s="11" t="s">
        <v>84</v>
      </c>
      <c r="Q32" s="14">
        <f>(1/Q31)*Q16</f>
        <v>4796.232219053345</v>
      </c>
      <c r="R32" s="14"/>
      <c r="S32" s="14"/>
      <c r="AC32" s="11" t="s">
        <v>83</v>
      </c>
      <c r="AD32" s="11" t="s">
        <v>84</v>
      </c>
      <c r="AE32" s="14">
        <f>(1/AE31)*AE16</f>
        <v>3516.691755231437</v>
      </c>
      <c r="AF32" s="14"/>
      <c r="AG32" s="14"/>
    </row>
    <row r="33" spans="1:33" ht="12.75">
      <c r="A33" s="11"/>
      <c r="B33" s="11"/>
      <c r="C33" s="14"/>
      <c r="D33" s="14"/>
      <c r="E33" s="14"/>
      <c r="O33" s="11"/>
      <c r="P33" s="11"/>
      <c r="Q33" s="14"/>
      <c r="R33" s="14"/>
      <c r="S33" s="14"/>
      <c r="AC33" s="11"/>
      <c r="AD33" s="11"/>
      <c r="AE33" s="14"/>
      <c r="AF33" s="14"/>
      <c r="AG33" s="14"/>
    </row>
    <row r="34" spans="1:33" ht="12.75">
      <c r="A34" s="26" t="s">
        <v>85</v>
      </c>
      <c r="B34" s="11"/>
      <c r="C34" s="14"/>
      <c r="D34" s="14"/>
      <c r="E34" s="14"/>
      <c r="O34" s="26" t="s">
        <v>85</v>
      </c>
      <c r="P34" s="11"/>
      <c r="Q34" s="14"/>
      <c r="R34" s="14"/>
      <c r="S34" s="14"/>
      <c r="AC34" s="26" t="s">
        <v>85</v>
      </c>
      <c r="AD34" s="11"/>
      <c r="AE34" s="14"/>
      <c r="AF34" s="14"/>
      <c r="AG34" s="14"/>
    </row>
    <row r="35" spans="1:33" ht="12.75">
      <c r="A35" s="11" t="s">
        <v>86</v>
      </c>
      <c r="B35" s="11" t="s">
        <v>87</v>
      </c>
      <c r="C35" s="14">
        <f>C25+C32</f>
        <v>16528.97522940375</v>
      </c>
      <c r="D35" s="14"/>
      <c r="E35" s="14"/>
      <c r="O35" s="11" t="s">
        <v>86</v>
      </c>
      <c r="P35" s="11" t="s">
        <v>87</v>
      </c>
      <c r="Q35" s="14">
        <f>Q25+Q32</f>
        <v>18073.44644510099</v>
      </c>
      <c r="R35" s="14"/>
      <c r="S35" s="14"/>
      <c r="AC35" s="11" t="s">
        <v>86</v>
      </c>
      <c r="AD35" s="11" t="s">
        <v>87</v>
      </c>
      <c r="AE35" s="14">
        <f>AE25+AE32</f>
        <v>12226.879564016179</v>
      </c>
      <c r="AF35" s="14"/>
      <c r="AG35" s="14"/>
    </row>
    <row r="36" spans="1:33" ht="12.75">
      <c r="A36" s="11" t="s">
        <v>88</v>
      </c>
      <c r="B36" s="11" t="s">
        <v>89</v>
      </c>
      <c r="C36" s="33">
        <f>C12/C35</f>
        <v>20.188143157732554</v>
      </c>
      <c r="D36" s="33"/>
      <c r="E36" s="33"/>
      <c r="O36" s="11" t="s">
        <v>88</v>
      </c>
      <c r="P36" s="11" t="s">
        <v>89</v>
      </c>
      <c r="Q36" s="33">
        <f>Q12/Q35</f>
        <v>19.08530693219122</v>
      </c>
      <c r="R36" s="33"/>
      <c r="S36" s="33"/>
      <c r="AC36" s="11" t="s">
        <v>88</v>
      </c>
      <c r="AD36" s="11" t="s">
        <v>89</v>
      </c>
      <c r="AE36" s="33">
        <f>AE12/AE35</f>
        <v>24.53164382416891</v>
      </c>
      <c r="AF36" s="33"/>
      <c r="AG36" s="33"/>
    </row>
    <row r="37" spans="1:33" ht="12.75">
      <c r="A37" s="11" t="s">
        <v>90</v>
      </c>
      <c r="B37" s="11" t="s">
        <v>91</v>
      </c>
      <c r="C37" s="33">
        <f>1/C36</f>
        <v>0.04953402560041662</v>
      </c>
      <c r="D37" s="33"/>
      <c r="E37" s="33"/>
      <c r="O37" s="11" t="s">
        <v>90</v>
      </c>
      <c r="P37" s="11" t="s">
        <v>91</v>
      </c>
      <c r="Q37" s="33">
        <f>1/Q36</f>
        <v>0.05239632789521966</v>
      </c>
      <c r="R37" s="33"/>
      <c r="S37" s="33"/>
      <c r="AC37" s="11" t="s">
        <v>90</v>
      </c>
      <c r="AD37" s="11" t="s">
        <v>91</v>
      </c>
      <c r="AE37" s="33">
        <f>1/AE36</f>
        <v>0.04076367679098562</v>
      </c>
      <c r="AF37" s="33"/>
      <c r="AG37" s="33"/>
    </row>
    <row r="38" spans="1:33" ht="12.75">
      <c r="A38" s="11"/>
      <c r="B38" s="11"/>
      <c r="C38" s="33"/>
      <c r="D38" s="33"/>
      <c r="E38" s="33"/>
      <c r="O38" s="11"/>
      <c r="P38" s="11"/>
      <c r="Q38" s="33"/>
      <c r="R38" s="33"/>
      <c r="S38" s="33"/>
      <c r="AC38" s="11"/>
      <c r="AD38" s="11"/>
      <c r="AE38" s="33"/>
      <c r="AF38" s="33"/>
      <c r="AG38" s="33"/>
    </row>
    <row r="39" spans="1:33" ht="12.75">
      <c r="A39" s="11"/>
      <c r="B39" s="11"/>
      <c r="C39" s="21" t="s">
        <v>462</v>
      </c>
      <c r="D39" s="21"/>
      <c r="E39" s="21"/>
      <c r="O39" s="11"/>
      <c r="P39" s="11"/>
      <c r="Q39" s="21" t="s">
        <v>462</v>
      </c>
      <c r="R39" s="21"/>
      <c r="S39" s="21"/>
      <c r="AC39" s="11"/>
      <c r="AD39" s="11"/>
      <c r="AE39" s="21" t="s">
        <v>462</v>
      </c>
      <c r="AF39" s="21"/>
      <c r="AG39" s="21"/>
    </row>
    <row r="40" spans="1:33" ht="12.75">
      <c r="A40" s="11"/>
      <c r="B40" s="11"/>
      <c r="C40" s="24" t="s">
        <v>92</v>
      </c>
      <c r="D40" s="24" t="s">
        <v>551</v>
      </c>
      <c r="E40" s="24" t="s">
        <v>40</v>
      </c>
      <c r="O40" s="11"/>
      <c r="P40" s="11"/>
      <c r="Q40" s="24" t="s">
        <v>92</v>
      </c>
      <c r="R40" s="24" t="s">
        <v>551</v>
      </c>
      <c r="S40" s="24" t="s">
        <v>40</v>
      </c>
      <c r="AC40" s="11"/>
      <c r="AD40" s="11"/>
      <c r="AE40" s="24" t="s">
        <v>92</v>
      </c>
      <c r="AF40" s="24" t="s">
        <v>551</v>
      </c>
      <c r="AG40" s="24" t="s">
        <v>40</v>
      </c>
    </row>
    <row r="41" spans="1:33" ht="12.75">
      <c r="A41" s="17" t="s">
        <v>94</v>
      </c>
      <c r="B41" s="11"/>
      <c r="C41" s="14"/>
      <c r="D41" s="14"/>
      <c r="E41" s="14"/>
      <c r="O41" s="17" t="s">
        <v>94</v>
      </c>
      <c r="P41" s="11"/>
      <c r="Q41" s="14"/>
      <c r="R41" s="14"/>
      <c r="S41" s="14"/>
      <c r="AC41" s="17" t="s">
        <v>94</v>
      </c>
      <c r="AD41" s="11"/>
      <c r="AE41" s="14"/>
      <c r="AF41" s="14"/>
      <c r="AG41" s="14"/>
    </row>
    <row r="42" spans="1:33" ht="12.75">
      <c r="A42" s="26" t="s">
        <v>95</v>
      </c>
      <c r="B42" s="11"/>
      <c r="C42" s="14"/>
      <c r="D42" s="14"/>
      <c r="E42" s="14"/>
      <c r="O42" s="26" t="s">
        <v>95</v>
      </c>
      <c r="P42" s="11"/>
      <c r="Q42" s="14"/>
      <c r="R42" s="14"/>
      <c r="S42" s="14"/>
      <c r="AC42" s="26" t="s">
        <v>95</v>
      </c>
      <c r="AD42" s="11"/>
      <c r="AE42" s="14"/>
      <c r="AF42" s="14"/>
      <c r="AG42" s="14"/>
    </row>
    <row r="43" spans="1:33" ht="12.75">
      <c r="A43" s="11" t="s">
        <v>96</v>
      </c>
      <c r="B43" s="11" t="s">
        <v>365</v>
      </c>
      <c r="C43" s="30">
        <f>+E43-D43</f>
        <v>175224.94749286177</v>
      </c>
      <c r="D43" s="30">
        <f>+'mode ch'!E139</f>
        <v>97026.338028169</v>
      </c>
      <c r="E43" s="30">
        <f>+'mode ch'!E129</f>
        <v>272251.2855210308</v>
      </c>
      <c r="O43" s="11" t="s">
        <v>96</v>
      </c>
      <c r="P43" s="11" t="s">
        <v>365</v>
      </c>
      <c r="Q43" s="30">
        <f>+S43-R43</f>
        <v>182975.90077913797</v>
      </c>
      <c r="R43" s="30">
        <f>+'mode ch'!S139</f>
        <v>98452.39436619719</v>
      </c>
      <c r="S43" s="30">
        <f>+'mode ch'!S129</f>
        <v>281428.29514533514</v>
      </c>
      <c r="AC43" s="11" t="s">
        <v>96</v>
      </c>
      <c r="AD43" s="11" t="s">
        <v>365</v>
      </c>
      <c r="AE43" s="30">
        <f>+AG43-AF43</f>
        <v>151972.08763403303</v>
      </c>
      <c r="AF43" s="30">
        <f>+'mode ch'!AG139</f>
        <v>92748.1690140845</v>
      </c>
      <c r="AG43" s="30">
        <f>+'mode ch'!AG129</f>
        <v>244720.25664811753</v>
      </c>
    </row>
    <row r="44" spans="1:33" ht="12.75">
      <c r="A44" s="11" t="s">
        <v>97</v>
      </c>
      <c r="B44" s="11" t="s">
        <v>98</v>
      </c>
      <c r="C44" s="30">
        <f>+'mode ch'!E112</f>
        <v>13860</v>
      </c>
      <c r="D44" s="30">
        <f>+'mode ch'!E111</f>
        <v>9120</v>
      </c>
      <c r="E44" s="14"/>
      <c r="O44" s="11" t="s">
        <v>97</v>
      </c>
      <c r="P44" s="11" t="s">
        <v>98</v>
      </c>
      <c r="Q44" s="30">
        <f>+'mode ch'!S112</f>
        <v>13860</v>
      </c>
      <c r="R44" s="30">
        <f>+'mode ch'!S111</f>
        <v>9120</v>
      </c>
      <c r="S44" s="14"/>
      <c r="AC44" s="11" t="s">
        <v>97</v>
      </c>
      <c r="AD44" s="11" t="s">
        <v>98</v>
      </c>
      <c r="AE44" s="30">
        <f>+'mode ch'!AG112</f>
        <v>13860</v>
      </c>
      <c r="AF44" s="30">
        <f>+'mode ch'!AG111</f>
        <v>9120</v>
      </c>
      <c r="AG44" s="14"/>
    </row>
    <row r="45" spans="1:33" ht="12.75">
      <c r="A45" s="11" t="s">
        <v>99</v>
      </c>
      <c r="B45" s="11" t="s">
        <v>65</v>
      </c>
      <c r="C45" s="14">
        <f>C43/C44</f>
        <v>12.64249260410258</v>
      </c>
      <c r="D45" s="14"/>
      <c r="E45" s="14"/>
      <c r="O45" s="11" t="s">
        <v>99</v>
      </c>
      <c r="P45" s="11" t="s">
        <v>65</v>
      </c>
      <c r="Q45" s="14">
        <f>Q43/Q44</f>
        <v>13.201724442939247</v>
      </c>
      <c r="R45" s="14"/>
      <c r="S45" s="14"/>
      <c r="AC45" s="11" t="s">
        <v>99</v>
      </c>
      <c r="AD45" s="11" t="s">
        <v>65</v>
      </c>
      <c r="AE45" s="14">
        <f>AE43/AE44</f>
        <v>10.96479708759257</v>
      </c>
      <c r="AF45" s="14"/>
      <c r="AG45" s="14"/>
    </row>
    <row r="46" spans="1:33" ht="12.75">
      <c r="A46" s="11" t="s">
        <v>100</v>
      </c>
      <c r="B46" s="11" t="s">
        <v>67</v>
      </c>
      <c r="C46" s="14">
        <f>C44</f>
        <v>13860</v>
      </c>
      <c r="D46" s="14"/>
      <c r="E46" s="14"/>
      <c r="O46" s="11" t="s">
        <v>100</v>
      </c>
      <c r="P46" s="11" t="s">
        <v>67</v>
      </c>
      <c r="Q46" s="14">
        <f>Q44</f>
        <v>13860</v>
      </c>
      <c r="R46" s="14"/>
      <c r="S46" s="14"/>
      <c r="AC46" s="11" t="s">
        <v>100</v>
      </c>
      <c r="AD46" s="11" t="s">
        <v>67</v>
      </c>
      <c r="AE46" s="14">
        <f>AE44</f>
        <v>13860</v>
      </c>
      <c r="AF46" s="14"/>
      <c r="AG46" s="14"/>
    </row>
    <row r="47" spans="1:33" ht="12.75">
      <c r="A47" s="11" t="s">
        <v>101</v>
      </c>
      <c r="B47" s="11" t="s">
        <v>69</v>
      </c>
      <c r="C47" s="31">
        <f>0.0551483782*(C45)^3-0.0189486676*(C45)^4+0.0023287974*((C45)^5)-(0.0001133801*((C45)^6))+(0.0000018954*((C45)^7))</f>
        <v>14.394011923614741</v>
      </c>
      <c r="D47" s="31"/>
      <c r="E47" s="31"/>
      <c r="O47" s="11" t="s">
        <v>101</v>
      </c>
      <c r="P47" s="11" t="s">
        <v>69</v>
      </c>
      <c r="Q47" s="31">
        <f>0.0551483782*(Q45)^3-0.0189486676*(Q45)^4+0.0023287974*((Q45)^5)-(0.0001133801*((Q45)^6))+(0.0000018954*((Q45)^7))</f>
        <v>17.417071713533517</v>
      </c>
      <c r="R47" s="31"/>
      <c r="S47" s="31"/>
      <c r="AC47" s="11" t="s">
        <v>101</v>
      </c>
      <c r="AD47" s="11" t="s">
        <v>69</v>
      </c>
      <c r="AE47" s="31">
        <f>0.0551483782*(AE45)^3-0.0189486676*(AE45)^4+0.0023287974*((AE45)^5)-(0.0001133801*((AE45)^6))+(0.0000018954*((AE45)^7))</f>
        <v>6.981782209466196</v>
      </c>
      <c r="AF47" s="31"/>
      <c r="AG47" s="31"/>
    </row>
    <row r="48" spans="1:33" ht="12.75">
      <c r="A48" s="11" t="s">
        <v>102</v>
      </c>
      <c r="B48" s="11" t="s">
        <v>71</v>
      </c>
      <c r="C48" s="31">
        <f>1/((1/60)+C47/1000)</f>
        <v>32.195046772509684</v>
      </c>
      <c r="D48" s="31"/>
      <c r="E48" s="31"/>
      <c r="O48" s="11" t="s">
        <v>102</v>
      </c>
      <c r="P48" s="11" t="s">
        <v>71</v>
      </c>
      <c r="Q48" s="31">
        <f>1/((1/60)+Q47/1000)</f>
        <v>29.339504629601223</v>
      </c>
      <c r="R48" s="31"/>
      <c r="S48" s="31"/>
      <c r="AC48" s="11" t="s">
        <v>102</v>
      </c>
      <c r="AD48" s="11" t="s">
        <v>71</v>
      </c>
      <c r="AE48" s="31">
        <f>1/((1/60)+AE47/1000)</f>
        <v>42.286071498298035</v>
      </c>
      <c r="AF48" s="31"/>
      <c r="AG48" s="31"/>
    </row>
    <row r="49" spans="1:33" ht="12.75">
      <c r="A49" s="11" t="s">
        <v>103</v>
      </c>
      <c r="B49" s="11" t="s">
        <v>73</v>
      </c>
      <c r="C49" s="14">
        <f>(1/C48)*C15</f>
        <v>8706.277995286704</v>
      </c>
      <c r="D49" s="14"/>
      <c r="E49" s="14"/>
      <c r="O49" s="11" t="s">
        <v>103</v>
      </c>
      <c r="P49" s="11" t="s">
        <v>73</v>
      </c>
      <c r="Q49" s="14">
        <f>(1/Q48)*Q15</f>
        <v>9875.671479421542</v>
      </c>
      <c r="R49" s="14"/>
      <c r="S49" s="14"/>
      <c r="AC49" s="11" t="s">
        <v>103</v>
      </c>
      <c r="AD49" s="11" t="s">
        <v>73</v>
      </c>
      <c r="AE49" s="14">
        <f>(1/AE48)*AE15</f>
        <v>5958.325587855155</v>
      </c>
      <c r="AF49" s="14"/>
      <c r="AG49" s="14"/>
    </row>
    <row r="50" spans="1:33" ht="12.75">
      <c r="A50" s="11"/>
      <c r="B50" s="11" t="s">
        <v>401</v>
      </c>
      <c r="C50" s="14"/>
      <c r="D50" s="14"/>
      <c r="E50" s="14"/>
      <c r="O50" s="11"/>
      <c r="P50" s="11" t="s">
        <v>401</v>
      </c>
      <c r="Q50" s="14"/>
      <c r="R50" s="14"/>
      <c r="S50" s="14"/>
      <c r="AC50" s="11"/>
      <c r="AD50" s="11" t="s">
        <v>401</v>
      </c>
      <c r="AE50" s="14"/>
      <c r="AF50" s="14"/>
      <c r="AG50" s="14"/>
    </row>
    <row r="51" spans="1:33" ht="12.75">
      <c r="A51" s="11"/>
      <c r="B51" s="11" t="s">
        <v>402</v>
      </c>
      <c r="C51" s="31">
        <f>+C19/C28</f>
        <v>1.1075949367088607</v>
      </c>
      <c r="D51" s="14"/>
      <c r="E51" s="14"/>
      <c r="O51" s="11"/>
      <c r="P51" s="11" t="s">
        <v>402</v>
      </c>
      <c r="Q51" s="31">
        <f>+Q19/Q28</f>
        <v>1.1075949367088607</v>
      </c>
      <c r="R51" s="14"/>
      <c r="S51" s="14"/>
      <c r="AC51" s="11"/>
      <c r="AD51" s="11" t="s">
        <v>402</v>
      </c>
      <c r="AE51" s="31">
        <f>+AE19/AE28</f>
        <v>1.1075949367088604</v>
      </c>
      <c r="AF51" s="14"/>
      <c r="AG51" s="14"/>
    </row>
    <row r="52" spans="1:33" ht="12.75">
      <c r="A52" s="11"/>
      <c r="B52" s="11" t="s">
        <v>403</v>
      </c>
      <c r="C52" s="14">
        <f>+C44*C16*C51</f>
        <v>819608548.1012659</v>
      </c>
      <c r="D52" s="14"/>
      <c r="E52" s="14"/>
      <c r="O52" s="11"/>
      <c r="P52" s="11" t="s">
        <v>403</v>
      </c>
      <c r="Q52" s="14">
        <f>+Q44*Q16*Q51</f>
        <v>847235802.5316457</v>
      </c>
      <c r="R52" s="14"/>
      <c r="S52" s="14"/>
      <c r="AC52" s="11"/>
      <c r="AD52" s="11" t="s">
        <v>403</v>
      </c>
      <c r="AE52" s="14">
        <f>+AE44*AE16*AE51</f>
        <v>736726784.8101265</v>
      </c>
      <c r="AF52" s="14"/>
      <c r="AG52" s="14"/>
    </row>
    <row r="53" spans="1:33" ht="12.75">
      <c r="A53" s="11"/>
      <c r="B53" s="11" t="s">
        <v>472</v>
      </c>
      <c r="C53" s="14">
        <f>+C43*C29</f>
        <v>700899789.9714471</v>
      </c>
      <c r="D53" s="14"/>
      <c r="E53" s="14"/>
      <c r="O53" s="11"/>
      <c r="P53" s="11" t="s">
        <v>472</v>
      </c>
      <c r="Q53" s="14">
        <f>+Q43*Q29</f>
        <v>731903603.1165519</v>
      </c>
      <c r="R53" s="14"/>
      <c r="S53" s="14"/>
      <c r="AC53" s="11"/>
      <c r="AD53" s="11" t="s">
        <v>404</v>
      </c>
      <c r="AE53" s="14">
        <f>+AE43*AE29</f>
        <v>607888350.5361321</v>
      </c>
      <c r="AF53" s="14"/>
      <c r="AG53" s="14"/>
    </row>
    <row r="54" spans="1:33" ht="12.75">
      <c r="A54" s="11"/>
      <c r="B54" s="11" t="s">
        <v>405</v>
      </c>
      <c r="C54" s="14">
        <f>+C52-C53</f>
        <v>118708758.1298188</v>
      </c>
      <c r="D54" s="14"/>
      <c r="E54" s="14"/>
      <c r="O54" s="11"/>
      <c r="P54" s="11" t="s">
        <v>405</v>
      </c>
      <c r="Q54" s="14">
        <f>+Q52-Q53</f>
        <v>115332199.41509378</v>
      </c>
      <c r="R54" s="14"/>
      <c r="S54" s="14"/>
      <c r="AC54" s="11"/>
      <c r="AD54" s="11" t="s">
        <v>405</v>
      </c>
      <c r="AE54" s="14">
        <f>+AE52-AE53</f>
        <v>128838434.27399445</v>
      </c>
      <c r="AF54" s="14"/>
      <c r="AG54" s="14"/>
    </row>
    <row r="55" spans="1:33" ht="12.75">
      <c r="A55" s="11"/>
      <c r="B55" s="11" t="s">
        <v>406</v>
      </c>
      <c r="C55" s="14">
        <f>+C44*C51</f>
        <v>15351.26582278481</v>
      </c>
      <c r="D55" s="14"/>
      <c r="E55" s="14"/>
      <c r="O55" s="11"/>
      <c r="P55" s="11" t="s">
        <v>406</v>
      </c>
      <c r="Q55" s="14">
        <f>+Q44*Q51</f>
        <v>15351.26582278481</v>
      </c>
      <c r="R55" s="14"/>
      <c r="S55" s="14"/>
      <c r="AC55" s="11"/>
      <c r="AD55" s="11" t="s">
        <v>406</v>
      </c>
      <c r="AE55" s="14">
        <f>+AE44*AE51</f>
        <v>15351.265822784806</v>
      </c>
      <c r="AF55" s="14"/>
      <c r="AG55" s="14"/>
    </row>
    <row r="56" spans="1:33" ht="12.75">
      <c r="A56" s="11"/>
      <c r="B56" s="11" t="s">
        <v>407</v>
      </c>
      <c r="C56" s="14">
        <f>+C29</f>
        <v>4000</v>
      </c>
      <c r="D56" s="14"/>
      <c r="E56" s="14"/>
      <c r="O56" s="11"/>
      <c r="P56" s="11" t="s">
        <v>407</v>
      </c>
      <c r="Q56" s="14">
        <f>+Q29</f>
        <v>4000</v>
      </c>
      <c r="R56" s="14"/>
      <c r="S56" s="14"/>
      <c r="AC56" s="11"/>
      <c r="AD56" s="11" t="s">
        <v>407</v>
      </c>
      <c r="AE56" s="14">
        <f>+AE29</f>
        <v>4000</v>
      </c>
      <c r="AF56" s="14"/>
      <c r="AG56" s="14"/>
    </row>
    <row r="57" spans="1:33" ht="12.75">
      <c r="A57" s="11"/>
      <c r="B57" s="11" t="s">
        <v>408</v>
      </c>
      <c r="C57" s="14">
        <f>SUM(C55:C56)</f>
        <v>19351.265822784808</v>
      </c>
      <c r="D57" s="14"/>
      <c r="E57" s="14"/>
      <c r="O57" s="11"/>
      <c r="P57" s="11" t="s">
        <v>408</v>
      </c>
      <c r="Q57" s="14">
        <f>SUM(Q55:Q56)</f>
        <v>19351.265822784808</v>
      </c>
      <c r="R57" s="14"/>
      <c r="S57" s="14"/>
      <c r="AC57" s="11"/>
      <c r="AD57" s="11" t="s">
        <v>408</v>
      </c>
      <c r="AE57" s="14">
        <f>SUM(AE55:AE56)</f>
        <v>19351.265822784808</v>
      </c>
      <c r="AF57" s="14"/>
      <c r="AG57" s="14"/>
    </row>
    <row r="58" spans="1:33" ht="12.75">
      <c r="A58" s="11" t="s">
        <v>104</v>
      </c>
      <c r="B58" s="11" t="s">
        <v>105</v>
      </c>
      <c r="C58" s="14">
        <f>+C54/C57</f>
        <v>6134.418245138633</v>
      </c>
      <c r="D58" s="14">
        <v>0</v>
      </c>
      <c r="E58" s="14"/>
      <c r="O58" s="11" t="s">
        <v>104</v>
      </c>
      <c r="P58" s="11" t="s">
        <v>105</v>
      </c>
      <c r="Q58" s="14">
        <f>+Q54/Q57</f>
        <v>5959.930501254234</v>
      </c>
      <c r="R58" s="14">
        <v>0</v>
      </c>
      <c r="S58" s="14"/>
      <c r="AC58" s="11" t="s">
        <v>104</v>
      </c>
      <c r="AD58" s="11" t="s">
        <v>105</v>
      </c>
      <c r="AE58" s="14">
        <f>+AE54/AE57</f>
        <v>6657.881476791864</v>
      </c>
      <c r="AF58" s="14">
        <v>0</v>
      </c>
      <c r="AG58" s="14"/>
    </row>
    <row r="59" spans="1:33" ht="12.75">
      <c r="A59" s="11" t="s">
        <v>106</v>
      </c>
      <c r="B59" s="11" t="s">
        <v>107</v>
      </c>
      <c r="C59" s="14">
        <f>+C43+C58</f>
        <v>181359.3657380004</v>
      </c>
      <c r="D59" s="14">
        <f>D43+D58</f>
        <v>97026.338028169</v>
      </c>
      <c r="E59" s="14"/>
      <c r="O59" s="11" t="s">
        <v>106</v>
      </c>
      <c r="P59" s="11" t="s">
        <v>107</v>
      </c>
      <c r="Q59" s="14">
        <f>+Q43+Q58</f>
        <v>188935.83128039222</v>
      </c>
      <c r="R59" s="14">
        <f>R43+R58</f>
        <v>98452.39436619719</v>
      </c>
      <c r="S59" s="14"/>
      <c r="AC59" s="11" t="s">
        <v>106</v>
      </c>
      <c r="AD59" s="11" t="s">
        <v>107</v>
      </c>
      <c r="AE59" s="14">
        <f>+AE43+AE58</f>
        <v>158629.9691108249</v>
      </c>
      <c r="AF59" s="14">
        <f>AF43+AF58</f>
        <v>92748.1690140845</v>
      </c>
      <c r="AG59" s="14"/>
    </row>
    <row r="60" spans="1:33" ht="12.75">
      <c r="A60" s="11" t="s">
        <v>108</v>
      </c>
      <c r="B60" s="11" t="s">
        <v>109</v>
      </c>
      <c r="C60" s="31">
        <f>C59/C44</f>
        <v>13.085091323088053</v>
      </c>
      <c r="D60" s="31"/>
      <c r="E60" s="31"/>
      <c r="O60" s="11" t="s">
        <v>108</v>
      </c>
      <c r="P60" s="11" t="s">
        <v>109</v>
      </c>
      <c r="Q60" s="31">
        <f>Q59/Q44</f>
        <v>13.631733858614156</v>
      </c>
      <c r="R60" s="31"/>
      <c r="S60" s="31"/>
      <c r="AC60" s="11" t="s">
        <v>108</v>
      </c>
      <c r="AD60" s="11" t="s">
        <v>109</v>
      </c>
      <c r="AE60" s="31">
        <f>AE59/AE44</f>
        <v>11.445163716509732</v>
      </c>
      <c r="AF60" s="31"/>
      <c r="AG60" s="31"/>
    </row>
    <row r="61" spans="1:33" ht="12.75">
      <c r="A61" s="11" t="s">
        <v>110</v>
      </c>
      <c r="B61" s="11" t="s">
        <v>111</v>
      </c>
      <c r="C61" s="31">
        <f>0.0551483782*(C60)^3-0.0189486676*(C60)^4+0.0023287974*((C60)^5)-(0.0001133801*((C60)^6))+(0.0000018954*((C60)^7))</f>
        <v>16.770558237955058</v>
      </c>
      <c r="D61" s="31"/>
      <c r="E61" s="31"/>
      <c r="O61" s="11" t="s">
        <v>110</v>
      </c>
      <c r="P61" s="11" t="s">
        <v>111</v>
      </c>
      <c r="Q61" s="31">
        <f>0.0551483782*(Q60)^3-0.0189486676*(Q60)^4+0.0023287974*((Q60)^5)-(0.0001133801*((Q60)^6))+(0.0000018954*((Q60)^7))</f>
        <v>19.853461047305586</v>
      </c>
      <c r="R61" s="31"/>
      <c r="S61" s="31"/>
      <c r="AC61" s="11" t="s">
        <v>110</v>
      </c>
      <c r="AD61" s="11" t="s">
        <v>111</v>
      </c>
      <c r="AE61" s="31">
        <f>0.0551483782*(AE60)^3-0.0189486676*(AE60)^4+0.0023287974*((AE60)^5)-(0.0001133801*((AE60)^6))+(0.0000018954*((AE60)^7))</f>
        <v>8.803397389802647</v>
      </c>
      <c r="AF61" s="31"/>
      <c r="AG61" s="31"/>
    </row>
    <row r="62" spans="1:33" ht="12.75">
      <c r="A62" s="11" t="s">
        <v>112</v>
      </c>
      <c r="B62" s="11" t="s">
        <v>113</v>
      </c>
      <c r="C62" s="31">
        <f>1/((1/60)+C61/1000)</f>
        <v>29.906788103751367</v>
      </c>
      <c r="D62" s="31"/>
      <c r="E62" s="31"/>
      <c r="O62" s="11" t="s">
        <v>112</v>
      </c>
      <c r="P62" s="11" t="s">
        <v>113</v>
      </c>
      <c r="Q62" s="31">
        <f>1/((1/60)+Q61/1000)</f>
        <v>27.382160539855107</v>
      </c>
      <c r="R62" s="31"/>
      <c r="S62" s="31"/>
      <c r="AC62" s="11" t="s">
        <v>112</v>
      </c>
      <c r="AD62" s="11" t="s">
        <v>113</v>
      </c>
      <c r="AE62" s="31">
        <f>1/((1/60)+AE61/1000)</f>
        <v>39.261777975230615</v>
      </c>
      <c r="AF62" s="31"/>
      <c r="AG62" s="31"/>
    </row>
    <row r="63" spans="1:33" ht="12.75">
      <c r="A63" s="11" t="s">
        <v>114</v>
      </c>
      <c r="B63" s="11" t="s">
        <v>115</v>
      </c>
      <c r="C63" s="14">
        <f>(1/C62)*C15</f>
        <v>9372.421615464882</v>
      </c>
      <c r="D63" s="14"/>
      <c r="E63" s="14"/>
      <c r="O63" s="11" t="s">
        <v>114</v>
      </c>
      <c r="P63" s="11" t="s">
        <v>115</v>
      </c>
      <c r="Q63" s="14">
        <f>(1/Q62)*Q15</f>
        <v>10581.608732779794</v>
      </c>
      <c r="R63" s="14"/>
      <c r="S63" s="14"/>
      <c r="AC63" s="11" t="s">
        <v>114</v>
      </c>
      <c r="AD63" s="11" t="s">
        <v>115</v>
      </c>
      <c r="AE63" s="14">
        <f>(1/AE62)*AE15</f>
        <v>6417.289150204408</v>
      </c>
      <c r="AF63" s="14"/>
      <c r="AG63" s="14"/>
    </row>
    <row r="64" spans="1:33" ht="12.75">
      <c r="A64" s="11" t="s">
        <v>116</v>
      </c>
      <c r="B64" s="11" t="s">
        <v>117</v>
      </c>
      <c r="C64" s="14">
        <f>+C58/1000</f>
        <v>6.134418245138633</v>
      </c>
      <c r="D64" s="14"/>
      <c r="E64" s="14"/>
      <c r="O64" s="11" t="s">
        <v>116</v>
      </c>
      <c r="P64" s="11" t="s">
        <v>117</v>
      </c>
      <c r="Q64" s="14">
        <f>+Q58/1000</f>
        <v>5.959930501254234</v>
      </c>
      <c r="R64" s="14"/>
      <c r="S64" s="14"/>
      <c r="AC64" s="11" t="s">
        <v>116</v>
      </c>
      <c r="AD64" s="11" t="s">
        <v>117</v>
      </c>
      <c r="AE64" s="14">
        <f>+AE58/1000</f>
        <v>6.6578814767918635</v>
      </c>
      <c r="AF64" s="14"/>
      <c r="AG64" s="14"/>
    </row>
    <row r="65" spans="1:33" ht="12.75">
      <c r="A65" s="11" t="s">
        <v>118</v>
      </c>
      <c r="B65" s="11" t="s">
        <v>119</v>
      </c>
      <c r="C65" s="14">
        <f>+C43/1000</f>
        <v>175.22494749286176</v>
      </c>
      <c r="D65" s="14"/>
      <c r="E65" s="14"/>
      <c r="O65" s="11" t="s">
        <v>118</v>
      </c>
      <c r="P65" s="11" t="s">
        <v>119</v>
      </c>
      <c r="Q65" s="14">
        <f>+Q43/1000</f>
        <v>182.97590077913796</v>
      </c>
      <c r="R65" s="14"/>
      <c r="S65" s="14"/>
      <c r="AC65" s="11" t="s">
        <v>118</v>
      </c>
      <c r="AD65" s="11" t="s">
        <v>119</v>
      </c>
      <c r="AE65" s="14">
        <f>+AE43/1000</f>
        <v>151.97208763403302</v>
      </c>
      <c r="AF65" s="14"/>
      <c r="AG65" s="14"/>
    </row>
    <row r="66" spans="1:33" ht="12.75">
      <c r="A66" s="11" t="s">
        <v>120</v>
      </c>
      <c r="B66" s="11" t="s">
        <v>121</v>
      </c>
      <c r="C66" s="14">
        <f>C63-C49</f>
        <v>666.143620178178</v>
      </c>
      <c r="D66" s="14"/>
      <c r="E66" s="14"/>
      <c r="O66" s="11" t="s">
        <v>120</v>
      </c>
      <c r="P66" s="11" t="s">
        <v>121</v>
      </c>
      <c r="Q66" s="14">
        <f>Q63-Q49</f>
        <v>705.9372533582518</v>
      </c>
      <c r="R66" s="14"/>
      <c r="S66" s="14"/>
      <c r="AC66" s="11" t="s">
        <v>120</v>
      </c>
      <c r="AD66" s="11" t="s">
        <v>121</v>
      </c>
      <c r="AE66" s="14">
        <f>AE63-AE49</f>
        <v>458.96356234925224</v>
      </c>
      <c r="AF66" s="14"/>
      <c r="AG66" s="14"/>
    </row>
    <row r="67" spans="1:33" ht="12.75">
      <c r="A67" s="11" t="s">
        <v>122</v>
      </c>
      <c r="B67" s="11" t="s">
        <v>123</v>
      </c>
      <c r="C67" s="31">
        <f>C66/C64</f>
        <v>108.5911644035813</v>
      </c>
      <c r="D67" s="31"/>
      <c r="E67" s="31"/>
      <c r="O67" s="11" t="s">
        <v>122</v>
      </c>
      <c r="P67" s="11" t="s">
        <v>123</v>
      </c>
      <c r="Q67" s="31">
        <f>Q66/Q64</f>
        <v>118.44722907585773</v>
      </c>
      <c r="R67" s="31"/>
      <c r="S67" s="31"/>
      <c r="AC67" s="11" t="s">
        <v>122</v>
      </c>
      <c r="AD67" s="11" t="s">
        <v>123</v>
      </c>
      <c r="AE67" s="31">
        <f>AE66/AE64</f>
        <v>68.93537590735339</v>
      </c>
      <c r="AF67" s="31"/>
      <c r="AG67" s="31"/>
    </row>
    <row r="68" spans="1:33" ht="12.75">
      <c r="A68" s="11"/>
      <c r="B68" s="11"/>
      <c r="C68" s="31"/>
      <c r="D68" s="31"/>
      <c r="E68" s="31"/>
      <c r="O68" s="11"/>
      <c r="P68" s="11"/>
      <c r="Q68" s="31"/>
      <c r="R68" s="31"/>
      <c r="S68" s="31"/>
      <c r="AC68" s="11"/>
      <c r="AD68" s="11"/>
      <c r="AE68" s="31"/>
      <c r="AF68" s="31"/>
      <c r="AG68" s="31"/>
    </row>
    <row r="69" spans="1:33" ht="12.75">
      <c r="A69" s="26" t="s">
        <v>124</v>
      </c>
      <c r="B69" s="11"/>
      <c r="C69" s="11"/>
      <c r="D69" s="11"/>
      <c r="E69" s="11"/>
      <c r="O69" s="26" t="s">
        <v>124</v>
      </c>
      <c r="P69" s="11"/>
      <c r="Q69" s="11"/>
      <c r="R69" s="11"/>
      <c r="S69" s="11"/>
      <c r="AC69" s="26" t="s">
        <v>124</v>
      </c>
      <c r="AD69" s="11"/>
      <c r="AE69" s="11"/>
      <c r="AF69" s="11"/>
      <c r="AG69" s="11"/>
    </row>
    <row r="70" spans="1:33" ht="12.75">
      <c r="A70" s="11" t="s">
        <v>125</v>
      </c>
      <c r="B70" s="11" t="s">
        <v>126</v>
      </c>
      <c r="C70" s="14">
        <f>C59/C24</f>
        <v>7822.306035470327</v>
      </c>
      <c r="D70" s="14">
        <f>D43/D24</f>
        <v>4184.893854018248</v>
      </c>
      <c r="E70" s="14"/>
      <c r="O70" s="11" t="s">
        <v>125</v>
      </c>
      <c r="P70" s="11" t="s">
        <v>126</v>
      </c>
      <c r="Q70" s="14">
        <f>Q59/Q24</f>
        <v>8657.686985107079</v>
      </c>
      <c r="R70" s="14">
        <f>R43/R24</f>
        <v>4511.425878422552</v>
      </c>
      <c r="S70" s="14"/>
      <c r="AC70" s="11" t="s">
        <v>125</v>
      </c>
      <c r="AD70" s="11" t="s">
        <v>126</v>
      </c>
      <c r="AE70" s="14">
        <f>AE59/AE24</f>
        <v>5483.920977561245</v>
      </c>
      <c r="AF70" s="14">
        <f>AF43/AF24</f>
        <v>3206.3526303237445</v>
      </c>
      <c r="AG70" s="14"/>
    </row>
    <row r="71" spans="1:33" ht="12.75">
      <c r="A71" s="11" t="s">
        <v>127</v>
      </c>
      <c r="B71" s="11" t="s">
        <v>128</v>
      </c>
      <c r="C71" s="14">
        <f>C59/C62</f>
        <v>6064.153900741067</v>
      </c>
      <c r="D71" s="14"/>
      <c r="E71" s="14"/>
      <c r="O71" s="11" t="s">
        <v>127</v>
      </c>
      <c r="P71" s="11" t="s">
        <v>128</v>
      </c>
      <c r="Q71" s="14">
        <f>Q59/Q62</f>
        <v>6899.960688105438</v>
      </c>
      <c r="R71" s="14"/>
      <c r="S71" s="14"/>
      <c r="AC71" s="11" t="s">
        <v>127</v>
      </c>
      <c r="AD71" s="11" t="s">
        <v>128</v>
      </c>
      <c r="AE71" s="14">
        <f>AE59/AE62</f>
        <v>4040.315474528459</v>
      </c>
      <c r="AF71" s="14"/>
      <c r="AG71" s="14"/>
    </row>
    <row r="72" spans="1:33" ht="12.75">
      <c r="A72" s="11" t="s">
        <v>129</v>
      </c>
      <c r="B72" s="11" t="s">
        <v>130</v>
      </c>
      <c r="C72" s="14">
        <f>C70-C71</f>
        <v>1758.1521347292592</v>
      </c>
      <c r="D72" s="14"/>
      <c r="E72" s="14"/>
      <c r="O72" s="11" t="s">
        <v>129</v>
      </c>
      <c r="P72" s="11" t="s">
        <v>130</v>
      </c>
      <c r="Q72" s="14">
        <f>Q70-Q71</f>
        <v>1757.726297001641</v>
      </c>
      <c r="R72" s="14"/>
      <c r="S72" s="14"/>
      <c r="AC72" s="11" t="s">
        <v>129</v>
      </c>
      <c r="AD72" s="11" t="s">
        <v>130</v>
      </c>
      <c r="AE72" s="14">
        <f>AE70-AE71</f>
        <v>1443.6055030327861</v>
      </c>
      <c r="AF72" s="14"/>
      <c r="AG72" s="14"/>
    </row>
    <row r="73" spans="1:33" ht="12.75">
      <c r="A73" s="11" t="s">
        <v>131</v>
      </c>
      <c r="B73" s="11" t="s">
        <v>132</v>
      </c>
      <c r="C73" s="14">
        <f>C72/((+C67/1000)-(1/(+C7*C62)))</f>
        <v>6375.260782248932</v>
      </c>
      <c r="D73" s="14">
        <v>0</v>
      </c>
      <c r="E73" s="14"/>
      <c r="O73" s="11" t="s">
        <v>131</v>
      </c>
      <c r="P73" s="11" t="s">
        <v>132</v>
      </c>
      <c r="Q73" s="14">
        <f>Q72/((+Q67/1000)-(1/(+Q7*Q62)))</f>
        <v>5838.693729165288</v>
      </c>
      <c r="R73" s="14">
        <v>0</v>
      </c>
      <c r="S73" s="14"/>
      <c r="AC73" s="11" t="s">
        <v>131</v>
      </c>
      <c r="AD73" s="11" t="s">
        <v>132</v>
      </c>
      <c r="AE73" s="14">
        <f>AE72/((+AE67/1000)-(1/(+AE7*AE62)))</f>
        <v>7354.613866705886</v>
      </c>
      <c r="AF73" s="14">
        <v>0</v>
      </c>
      <c r="AG73" s="14"/>
    </row>
    <row r="74" spans="1:33" ht="12.75">
      <c r="A74" s="11"/>
      <c r="B74" s="11" t="s">
        <v>133</v>
      </c>
      <c r="C74" s="11"/>
      <c r="D74" s="11"/>
      <c r="E74" s="11"/>
      <c r="O74" s="11"/>
      <c r="P74" s="11" t="s">
        <v>133</v>
      </c>
      <c r="Q74" s="11"/>
      <c r="R74" s="11"/>
      <c r="S74" s="11"/>
      <c r="AC74" s="11"/>
      <c r="AD74" s="11" t="s">
        <v>133</v>
      </c>
      <c r="AE74" s="11"/>
      <c r="AF74" s="11"/>
      <c r="AG74" s="11"/>
    </row>
    <row r="75" spans="1:33" ht="12.75">
      <c r="A75" s="11" t="s">
        <v>134</v>
      </c>
      <c r="B75" s="11" t="s">
        <v>135</v>
      </c>
      <c r="C75" s="14">
        <f>C59+C73</f>
        <v>187734.62652024932</v>
      </c>
      <c r="D75" s="14">
        <f>D59+D73</f>
        <v>97026.338028169</v>
      </c>
      <c r="E75" s="14">
        <f>SUM(C75:D75)</f>
        <v>284760.9645484183</v>
      </c>
      <c r="O75" s="11" t="s">
        <v>134</v>
      </c>
      <c r="P75" s="11" t="s">
        <v>135</v>
      </c>
      <c r="Q75" s="14">
        <f>Q59+Q73</f>
        <v>194774.52500955752</v>
      </c>
      <c r="R75" s="14">
        <f>R59+R73</f>
        <v>98452.39436619719</v>
      </c>
      <c r="S75" s="14">
        <f>SUM(Q75:R75)</f>
        <v>293226.9193757547</v>
      </c>
      <c r="AC75" s="11" t="s">
        <v>134</v>
      </c>
      <c r="AD75" s="11" t="s">
        <v>135</v>
      </c>
      <c r="AE75" s="14">
        <f>AE59+AE73</f>
        <v>165984.58297753078</v>
      </c>
      <c r="AF75" s="14">
        <f>AF59+AF73</f>
        <v>92748.1690140845</v>
      </c>
      <c r="AG75" s="14">
        <f>SUM(AE75:AF75)</f>
        <v>258732.75199161528</v>
      </c>
    </row>
    <row r="76" spans="1:33" ht="12.75">
      <c r="A76" s="11" t="s">
        <v>136</v>
      </c>
      <c r="B76" s="11" t="s">
        <v>137</v>
      </c>
      <c r="C76" s="13">
        <f>(+C75-C15)/C15</f>
        <v>-0.3302344701411112</v>
      </c>
      <c r="D76" s="13"/>
      <c r="E76" s="13"/>
      <c r="O76" s="11" t="s">
        <v>136</v>
      </c>
      <c r="P76" s="11" t="s">
        <v>137</v>
      </c>
      <c r="Q76" s="13">
        <f>(+Q75-Q15)/Q15</f>
        <v>-0.32777796756536426</v>
      </c>
      <c r="R76" s="13"/>
      <c r="S76" s="13"/>
      <c r="AC76" s="11" t="s">
        <v>136</v>
      </c>
      <c r="AD76" s="11" t="s">
        <v>137</v>
      </c>
      <c r="AE76" s="13">
        <f>(+AE75-AE15)/AE15</f>
        <v>-0.34121124015591625</v>
      </c>
      <c r="AF76" s="13"/>
      <c r="AG76" s="13"/>
    </row>
    <row r="77" spans="1:33" ht="12.75">
      <c r="A77" s="11"/>
      <c r="B77" s="11"/>
      <c r="C77" s="34"/>
      <c r="D77" s="34"/>
      <c r="E77" s="34"/>
      <c r="O77" s="11"/>
      <c r="P77" s="11"/>
      <c r="Q77" s="34"/>
      <c r="R77" s="34"/>
      <c r="S77" s="34"/>
      <c r="AC77" s="11"/>
      <c r="AD77" s="11"/>
      <c r="AE77" s="34"/>
      <c r="AF77" s="34"/>
      <c r="AG77" s="34"/>
    </row>
    <row r="78" spans="1:33" ht="12.75">
      <c r="A78" s="26" t="s">
        <v>138</v>
      </c>
      <c r="B78" s="11"/>
      <c r="C78" s="11"/>
      <c r="D78" s="11"/>
      <c r="E78" s="11"/>
      <c r="O78" s="26" t="s">
        <v>138</v>
      </c>
      <c r="P78" s="11"/>
      <c r="Q78" s="11"/>
      <c r="R78" s="11"/>
      <c r="S78" s="11"/>
      <c r="AC78" s="26" t="s">
        <v>138</v>
      </c>
      <c r="AD78" s="11"/>
      <c r="AE78" s="11"/>
      <c r="AF78" s="11"/>
      <c r="AG78" s="11"/>
    </row>
    <row r="79" spans="1:33" ht="12.75">
      <c r="A79" s="11" t="s">
        <v>139</v>
      </c>
      <c r="B79" s="11" t="s">
        <v>140</v>
      </c>
      <c r="C79" s="31">
        <f>C75/C44</f>
        <v>13.545066848502838</v>
      </c>
      <c r="D79" s="31"/>
      <c r="E79" s="31"/>
      <c r="O79" s="11" t="s">
        <v>139</v>
      </c>
      <c r="P79" s="11" t="s">
        <v>140</v>
      </c>
      <c r="Q79" s="31">
        <f>Q75/Q44</f>
        <v>14.052996032435606</v>
      </c>
      <c r="R79" s="31"/>
      <c r="S79" s="31"/>
      <c r="AC79" s="11" t="s">
        <v>139</v>
      </c>
      <c r="AD79" s="11" t="s">
        <v>140</v>
      </c>
      <c r="AE79" s="31">
        <f>AE75/AE44</f>
        <v>11.975799637628484</v>
      </c>
      <c r="AF79" s="31"/>
      <c r="AG79" s="31"/>
    </row>
    <row r="80" spans="1:33" ht="12.75">
      <c r="A80" s="11" t="s">
        <v>141</v>
      </c>
      <c r="B80" s="11" t="s">
        <v>142</v>
      </c>
      <c r="C80" s="31">
        <f>0.0551483782*(C79)^3-0.0189486676*(C79)^4+0.0023287974*((C79)^5)-(0.0001133801*((C79)^6))+(0.0000018954*((C79)^7))</f>
        <v>19.35703094448982</v>
      </c>
      <c r="D80" s="31"/>
      <c r="E80" s="31"/>
      <c r="O80" s="11" t="s">
        <v>141</v>
      </c>
      <c r="P80" s="11" t="s">
        <v>142</v>
      </c>
      <c r="Q80" s="31">
        <f>0.0551483782*(Q79)^3-0.0189486676*(Q79)^4+0.0023287974*((Q79)^5)-(0.0001133801*((Q79)^6))+(0.0000018954*((Q79)^7))</f>
        <v>22.286395522316184</v>
      </c>
      <c r="R80" s="31"/>
      <c r="S80" s="31"/>
      <c r="AC80" s="11" t="s">
        <v>141</v>
      </c>
      <c r="AD80" s="11" t="s">
        <v>142</v>
      </c>
      <c r="AE80" s="31">
        <f>0.0551483782*(AE79)^3-0.0189486676*(AE79)^4+0.0023287974*((AE79)^5)-(0.0001133801*((AE79)^6))+(0.0000018954*((AE79)^7))</f>
        <v>11.108525376072905</v>
      </c>
      <c r="AF80" s="31"/>
      <c r="AG80" s="31"/>
    </row>
    <row r="81" spans="1:33" ht="12.75">
      <c r="A81" s="11" t="s">
        <v>143</v>
      </c>
      <c r="B81" s="11" t="s">
        <v>144</v>
      </c>
      <c r="C81" s="31">
        <f>1/((1/60)+C80/1000)</f>
        <v>27.759504612605383</v>
      </c>
      <c r="D81" s="31">
        <v>60</v>
      </c>
      <c r="E81" s="31"/>
      <c r="O81" s="11" t="s">
        <v>143</v>
      </c>
      <c r="P81" s="11" t="s">
        <v>144</v>
      </c>
      <c r="Q81" s="31">
        <f>1/((1/60)+Q80/1000)</f>
        <v>25.671922662933323</v>
      </c>
      <c r="R81" s="31">
        <v>60</v>
      </c>
      <c r="S81" s="31"/>
      <c r="AC81" s="11" t="s">
        <v>143</v>
      </c>
      <c r="AD81" s="11" t="s">
        <v>144</v>
      </c>
      <c r="AE81" s="31">
        <f>1/((1/60)+AE80/1000)</f>
        <v>36.003351424581766</v>
      </c>
      <c r="AF81" s="31">
        <v>60</v>
      </c>
      <c r="AG81" s="31"/>
    </row>
    <row r="82" spans="1:33" ht="12.75">
      <c r="A82" s="11" t="s">
        <v>145</v>
      </c>
      <c r="B82" s="11" t="s">
        <v>146</v>
      </c>
      <c r="C82" s="14">
        <f>C43/C81</f>
        <v>6312.250522413626</v>
      </c>
      <c r="D82" s="14">
        <f>D43/D81</f>
        <v>1617.1056338028168</v>
      </c>
      <c r="E82" s="14"/>
      <c r="O82" s="11" t="s">
        <v>145</v>
      </c>
      <c r="P82" s="11" t="s">
        <v>146</v>
      </c>
      <c r="Q82" s="14">
        <f>Q43/Q81</f>
        <v>7127.471642134918</v>
      </c>
      <c r="R82" s="14">
        <f>R43/R81</f>
        <v>1640.8732394366198</v>
      </c>
      <c r="S82" s="14"/>
      <c r="AC82" s="11" t="s">
        <v>145</v>
      </c>
      <c r="AD82" s="11" t="s">
        <v>146</v>
      </c>
      <c r="AE82" s="14">
        <f>AE43/AE81</f>
        <v>4221.053919171315</v>
      </c>
      <c r="AF82" s="14">
        <f>AF43/AF81</f>
        <v>1545.8028169014083</v>
      </c>
      <c r="AG82" s="14"/>
    </row>
    <row r="83" spans="1:33" ht="12.75">
      <c r="A83" s="11" t="s">
        <v>147</v>
      </c>
      <c r="B83" s="11" t="s">
        <v>148</v>
      </c>
      <c r="C83" s="14">
        <f>C70-C82</f>
        <v>1510.0555130567009</v>
      </c>
      <c r="D83" s="14">
        <f>D70-D82</f>
        <v>2567.7882202154315</v>
      </c>
      <c r="E83" s="14"/>
      <c r="O83" s="11" t="s">
        <v>147</v>
      </c>
      <c r="P83" s="11" t="s">
        <v>148</v>
      </c>
      <c r="Q83" s="14">
        <f>Q70-Q82</f>
        <v>1530.2153429721611</v>
      </c>
      <c r="R83" s="14">
        <f>R70-R82</f>
        <v>2870.5526389859324</v>
      </c>
      <c r="S83" s="14"/>
      <c r="AC83" s="11" t="s">
        <v>147</v>
      </c>
      <c r="AD83" s="11" t="s">
        <v>148</v>
      </c>
      <c r="AE83" s="14">
        <f>AE70-AE82</f>
        <v>1262.8670583899302</v>
      </c>
      <c r="AF83" s="14">
        <f>AF70-AF82</f>
        <v>1660.5498134223362</v>
      </c>
      <c r="AG83" s="14"/>
    </row>
    <row r="84" spans="1:33" ht="12.75">
      <c r="A84" s="11" t="s">
        <v>149</v>
      </c>
      <c r="B84" s="11" t="s">
        <v>150</v>
      </c>
      <c r="C84" s="31">
        <f>(+C83/C43)*60</f>
        <v>0.5170686713265702</v>
      </c>
      <c r="D84" s="31">
        <f>(+D83/D43)*60</f>
        <v>1.5878914565259237</v>
      </c>
      <c r="E84" s="31"/>
      <c r="O84" s="11" t="s">
        <v>149</v>
      </c>
      <c r="P84" s="11" t="s">
        <v>150</v>
      </c>
      <c r="Q84" s="31">
        <f>(+Q83/Q43)*60</f>
        <v>0.5017760272657596</v>
      </c>
      <c r="R84" s="31">
        <f>(+R83/R43)*60</f>
        <v>1.7494054811762991</v>
      </c>
      <c r="S84" s="31"/>
      <c r="AC84" s="11" t="s">
        <v>149</v>
      </c>
      <c r="AD84" s="11" t="s">
        <v>150</v>
      </c>
      <c r="AE84" s="31">
        <f>(+AE83/AE43)*60</f>
        <v>0.4985917130115624</v>
      </c>
      <c r="AF84" s="31">
        <f>(+AF83/AF43)*60</f>
        <v>1.0742313283856868</v>
      </c>
      <c r="AG84" s="31"/>
    </row>
    <row r="85" spans="1:33" ht="12.75">
      <c r="A85" s="11"/>
      <c r="B85" s="11" t="s">
        <v>151</v>
      </c>
      <c r="C85" s="35">
        <f>+'mode ch'!E152</f>
        <v>1.2656846137510938</v>
      </c>
      <c r="D85" s="35">
        <f>+'mode ch'!E145</f>
        <v>1.6041542270761875</v>
      </c>
      <c r="E85" s="31"/>
      <c r="O85" s="11"/>
      <c r="P85" s="11" t="s">
        <v>151</v>
      </c>
      <c r="Q85" s="35">
        <f>+'mode ch'!S152</f>
        <v>1.2636269982373995</v>
      </c>
      <c r="R85" s="35">
        <f>+'mode ch'!S145</f>
        <v>1.6154729876293568</v>
      </c>
      <c r="S85" s="31"/>
      <c r="AC85" s="11"/>
      <c r="AD85" s="11" t="s">
        <v>151</v>
      </c>
      <c r="AE85" s="35">
        <f>+'mode ch'!AG152</f>
        <v>1.2730367673141498</v>
      </c>
      <c r="AF85" s="35">
        <f>+'mode ch'!AG145</f>
        <v>1.5681095561280871</v>
      </c>
      <c r="AG85" s="31"/>
    </row>
    <row r="86" spans="1:33" ht="12.75">
      <c r="A86" s="11"/>
      <c r="B86" s="11" t="s">
        <v>152</v>
      </c>
      <c r="C86" s="31">
        <f>+C85*C83</f>
        <v>1911.25402878588</v>
      </c>
      <c r="D86" s="31">
        <f>+D85*D83</f>
        <v>4119.128327695024</v>
      </c>
      <c r="E86" s="31"/>
      <c r="O86" s="11"/>
      <c r="P86" s="11" t="s">
        <v>152</v>
      </c>
      <c r="Q86" s="31">
        <f>+Q85*Q83</f>
        <v>1933.6214204967248</v>
      </c>
      <c r="R86" s="31">
        <f>+R85*R83</f>
        <v>4637.300247849938</v>
      </c>
      <c r="S86" s="31"/>
      <c r="AC86" s="11"/>
      <c r="AD86" s="11" t="s">
        <v>152</v>
      </c>
      <c r="AE86" s="31">
        <f>+AE85*AE83</f>
        <v>1607.6761975602465</v>
      </c>
      <c r="AF86" s="31">
        <f>+AF85*AF83</f>
        <v>2603.9240308542776</v>
      </c>
      <c r="AG86" s="31"/>
    </row>
    <row r="87" spans="1:33" ht="12.75">
      <c r="A87" s="11" t="s">
        <v>153</v>
      </c>
      <c r="B87" s="11" t="s">
        <v>154</v>
      </c>
      <c r="C87" s="36">
        <f>+'Sensitivity Anal'!B5</f>
        <v>9</v>
      </c>
      <c r="D87" s="36">
        <f>+C87</f>
        <v>9</v>
      </c>
      <c r="E87" s="36"/>
      <c r="O87" s="11" t="s">
        <v>153</v>
      </c>
      <c r="P87" s="11" t="s">
        <v>154</v>
      </c>
      <c r="Q87" s="36">
        <f>+C87</f>
        <v>9</v>
      </c>
      <c r="R87" s="36">
        <f>+C87</f>
        <v>9</v>
      </c>
      <c r="S87" s="36"/>
      <c r="AC87" s="11" t="s">
        <v>153</v>
      </c>
      <c r="AD87" s="11" t="s">
        <v>154</v>
      </c>
      <c r="AE87" s="36">
        <f>+C87</f>
        <v>9</v>
      </c>
      <c r="AF87" s="36">
        <f>+AE87</f>
        <v>9</v>
      </c>
      <c r="AG87" s="36"/>
    </row>
    <row r="88" spans="1:33" ht="12.75">
      <c r="A88" s="11" t="s">
        <v>155</v>
      </c>
      <c r="B88" s="11" t="s">
        <v>156</v>
      </c>
      <c r="C88" s="37">
        <f>C86*C87</f>
        <v>17201.28625907292</v>
      </c>
      <c r="D88" s="37">
        <f>D86*D87</f>
        <v>37072.15494925522</v>
      </c>
      <c r="E88" s="37"/>
      <c r="O88" s="11" t="s">
        <v>155</v>
      </c>
      <c r="P88" s="11" t="s">
        <v>156</v>
      </c>
      <c r="Q88" s="37">
        <f>Q86*Q87</f>
        <v>17402.592784470522</v>
      </c>
      <c r="R88" s="37">
        <f>R86*R87</f>
        <v>41735.70223064945</v>
      </c>
      <c r="S88" s="37"/>
      <c r="AC88" s="11" t="s">
        <v>155</v>
      </c>
      <c r="AD88" s="11" t="s">
        <v>156</v>
      </c>
      <c r="AE88" s="37">
        <f>AE86*AE87</f>
        <v>14469.085778042217</v>
      </c>
      <c r="AF88" s="37">
        <f>AF86*AF87</f>
        <v>23435.3162776885</v>
      </c>
      <c r="AG88" s="37"/>
    </row>
    <row r="89" spans="1:33" ht="12.75">
      <c r="A89" s="11"/>
      <c r="B89" s="11"/>
      <c r="C89" s="37"/>
      <c r="D89" s="37"/>
      <c r="E89" s="37"/>
      <c r="O89" s="11"/>
      <c r="P89" s="11"/>
      <c r="Q89" s="37"/>
      <c r="R89" s="37"/>
      <c r="S89" s="37"/>
      <c r="AC89" s="11"/>
      <c r="AD89" s="11"/>
      <c r="AE89" s="37"/>
      <c r="AF89" s="37"/>
      <c r="AG89" s="37"/>
    </row>
    <row r="90" spans="1:33" ht="12.75">
      <c r="A90" s="26" t="s">
        <v>157</v>
      </c>
      <c r="B90" s="11"/>
      <c r="C90" s="11"/>
      <c r="D90" s="11"/>
      <c r="E90" s="11"/>
      <c r="O90" s="26" t="s">
        <v>157</v>
      </c>
      <c r="P90" s="11"/>
      <c r="Q90" s="11"/>
      <c r="R90" s="11"/>
      <c r="S90" s="11"/>
      <c r="AC90" s="26" t="s">
        <v>157</v>
      </c>
      <c r="AD90" s="11"/>
      <c r="AE90" s="11"/>
      <c r="AF90" s="11"/>
      <c r="AG90" s="11"/>
    </row>
    <row r="91" spans="1:33" ht="12.75">
      <c r="A91" s="11" t="s">
        <v>158</v>
      </c>
      <c r="B91" s="11" t="s">
        <v>159</v>
      </c>
      <c r="C91" s="14">
        <f>C58</f>
        <v>6134.418245138633</v>
      </c>
      <c r="D91" s="14">
        <f>D58</f>
        <v>0</v>
      </c>
      <c r="E91" s="14"/>
      <c r="O91" s="11" t="s">
        <v>158</v>
      </c>
      <c r="P91" s="11" t="s">
        <v>159</v>
      </c>
      <c r="Q91" s="14">
        <f>Q58</f>
        <v>5959.930501254234</v>
      </c>
      <c r="R91" s="14">
        <f>R58</f>
        <v>0</v>
      </c>
      <c r="S91" s="14"/>
      <c r="AC91" s="11" t="s">
        <v>158</v>
      </c>
      <c r="AD91" s="11" t="s">
        <v>159</v>
      </c>
      <c r="AE91" s="14">
        <f>AE58</f>
        <v>6657.881476791864</v>
      </c>
      <c r="AF91" s="14">
        <f>AF58</f>
        <v>0</v>
      </c>
      <c r="AG91" s="14"/>
    </row>
    <row r="92" spans="1:33" ht="12.75">
      <c r="A92" s="11" t="s">
        <v>160</v>
      </c>
      <c r="B92" s="11" t="s">
        <v>161</v>
      </c>
      <c r="C92" s="31">
        <f>C101</f>
        <v>0.2585343356632851</v>
      </c>
      <c r="D92" s="31">
        <f>D101</f>
        <v>0.7939457282629618</v>
      </c>
      <c r="E92" s="31"/>
      <c r="O92" s="11" t="s">
        <v>160</v>
      </c>
      <c r="P92" s="11" t="s">
        <v>161</v>
      </c>
      <c r="Q92" s="31">
        <f>Q101</f>
        <v>0.2508880136328798</v>
      </c>
      <c r="R92" s="31">
        <f>R101</f>
        <v>0.8747027405881496</v>
      </c>
      <c r="S92" s="31"/>
      <c r="AC92" s="11" t="s">
        <v>160</v>
      </c>
      <c r="AD92" s="11" t="s">
        <v>161</v>
      </c>
      <c r="AE92" s="31">
        <f>AE101</f>
        <v>0.2492958565057812</v>
      </c>
      <c r="AF92" s="31">
        <f>AF101</f>
        <v>0.5371156641928434</v>
      </c>
      <c r="AG92" s="31"/>
    </row>
    <row r="93" spans="1:33" ht="12.75">
      <c r="A93" s="11" t="s">
        <v>162</v>
      </c>
      <c r="B93" s="11" t="s">
        <v>163</v>
      </c>
      <c r="C93" s="31">
        <f>(+C91*C92)/60</f>
        <v>26.432629094794198</v>
      </c>
      <c r="D93" s="31">
        <f>(+D91*D92)/60</f>
        <v>0</v>
      </c>
      <c r="E93" s="31"/>
      <c r="O93" s="11" t="s">
        <v>162</v>
      </c>
      <c r="P93" s="11" t="s">
        <v>163</v>
      </c>
      <c r="Q93" s="31">
        <f>(+Q91*Q92)/60</f>
        <v>24.92125208082814</v>
      </c>
      <c r="R93" s="31">
        <f>(+R91*R92)/60</f>
        <v>0</v>
      </c>
      <c r="S93" s="31"/>
      <c r="AC93" s="11" t="s">
        <v>162</v>
      </c>
      <c r="AD93" s="11" t="s">
        <v>163</v>
      </c>
      <c r="AE93" s="31">
        <f>(+AE91*AE92)/60</f>
        <v>27.663037754513386</v>
      </c>
      <c r="AF93" s="31">
        <f>(+AF91*AF92)/60</f>
        <v>0</v>
      </c>
      <c r="AG93" s="31"/>
    </row>
    <row r="94" spans="1:33" ht="12.75">
      <c r="A94" s="11"/>
      <c r="B94" s="11" t="s">
        <v>151</v>
      </c>
      <c r="C94" s="31">
        <f>+C85</f>
        <v>1.2656846137510938</v>
      </c>
      <c r="D94" s="31">
        <f>+D85</f>
        <v>1.6041542270761875</v>
      </c>
      <c r="E94" s="31"/>
      <c r="O94" s="11"/>
      <c r="P94" s="11" t="s">
        <v>151</v>
      </c>
      <c r="Q94" s="31">
        <f>+Q85</f>
        <v>1.2636269982373995</v>
      </c>
      <c r="R94" s="31">
        <f>+R85</f>
        <v>1.6154729876293568</v>
      </c>
      <c r="S94" s="31"/>
      <c r="AC94" s="11"/>
      <c r="AD94" s="11" t="s">
        <v>151</v>
      </c>
      <c r="AE94" s="31">
        <f>+AE85</f>
        <v>1.2730367673141498</v>
      </c>
      <c r="AF94" s="31">
        <f>+AF85</f>
        <v>1.5681095561280871</v>
      </c>
      <c r="AG94" s="31"/>
    </row>
    <row r="95" spans="1:33" ht="12.75">
      <c r="A95" s="11"/>
      <c r="B95" s="11" t="s">
        <v>152</v>
      </c>
      <c r="C95" s="31">
        <f>+C94*C93</f>
        <v>33.45537194627052</v>
      </c>
      <c r="D95" s="31">
        <f>+D94*D93</f>
        <v>0</v>
      </c>
      <c r="E95" s="31"/>
      <c r="O95" s="11"/>
      <c r="P95" s="11" t="s">
        <v>152</v>
      </c>
      <c r="Q95" s="31">
        <f>+Q94*Q93</f>
        <v>31.49116695921441</v>
      </c>
      <c r="R95" s="31">
        <f>+R94*R93</f>
        <v>0</v>
      </c>
      <c r="S95" s="31"/>
      <c r="AC95" s="11"/>
      <c r="AD95" s="11" t="s">
        <v>152</v>
      </c>
      <c r="AE95" s="31">
        <f>+AE94*AE93</f>
        <v>35.216064157095</v>
      </c>
      <c r="AF95" s="31">
        <f>+AF94*AF93</f>
        <v>0</v>
      </c>
      <c r="AG95" s="31"/>
    </row>
    <row r="96" spans="1:33" ht="12.75">
      <c r="A96" s="11" t="s">
        <v>164</v>
      </c>
      <c r="B96" s="11" t="s">
        <v>154</v>
      </c>
      <c r="C96" s="38">
        <f>C87</f>
        <v>9</v>
      </c>
      <c r="D96" s="38">
        <f>D87</f>
        <v>9</v>
      </c>
      <c r="E96" s="38"/>
      <c r="O96" s="11" t="s">
        <v>164</v>
      </c>
      <c r="P96" s="11" t="s">
        <v>154</v>
      </c>
      <c r="Q96" s="38">
        <f>Q87</f>
        <v>9</v>
      </c>
      <c r="R96" s="38">
        <f>R87</f>
        <v>9</v>
      </c>
      <c r="S96" s="38"/>
      <c r="AC96" s="11" t="s">
        <v>164</v>
      </c>
      <c r="AD96" s="11" t="s">
        <v>154</v>
      </c>
      <c r="AE96" s="38">
        <f>AE87</f>
        <v>9</v>
      </c>
      <c r="AF96" s="38">
        <f>AF87</f>
        <v>9</v>
      </c>
      <c r="AG96" s="38"/>
    </row>
    <row r="97" spans="1:33" ht="12.75">
      <c r="A97" s="11" t="s">
        <v>165</v>
      </c>
      <c r="B97" s="11" t="s">
        <v>156</v>
      </c>
      <c r="C97" s="37">
        <f>C95*C96</f>
        <v>301.09834751643467</v>
      </c>
      <c r="D97" s="37">
        <f>D95*D96</f>
        <v>0</v>
      </c>
      <c r="E97" s="37"/>
      <c r="O97" s="11" t="s">
        <v>165</v>
      </c>
      <c r="P97" s="11" t="s">
        <v>156</v>
      </c>
      <c r="Q97" s="37">
        <f>Q95*Q96</f>
        <v>283.4205026329297</v>
      </c>
      <c r="R97" s="37">
        <f>R95*R96</f>
        <v>0</v>
      </c>
      <c r="S97" s="37"/>
      <c r="AC97" s="11" t="s">
        <v>165</v>
      </c>
      <c r="AD97" s="11" t="s">
        <v>156</v>
      </c>
      <c r="AE97" s="37">
        <f>AE95*AE96</f>
        <v>316.944577413855</v>
      </c>
      <c r="AF97" s="37">
        <f>AF95*AF96</f>
        <v>0</v>
      </c>
      <c r="AG97" s="37"/>
    </row>
    <row r="98" spans="1:33" ht="12.75">
      <c r="A98" s="11"/>
      <c r="B98" s="11"/>
      <c r="C98" s="38"/>
      <c r="D98" s="38"/>
      <c r="E98" s="38"/>
      <c r="O98" s="11"/>
      <c r="P98" s="11"/>
      <c r="Q98" s="38"/>
      <c r="R98" s="38"/>
      <c r="S98" s="38"/>
      <c r="AC98" s="11"/>
      <c r="AD98" s="11"/>
      <c r="AE98" s="38"/>
      <c r="AF98" s="38"/>
      <c r="AG98" s="38"/>
    </row>
    <row r="99" spans="1:33" ht="12.75">
      <c r="A99" s="26" t="s">
        <v>166</v>
      </c>
      <c r="B99" s="11"/>
      <c r="C99" s="11"/>
      <c r="D99" s="11"/>
      <c r="E99" s="11"/>
      <c r="O99" s="26" t="s">
        <v>166</v>
      </c>
      <c r="P99" s="11"/>
      <c r="Q99" s="11"/>
      <c r="R99" s="11"/>
      <c r="S99" s="11"/>
      <c r="AC99" s="26" t="s">
        <v>166</v>
      </c>
      <c r="AD99" s="11"/>
      <c r="AE99" s="11"/>
      <c r="AF99" s="11"/>
      <c r="AG99" s="11"/>
    </row>
    <row r="100" spans="1:33" ht="12.75">
      <c r="A100" s="11" t="s">
        <v>167</v>
      </c>
      <c r="B100" s="11" t="s">
        <v>132</v>
      </c>
      <c r="C100" s="14">
        <f>C73</f>
        <v>6375.260782248932</v>
      </c>
      <c r="D100" s="14">
        <f>D73</f>
        <v>0</v>
      </c>
      <c r="E100" s="14"/>
      <c r="O100" s="11" t="s">
        <v>167</v>
      </c>
      <c r="P100" s="11" t="s">
        <v>132</v>
      </c>
      <c r="Q100" s="14">
        <f>Q73</f>
        <v>5838.693729165288</v>
      </c>
      <c r="R100" s="14">
        <f>R73</f>
        <v>0</v>
      </c>
      <c r="S100" s="14"/>
      <c r="AC100" s="11" t="s">
        <v>167</v>
      </c>
      <c r="AD100" s="11" t="s">
        <v>132</v>
      </c>
      <c r="AE100" s="14">
        <f>AE73</f>
        <v>7354.613866705886</v>
      </c>
      <c r="AF100" s="14">
        <f>AF73</f>
        <v>0</v>
      </c>
      <c r="AG100" s="14"/>
    </row>
    <row r="101" spans="1:33" ht="12.75">
      <c r="A101" s="11" t="s">
        <v>168</v>
      </c>
      <c r="B101" s="11" t="s">
        <v>169</v>
      </c>
      <c r="C101" s="31">
        <f>C84/2</f>
        <v>0.2585343356632851</v>
      </c>
      <c r="D101" s="31">
        <f>D84/2</f>
        <v>0.7939457282629618</v>
      </c>
      <c r="E101" s="31"/>
      <c r="O101" s="11" t="s">
        <v>168</v>
      </c>
      <c r="P101" s="11" t="s">
        <v>169</v>
      </c>
      <c r="Q101" s="31">
        <f>Q84/2</f>
        <v>0.2508880136328798</v>
      </c>
      <c r="R101" s="31">
        <f>R84/2</f>
        <v>0.8747027405881496</v>
      </c>
      <c r="S101" s="31"/>
      <c r="AC101" s="11" t="s">
        <v>168</v>
      </c>
      <c r="AD101" s="11" t="s">
        <v>169</v>
      </c>
      <c r="AE101" s="31">
        <f>AE84/2</f>
        <v>0.2492958565057812</v>
      </c>
      <c r="AF101" s="31">
        <f>AF84/2</f>
        <v>0.5371156641928434</v>
      </c>
      <c r="AG101" s="31"/>
    </row>
    <row r="102" spans="1:33" ht="12.75">
      <c r="A102" s="11" t="s">
        <v>170</v>
      </c>
      <c r="B102" s="11" t="s">
        <v>171</v>
      </c>
      <c r="C102" s="31">
        <f>(+C100*C101)/60</f>
        <v>27.470396850315378</v>
      </c>
      <c r="D102" s="31">
        <f>(+D100*D101)/60</f>
        <v>0</v>
      </c>
      <c r="E102" s="31"/>
      <c r="O102" s="11" t="s">
        <v>170</v>
      </c>
      <c r="P102" s="11" t="s">
        <v>171</v>
      </c>
      <c r="Q102" s="31">
        <f>(+Q100*Q101)/60</f>
        <v>24.414304532017177</v>
      </c>
      <c r="R102" s="31">
        <f>(+R100*R101)/60</f>
        <v>0</v>
      </c>
      <c r="S102" s="31"/>
      <c r="AC102" s="11" t="s">
        <v>170</v>
      </c>
      <c r="AD102" s="11" t="s">
        <v>171</v>
      </c>
      <c r="AE102" s="31">
        <f>(+AE100*AE101)/60</f>
        <v>30.557912719495654</v>
      </c>
      <c r="AF102" s="31">
        <f>(+AF100*AF101)/60</f>
        <v>0</v>
      </c>
      <c r="AG102" s="31"/>
    </row>
    <row r="103" spans="1:33" ht="12.75">
      <c r="A103" s="11"/>
      <c r="B103" s="11" t="s">
        <v>151</v>
      </c>
      <c r="C103" s="31">
        <f>+C94</f>
        <v>1.2656846137510938</v>
      </c>
      <c r="D103" s="31">
        <f>+D94</f>
        <v>1.6041542270761875</v>
      </c>
      <c r="E103" s="31"/>
      <c r="O103" s="11"/>
      <c r="P103" s="11" t="s">
        <v>151</v>
      </c>
      <c r="Q103" s="31">
        <f>+Q94</f>
        <v>1.2636269982373995</v>
      </c>
      <c r="R103" s="31">
        <f>+R94</f>
        <v>1.6154729876293568</v>
      </c>
      <c r="S103" s="31"/>
      <c r="AC103" s="11"/>
      <c r="AD103" s="11" t="s">
        <v>151</v>
      </c>
      <c r="AE103" s="31">
        <f>+AE94</f>
        <v>1.2730367673141498</v>
      </c>
      <c r="AF103" s="31">
        <f>+AF94</f>
        <v>1.5681095561280871</v>
      </c>
      <c r="AG103" s="31"/>
    </row>
    <row r="104" spans="1:33" ht="12.75">
      <c r="A104" s="11"/>
      <c r="B104" s="11" t="s">
        <v>152</v>
      </c>
      <c r="C104" s="31">
        <f>+C103*C102</f>
        <v>34.76885862708068</v>
      </c>
      <c r="D104" s="31">
        <f>+D103*D102</f>
        <v>0</v>
      </c>
      <c r="E104" s="31"/>
      <c r="O104" s="11"/>
      <c r="P104" s="11" t="s">
        <v>152</v>
      </c>
      <c r="Q104" s="31">
        <f>+Q103*Q102</f>
        <v>30.850574349846603</v>
      </c>
      <c r="R104" s="31">
        <f>+R103*R102</f>
        <v>0</v>
      </c>
      <c r="S104" s="31"/>
      <c r="AC104" s="11"/>
      <c r="AD104" s="11" t="s">
        <v>152</v>
      </c>
      <c r="AE104" s="31">
        <f>+AE103*AE102</f>
        <v>38.90134642429469</v>
      </c>
      <c r="AF104" s="31">
        <f>+AF103*AF102</f>
        <v>0</v>
      </c>
      <c r="AG104" s="31"/>
    </row>
    <row r="105" spans="1:33" ht="12.75">
      <c r="A105" s="11" t="s">
        <v>172</v>
      </c>
      <c r="B105" s="11" t="s">
        <v>154</v>
      </c>
      <c r="C105" s="38">
        <f>C87</f>
        <v>9</v>
      </c>
      <c r="D105" s="38">
        <f>D87</f>
        <v>9</v>
      </c>
      <c r="E105" s="38"/>
      <c r="O105" s="11" t="s">
        <v>172</v>
      </c>
      <c r="P105" s="11" t="s">
        <v>154</v>
      </c>
      <c r="Q105" s="38">
        <f>Q87</f>
        <v>9</v>
      </c>
      <c r="R105" s="38">
        <f>R87</f>
        <v>9</v>
      </c>
      <c r="S105" s="38"/>
      <c r="AC105" s="11" t="s">
        <v>172</v>
      </c>
      <c r="AD105" s="11" t="s">
        <v>154</v>
      </c>
      <c r="AE105" s="38">
        <f>AE87</f>
        <v>9</v>
      </c>
      <c r="AF105" s="38">
        <f>AF87</f>
        <v>9</v>
      </c>
      <c r="AG105" s="38"/>
    </row>
    <row r="106" spans="1:33" ht="12.75">
      <c r="A106" s="11" t="s">
        <v>173</v>
      </c>
      <c r="B106" s="11" t="s">
        <v>156</v>
      </c>
      <c r="C106" s="37">
        <f>C104*C105</f>
        <v>312.91972764372616</v>
      </c>
      <c r="D106" s="37">
        <f>D104*D105</f>
        <v>0</v>
      </c>
      <c r="E106" s="37"/>
      <c r="O106" s="11" t="s">
        <v>173</v>
      </c>
      <c r="P106" s="11" t="s">
        <v>156</v>
      </c>
      <c r="Q106" s="37">
        <f>Q104*Q105</f>
        <v>277.65516914861945</v>
      </c>
      <c r="R106" s="37">
        <f>R104*R105</f>
        <v>0</v>
      </c>
      <c r="S106" s="37"/>
      <c r="AC106" s="11" t="s">
        <v>173</v>
      </c>
      <c r="AD106" s="11" t="s">
        <v>156</v>
      </c>
      <c r="AE106" s="37">
        <f>AE104*AE105</f>
        <v>350.11211781865217</v>
      </c>
      <c r="AF106" s="37">
        <f>AF104*AF105</f>
        <v>0</v>
      </c>
      <c r="AG106" s="37"/>
    </row>
    <row r="107" spans="1:33" ht="12.75">
      <c r="A107" s="11"/>
      <c r="B107" s="11"/>
      <c r="C107" s="37"/>
      <c r="D107" s="37"/>
      <c r="E107" s="37"/>
      <c r="O107" s="11"/>
      <c r="P107" s="11"/>
      <c r="Q107" s="37"/>
      <c r="R107" s="37"/>
      <c r="S107" s="37"/>
      <c r="AC107" s="11"/>
      <c r="AD107" s="11"/>
      <c r="AE107" s="37"/>
      <c r="AF107" s="37"/>
      <c r="AG107" s="37"/>
    </row>
    <row r="108" spans="1:33" ht="12.75">
      <c r="A108" s="11"/>
      <c r="B108" s="11" t="s">
        <v>391</v>
      </c>
      <c r="C108" s="37">
        <f>+C88+C97+C106</f>
        <v>17815.304334233082</v>
      </c>
      <c r="D108" s="37">
        <f>+D88+D97+D106</f>
        <v>37072.15494925522</v>
      </c>
      <c r="E108" s="37">
        <f>SUM(C108:D108)</f>
        <v>54887.45928348831</v>
      </c>
      <c r="O108" s="11"/>
      <c r="P108" s="11" t="s">
        <v>391</v>
      </c>
      <c r="Q108" s="37">
        <f>+Q88+Q97+Q106</f>
        <v>17963.66845625207</v>
      </c>
      <c r="R108" s="37">
        <f>+R88+R97+R106</f>
        <v>41735.70223064945</v>
      </c>
      <c r="S108" s="37">
        <f>SUM(Q108:R108)</f>
        <v>59699.370686901515</v>
      </c>
      <c r="AC108" s="11"/>
      <c r="AD108" s="11" t="s">
        <v>391</v>
      </c>
      <c r="AE108" s="37">
        <f>+AE88+AE97+AE106</f>
        <v>15136.142473274724</v>
      </c>
      <c r="AF108" s="37">
        <f>+AF88+AF97+AF106</f>
        <v>23435.3162776885</v>
      </c>
      <c r="AG108" s="37">
        <f>SUM(AE108:AF108)</f>
        <v>38571.458750963226</v>
      </c>
    </row>
    <row r="109" spans="1:33" ht="12.75">
      <c r="A109" s="11"/>
      <c r="B109" s="11"/>
      <c r="C109" s="37"/>
      <c r="D109" s="37"/>
      <c r="E109" s="37"/>
      <c r="O109" s="11"/>
      <c r="P109" s="11"/>
      <c r="Q109" s="37"/>
      <c r="R109" s="37"/>
      <c r="S109" s="37"/>
      <c r="AC109" s="11"/>
      <c r="AD109" s="11"/>
      <c r="AE109" s="37"/>
      <c r="AF109" s="37"/>
      <c r="AG109" s="37"/>
    </row>
    <row r="110" spans="1:33" ht="12.75">
      <c r="A110" s="17" t="s">
        <v>174</v>
      </c>
      <c r="B110" s="11"/>
      <c r="C110" s="11"/>
      <c r="D110" s="11"/>
      <c r="E110" s="11"/>
      <c r="O110" s="17" t="s">
        <v>174</v>
      </c>
      <c r="P110" s="11"/>
      <c r="Q110" s="11"/>
      <c r="R110" s="11"/>
      <c r="S110" s="11"/>
      <c r="AC110" s="17" t="s">
        <v>174</v>
      </c>
      <c r="AD110" s="11"/>
      <c r="AE110" s="11"/>
      <c r="AF110" s="11"/>
      <c r="AG110" s="11"/>
    </row>
    <row r="111" spans="1:33" ht="12.75">
      <c r="A111" s="18"/>
      <c r="B111" s="18"/>
      <c r="C111" s="18"/>
      <c r="D111" s="18"/>
      <c r="E111" s="18"/>
      <c r="O111" s="18"/>
      <c r="P111" s="18"/>
      <c r="Q111" s="18"/>
      <c r="R111" s="18"/>
      <c r="S111" s="18"/>
      <c r="AC111" s="18"/>
      <c r="AD111" s="18"/>
      <c r="AE111" s="18"/>
      <c r="AF111" s="18"/>
      <c r="AG111" s="18"/>
    </row>
    <row r="112" spans="1:33" ht="12.75">
      <c r="A112" s="26" t="s">
        <v>175</v>
      </c>
      <c r="B112" s="11"/>
      <c r="C112" s="11"/>
      <c r="D112" s="11"/>
      <c r="E112" s="11"/>
      <c r="O112" s="26" t="s">
        <v>175</v>
      </c>
      <c r="P112" s="11"/>
      <c r="Q112" s="11"/>
      <c r="R112" s="11"/>
      <c r="S112" s="11"/>
      <c r="AC112" s="26" t="s">
        <v>175</v>
      </c>
      <c r="AD112" s="11"/>
      <c r="AE112" s="11"/>
      <c r="AF112" s="11"/>
      <c r="AG112" s="11"/>
    </row>
    <row r="113" spans="1:33" ht="12.75">
      <c r="A113" s="11" t="s">
        <v>176</v>
      </c>
      <c r="B113" s="11" t="s">
        <v>76</v>
      </c>
      <c r="C113" s="32">
        <f>+C28</f>
        <v>13.347572727272729</v>
      </c>
      <c r="D113" s="17"/>
      <c r="E113" s="17"/>
      <c r="O113" s="11" t="s">
        <v>176</v>
      </c>
      <c r="P113" s="11" t="s">
        <v>76</v>
      </c>
      <c r="Q113" s="32">
        <f>+Q28</f>
        <v>13.79749090909091</v>
      </c>
      <c r="R113" s="17"/>
      <c r="S113" s="17"/>
      <c r="AC113" s="11" t="s">
        <v>176</v>
      </c>
      <c r="AD113" s="11" t="s">
        <v>76</v>
      </c>
      <c r="AE113" s="32">
        <f>+AE28</f>
        <v>11.997818181818184</v>
      </c>
      <c r="AF113" s="17"/>
      <c r="AG113" s="17"/>
    </row>
    <row r="114" spans="1:33" ht="12.75">
      <c r="A114" s="11" t="s">
        <v>177</v>
      </c>
      <c r="B114" s="11" t="s">
        <v>78</v>
      </c>
      <c r="C114" s="14">
        <f>+C29</f>
        <v>4000</v>
      </c>
      <c r="D114" s="14"/>
      <c r="E114" s="14"/>
      <c r="O114" s="11" t="s">
        <v>177</v>
      </c>
      <c r="P114" s="11" t="s">
        <v>78</v>
      </c>
      <c r="Q114" s="14">
        <f>+Q29</f>
        <v>4000</v>
      </c>
      <c r="R114" s="14"/>
      <c r="S114" s="14"/>
      <c r="AC114" s="11" t="s">
        <v>177</v>
      </c>
      <c r="AD114" s="11" t="s">
        <v>78</v>
      </c>
      <c r="AE114" s="14">
        <f>+AE29</f>
        <v>4000</v>
      </c>
      <c r="AF114" s="14"/>
      <c r="AG114" s="14"/>
    </row>
    <row r="115" spans="1:33" ht="12.75">
      <c r="A115" s="11" t="s">
        <v>178</v>
      </c>
      <c r="B115" s="11" t="s">
        <v>80</v>
      </c>
      <c r="C115" s="31">
        <f>((1-(2.718)^(-0.3*4))*((0.0000144058*(C113)^6)-(0.0000006601*(C113)^7))+((1-(2.718)^(-0.3*4))*(32.9015+0.15119788*(C113)^2-0.00000333*(C113)^6+0.00000014*(C113)^7)))</f>
        <v>58.14715322697622</v>
      </c>
      <c r="D115" s="31"/>
      <c r="E115" s="31"/>
      <c r="O115" s="11" t="s">
        <v>178</v>
      </c>
      <c r="P115" s="11" t="s">
        <v>80</v>
      </c>
      <c r="Q115" s="31">
        <f>((1-(2.718)^(-0.3*4))*((0.0000144058*(Q113)^6)-(0.0000006601*(Q113)^7))+((1-(2.718)^(-0.3*4))*(32.9015+0.15119788*(Q113)^2-0.00000333*(Q113)^6+0.00000014*(Q113)^7)))</f>
        <v>61.90406557711874</v>
      </c>
      <c r="R115" s="31"/>
      <c r="S115" s="31"/>
      <c r="AC115" s="11" t="s">
        <v>178</v>
      </c>
      <c r="AD115" s="11" t="s">
        <v>80</v>
      </c>
      <c r="AE115" s="31">
        <f>((1-(2.718)^(-0.3*4))*((0.0000144058*(AE113)^6)-(0.0000006601*(AE113)^7))+((1-(2.718)^(-0.3*4))*(32.9015+0.15119788*(AE113)^2-0.00000333*(AE113)^6+0.00000014*(AE113)^7)))</f>
        <v>48.27773479182919</v>
      </c>
      <c r="AF115" s="31"/>
      <c r="AG115" s="31"/>
    </row>
    <row r="116" spans="1:33" ht="12.75">
      <c r="A116" s="11" t="s">
        <v>179</v>
      </c>
      <c r="B116" s="11" t="s">
        <v>82</v>
      </c>
      <c r="C116" s="31">
        <f>1/((1/40)+C115/1000)</f>
        <v>12.02686996715554</v>
      </c>
      <c r="D116" s="31"/>
      <c r="E116" s="31"/>
      <c r="O116" s="11" t="s">
        <v>179</v>
      </c>
      <c r="P116" s="11" t="s">
        <v>82</v>
      </c>
      <c r="Q116" s="31">
        <f>1/((1/40)+Q115/1000)</f>
        <v>11.506941514866172</v>
      </c>
      <c r="R116" s="31"/>
      <c r="S116" s="31"/>
      <c r="AC116" s="11" t="s">
        <v>179</v>
      </c>
      <c r="AD116" s="11" t="s">
        <v>82</v>
      </c>
      <c r="AE116" s="31">
        <f>1/((1/40)+AE115/1000)</f>
        <v>13.646710052389674</v>
      </c>
      <c r="AF116" s="31"/>
      <c r="AG116" s="31"/>
    </row>
    <row r="117" spans="1:33" ht="12.75">
      <c r="A117" s="11" t="s">
        <v>180</v>
      </c>
      <c r="B117" s="11" t="s">
        <v>181</v>
      </c>
      <c r="C117" s="14">
        <f>(1/C116)*C121</f>
        <v>3929.191285264117</v>
      </c>
      <c r="D117" s="14"/>
      <c r="E117" s="14"/>
      <c r="O117" s="11" t="s">
        <v>180</v>
      </c>
      <c r="P117" s="11" t="s">
        <v>181</v>
      </c>
      <c r="Q117" s="14">
        <f>(1/Q116)*Q121</f>
        <v>4278.290027937277</v>
      </c>
      <c r="R117" s="14"/>
      <c r="S117" s="14"/>
      <c r="AC117" s="11" t="s">
        <v>180</v>
      </c>
      <c r="AD117" s="11" t="s">
        <v>181</v>
      </c>
      <c r="AE117" s="14">
        <f>(1/AE116)*AE121</f>
        <v>3028.8172820996506</v>
      </c>
      <c r="AF117" s="14"/>
      <c r="AG117" s="14"/>
    </row>
    <row r="118" spans="1:33" ht="12.75">
      <c r="A118" s="11"/>
      <c r="B118" s="11"/>
      <c r="C118" s="31"/>
      <c r="D118" s="31"/>
      <c r="E118" s="31"/>
      <c r="O118" s="11"/>
      <c r="P118" s="11"/>
      <c r="Q118" s="31"/>
      <c r="R118" s="31"/>
      <c r="S118" s="31"/>
      <c r="AC118" s="11"/>
      <c r="AD118" s="11"/>
      <c r="AE118" s="31"/>
      <c r="AF118" s="31"/>
      <c r="AG118" s="31"/>
    </row>
    <row r="119" spans="1:33" ht="12.75">
      <c r="A119" s="26" t="s">
        <v>95</v>
      </c>
      <c r="B119" s="11"/>
      <c r="C119" s="11"/>
      <c r="D119" s="11"/>
      <c r="E119" s="11"/>
      <c r="O119" s="26" t="s">
        <v>95</v>
      </c>
      <c r="P119" s="11"/>
      <c r="Q119" s="11"/>
      <c r="R119" s="11"/>
      <c r="S119" s="11"/>
      <c r="AC119" s="26" t="s">
        <v>95</v>
      </c>
      <c r="AD119" s="11"/>
      <c r="AE119" s="11"/>
      <c r="AF119" s="11"/>
      <c r="AG119" s="11"/>
    </row>
    <row r="120" spans="1:33" ht="12.75">
      <c r="A120" s="11" t="s">
        <v>182</v>
      </c>
      <c r="B120" s="11" t="s">
        <v>183</v>
      </c>
      <c r="C120" s="14">
        <f>C58</f>
        <v>6134.418245138633</v>
      </c>
      <c r="D120" s="14"/>
      <c r="E120" s="14"/>
      <c r="O120" s="11" t="s">
        <v>182</v>
      </c>
      <c r="P120" s="11" t="s">
        <v>183</v>
      </c>
      <c r="Q120" s="14">
        <f>Q58</f>
        <v>5959.930501254234</v>
      </c>
      <c r="R120" s="14"/>
      <c r="S120" s="14"/>
      <c r="AC120" s="11" t="s">
        <v>182</v>
      </c>
      <c r="AD120" s="11" t="s">
        <v>183</v>
      </c>
      <c r="AE120" s="14">
        <f>AE58</f>
        <v>6657.881476791864</v>
      </c>
      <c r="AF120" s="14"/>
      <c r="AG120" s="14"/>
    </row>
    <row r="121" spans="1:33" ht="12.75">
      <c r="A121" s="11" t="s">
        <v>184</v>
      </c>
      <c r="B121" s="11" t="s">
        <v>185</v>
      </c>
      <c r="C121" s="14">
        <f>C16-C120</f>
        <v>47255.87266395228</v>
      </c>
      <c r="D121" s="14"/>
      <c r="E121" s="14"/>
      <c r="O121" s="11" t="s">
        <v>184</v>
      </c>
      <c r="P121" s="11" t="s">
        <v>185</v>
      </c>
      <c r="Q121" s="14">
        <f>Q16-Q120</f>
        <v>49230.033135109414</v>
      </c>
      <c r="R121" s="14"/>
      <c r="S121" s="14"/>
      <c r="AC121" s="11" t="s">
        <v>184</v>
      </c>
      <c r="AD121" s="11" t="s">
        <v>185</v>
      </c>
      <c r="AE121" s="14">
        <f>AE16-AE120</f>
        <v>41333.39125048087</v>
      </c>
      <c r="AF121" s="14"/>
      <c r="AG121" s="14"/>
    </row>
    <row r="122" spans="1:33" ht="12.75">
      <c r="A122" s="11" t="s">
        <v>186</v>
      </c>
      <c r="B122" s="11" t="s">
        <v>187</v>
      </c>
      <c r="C122" s="31">
        <f>C121/C114</f>
        <v>11.81396816598807</v>
      </c>
      <c r="D122" s="31"/>
      <c r="E122" s="31"/>
      <c r="O122" s="11" t="s">
        <v>186</v>
      </c>
      <c r="P122" s="11" t="s">
        <v>187</v>
      </c>
      <c r="Q122" s="31">
        <f>Q121/Q114</f>
        <v>12.307508283777354</v>
      </c>
      <c r="R122" s="31"/>
      <c r="S122" s="31"/>
      <c r="AC122" s="11" t="s">
        <v>186</v>
      </c>
      <c r="AD122" s="11" t="s">
        <v>187</v>
      </c>
      <c r="AE122" s="31">
        <f>AE121/AE114</f>
        <v>10.333347812620216</v>
      </c>
      <c r="AF122" s="31"/>
      <c r="AG122" s="31"/>
    </row>
    <row r="123" spans="1:33" ht="12.75">
      <c r="A123" s="11" t="s">
        <v>188</v>
      </c>
      <c r="B123" s="11" t="s">
        <v>189</v>
      </c>
      <c r="C123" s="31">
        <f>((1-(2.718)^(-0.3*4))*((0.0000144058*(C122)^6)-(0.0000006601*(C122)^7))+((1-(2.718)^(-0.3*4))*(32.9015+0.15119788*(C122)^2-0.00000333*(C122)^6+0.00000014*(C122)^7)))</f>
        <v>47.104989397617196</v>
      </c>
      <c r="D123" s="31"/>
      <c r="E123" s="31"/>
      <c r="O123" s="11" t="s">
        <v>188</v>
      </c>
      <c r="P123" s="11" t="s">
        <v>189</v>
      </c>
      <c r="Q123" s="31">
        <f>((1-(2.718)^(-0.3*4))*((0.0000144058*(Q122)^6)-(0.0000006601*(Q122)^7))+((1-(2.718)^(-0.3*4))*(32.9015+0.15119788*(Q122)^2-0.00000333*(Q122)^6+0.00000014*(Q122)^7)))</f>
        <v>50.3470202581269</v>
      </c>
      <c r="R123" s="31"/>
      <c r="S123" s="31"/>
      <c r="AC123" s="11" t="s">
        <v>188</v>
      </c>
      <c r="AD123" s="11" t="s">
        <v>189</v>
      </c>
      <c r="AE123" s="31">
        <f>((1-(2.718)^(-0.3*4))*((0.0000144058*(AE122)^6)-(0.0000006601*(AE122)^7))+((1-(2.718)^(-0.3*4))*(32.9015+0.15119788*(AE122)^2-0.00000333*(AE122)^6+0.00000014*(AE122)^7)))</f>
        <v>39.12211068399617</v>
      </c>
      <c r="AF123" s="31"/>
      <c r="AG123" s="31"/>
    </row>
    <row r="124" spans="1:33" ht="12.75">
      <c r="A124" s="11" t="s">
        <v>190</v>
      </c>
      <c r="B124" s="11" t="s">
        <v>191</v>
      </c>
      <c r="C124" s="31">
        <f>C120*C123/1000</f>
        <v>288.9617063978048</v>
      </c>
      <c r="D124" s="31"/>
      <c r="E124" s="31"/>
      <c r="O124" s="11" t="s">
        <v>190</v>
      </c>
      <c r="P124" s="11" t="s">
        <v>191</v>
      </c>
      <c r="Q124" s="31">
        <f>Q120*Q123/1000</f>
        <v>300.0647416836753</v>
      </c>
      <c r="R124" s="31"/>
      <c r="S124" s="31"/>
      <c r="AC124" s="11" t="s">
        <v>190</v>
      </c>
      <c r="AD124" s="11" t="s">
        <v>191</v>
      </c>
      <c r="AE124" s="31">
        <f>AE120*AE123/1000</f>
        <v>260.47037605597916</v>
      </c>
      <c r="AF124" s="31"/>
      <c r="AG124" s="31"/>
    </row>
    <row r="125" spans="1:33" ht="12.75">
      <c r="A125" s="11" t="s">
        <v>192</v>
      </c>
      <c r="B125" s="11" t="s">
        <v>193</v>
      </c>
      <c r="C125" s="31">
        <f>1/((1/40)+(C123/1000))</f>
        <v>13.86866579350813</v>
      </c>
      <c r="D125" s="31"/>
      <c r="E125" s="31"/>
      <c r="O125" s="11" t="s">
        <v>192</v>
      </c>
      <c r="P125" s="11" t="s">
        <v>193</v>
      </c>
      <c r="Q125" s="31">
        <f>1/((1/40)+(Q123/1000))</f>
        <v>13.271924975588407</v>
      </c>
      <c r="R125" s="31"/>
      <c r="S125" s="31"/>
      <c r="AC125" s="11" t="s">
        <v>192</v>
      </c>
      <c r="AD125" s="11" t="s">
        <v>193</v>
      </c>
      <c r="AE125" s="31">
        <f>1/((1/40)+(AE123/1000))</f>
        <v>15.595244593992811</v>
      </c>
      <c r="AF125" s="31"/>
      <c r="AG125" s="31"/>
    </row>
    <row r="126" spans="1:33" ht="12.75">
      <c r="A126" s="11" t="s">
        <v>194</v>
      </c>
      <c r="B126" s="11" t="s">
        <v>195</v>
      </c>
      <c r="C126" s="14">
        <f>(1/C125)*C121</f>
        <v>3407.3841974094275</v>
      </c>
      <c r="D126" s="14"/>
      <c r="E126" s="14"/>
      <c r="O126" s="11" t="s">
        <v>194</v>
      </c>
      <c r="P126" s="11" t="s">
        <v>195</v>
      </c>
      <c r="Q126" s="14">
        <f>(1/Q125)*Q121</f>
        <v>3709.336303939347</v>
      </c>
      <c r="R126" s="14"/>
      <c r="S126" s="14"/>
      <c r="AC126" s="11" t="s">
        <v>194</v>
      </c>
      <c r="AD126" s="11" t="s">
        <v>195</v>
      </c>
      <c r="AE126" s="14">
        <f>(1/AE125)*AE121</f>
        <v>2650.3842887082533</v>
      </c>
      <c r="AF126" s="14"/>
      <c r="AG126" s="14"/>
    </row>
    <row r="127" spans="1:33" ht="12.75">
      <c r="A127" s="11" t="s">
        <v>196</v>
      </c>
      <c r="B127" s="11" t="s">
        <v>197</v>
      </c>
      <c r="C127" s="14">
        <f>C120/1000</f>
        <v>6.134418245138633</v>
      </c>
      <c r="D127" s="14"/>
      <c r="E127" s="14"/>
      <c r="O127" s="11" t="s">
        <v>196</v>
      </c>
      <c r="P127" s="11" t="s">
        <v>197</v>
      </c>
      <c r="Q127" s="14">
        <f>Q120/1000</f>
        <v>5.959930501254234</v>
      </c>
      <c r="R127" s="14"/>
      <c r="S127" s="14"/>
      <c r="AC127" s="11" t="s">
        <v>196</v>
      </c>
      <c r="AD127" s="11" t="s">
        <v>197</v>
      </c>
      <c r="AE127" s="14">
        <f>AE120/1000</f>
        <v>6.6578814767918635</v>
      </c>
      <c r="AF127" s="14"/>
      <c r="AG127" s="14"/>
    </row>
    <row r="128" spans="1:33" ht="12.75">
      <c r="A128" s="11" t="s">
        <v>198</v>
      </c>
      <c r="B128" s="11" t="s">
        <v>199</v>
      </c>
      <c r="C128" s="14">
        <f>C121/1000</f>
        <v>47.25587266395228</v>
      </c>
      <c r="D128" s="14"/>
      <c r="E128" s="14"/>
      <c r="O128" s="11" t="s">
        <v>198</v>
      </c>
      <c r="P128" s="11" t="s">
        <v>199</v>
      </c>
      <c r="Q128" s="14">
        <f>Q121/1000</f>
        <v>49.230033135109416</v>
      </c>
      <c r="R128" s="14"/>
      <c r="S128" s="14"/>
      <c r="AC128" s="11" t="s">
        <v>198</v>
      </c>
      <c r="AD128" s="11" t="s">
        <v>199</v>
      </c>
      <c r="AE128" s="14">
        <f>AE121/1000</f>
        <v>41.333391250480865</v>
      </c>
      <c r="AF128" s="14"/>
      <c r="AG128" s="14"/>
    </row>
    <row r="129" spans="1:33" ht="12.75">
      <c r="A129" s="11" t="s">
        <v>200</v>
      </c>
      <c r="B129" s="11" t="s">
        <v>201</v>
      </c>
      <c r="C129" s="14">
        <f>C117-C126</f>
        <v>521.8070878546896</v>
      </c>
      <c r="D129" s="14"/>
      <c r="E129" s="14"/>
      <c r="O129" s="11" t="s">
        <v>200</v>
      </c>
      <c r="P129" s="11" t="s">
        <v>201</v>
      </c>
      <c r="Q129" s="14">
        <f>Q117-Q126</f>
        <v>568.95372399793</v>
      </c>
      <c r="R129" s="14"/>
      <c r="S129" s="14"/>
      <c r="AC129" s="11" t="s">
        <v>200</v>
      </c>
      <c r="AD129" s="11" t="s">
        <v>201</v>
      </c>
      <c r="AE129" s="14">
        <f>AE117-AE126</f>
        <v>378.4329933913973</v>
      </c>
      <c r="AF129" s="14"/>
      <c r="AG129" s="14"/>
    </row>
    <row r="130" spans="1:33" ht="12.75">
      <c r="A130" s="11" t="s">
        <v>202</v>
      </c>
      <c r="B130" s="11" t="s">
        <v>203</v>
      </c>
      <c r="C130" s="31">
        <f>C129/C127</f>
        <v>85.06219612075002</v>
      </c>
      <c r="D130" s="31"/>
      <c r="E130" s="31"/>
      <c r="O130" s="11" t="s">
        <v>202</v>
      </c>
      <c r="P130" s="11" t="s">
        <v>203</v>
      </c>
      <c r="Q130" s="31">
        <f>Q129/Q127</f>
        <v>95.46314741056072</v>
      </c>
      <c r="R130" s="31"/>
      <c r="S130" s="31"/>
      <c r="AC130" s="11" t="s">
        <v>202</v>
      </c>
      <c r="AD130" s="11" t="s">
        <v>203</v>
      </c>
      <c r="AE130" s="31">
        <f>AE129/AE127</f>
        <v>56.839851341683435</v>
      </c>
      <c r="AF130" s="31"/>
      <c r="AG130" s="31"/>
    </row>
    <row r="131" spans="1:33" ht="12.75">
      <c r="A131" s="11"/>
      <c r="B131" s="11"/>
      <c r="C131" s="31"/>
      <c r="D131" s="31"/>
      <c r="E131" s="31"/>
      <c r="O131" s="11"/>
      <c r="P131" s="11"/>
      <c r="Q131" s="31"/>
      <c r="R131" s="31"/>
      <c r="S131" s="31"/>
      <c r="AC131" s="11"/>
      <c r="AD131" s="11"/>
      <c r="AE131" s="31"/>
      <c r="AF131" s="31"/>
      <c r="AG131" s="31"/>
    </row>
    <row r="132" spans="1:33" ht="12.75">
      <c r="A132" s="26" t="s">
        <v>124</v>
      </c>
      <c r="B132" s="11"/>
      <c r="C132" s="31"/>
      <c r="D132" s="31"/>
      <c r="E132" s="31"/>
      <c r="O132" s="26" t="s">
        <v>124</v>
      </c>
      <c r="P132" s="11"/>
      <c r="Q132" s="31"/>
      <c r="R132" s="31"/>
      <c r="S132" s="31"/>
      <c r="AC132" s="26" t="s">
        <v>124</v>
      </c>
      <c r="AD132" s="11"/>
      <c r="AE132" s="31"/>
      <c r="AF132" s="31"/>
      <c r="AG132" s="31"/>
    </row>
    <row r="133" spans="1:33" ht="12.75">
      <c r="A133" s="11" t="s">
        <v>204</v>
      </c>
      <c r="B133" s="11" t="s">
        <v>205</v>
      </c>
      <c r="C133" s="14">
        <f>C124/((+C130/1000)-(1/(+C7*C125)))</f>
        <v>648.4965081840907</v>
      </c>
      <c r="D133" s="14"/>
      <c r="E133" s="14"/>
      <c r="O133" s="11" t="s">
        <v>204</v>
      </c>
      <c r="P133" s="11" t="s">
        <v>205</v>
      </c>
      <c r="Q133" s="14">
        <f>Q124/((+Q130/1000)-(1/(+Q7*Q125)))</f>
        <v>635.4634785474498</v>
      </c>
      <c r="R133" s="14"/>
      <c r="S133" s="14"/>
      <c r="AC133" s="11" t="s">
        <v>204</v>
      </c>
      <c r="AD133" s="11" t="s">
        <v>205</v>
      </c>
      <c r="AE133" s="14">
        <f>AE124/((+AE130/1000)-(1/(+AE7*AE125)))</f>
        <v>690.078412342542</v>
      </c>
      <c r="AF133" s="14"/>
      <c r="AG133" s="14"/>
    </row>
    <row r="134" spans="1:33" ht="12.75">
      <c r="A134" s="11"/>
      <c r="B134" s="11" t="s">
        <v>206</v>
      </c>
      <c r="C134" s="11"/>
      <c r="D134" s="11"/>
      <c r="E134" s="11"/>
      <c r="O134" s="11"/>
      <c r="P134" s="11" t="s">
        <v>206</v>
      </c>
      <c r="Q134" s="11"/>
      <c r="R134" s="11"/>
      <c r="S134" s="11"/>
      <c r="AC134" s="11"/>
      <c r="AD134" s="11" t="s">
        <v>206</v>
      </c>
      <c r="AE134" s="11"/>
      <c r="AF134" s="11"/>
      <c r="AG134" s="11"/>
    </row>
    <row r="135" spans="1:33" ht="12.75">
      <c r="A135" s="11" t="s">
        <v>207</v>
      </c>
      <c r="B135" s="11" t="s">
        <v>208</v>
      </c>
      <c r="C135" s="14">
        <f>C121+C133</f>
        <v>47904.36917213637</v>
      </c>
      <c r="D135" s="14"/>
      <c r="E135" s="14"/>
      <c r="O135" s="11" t="s">
        <v>207</v>
      </c>
      <c r="P135" s="11" t="s">
        <v>208</v>
      </c>
      <c r="Q135" s="14">
        <f>Q121+Q133</f>
        <v>49865.49661365686</v>
      </c>
      <c r="R135" s="14"/>
      <c r="S135" s="14"/>
      <c r="AC135" s="11" t="s">
        <v>207</v>
      </c>
      <c r="AD135" s="11" t="s">
        <v>208</v>
      </c>
      <c r="AE135" s="14">
        <f>AE121+AE133</f>
        <v>42023.46966282341</v>
      </c>
      <c r="AF135" s="14"/>
      <c r="AG135" s="14"/>
    </row>
    <row r="136" spans="1:33" ht="12.75">
      <c r="A136" s="11" t="s">
        <v>209</v>
      </c>
      <c r="B136" s="11" t="s">
        <v>210</v>
      </c>
      <c r="C136" s="13">
        <f>(+C135-C16)/C16</f>
        <v>-0.10275129885123815</v>
      </c>
      <c r="D136" s="13"/>
      <c r="E136" s="13"/>
      <c r="O136" s="11" t="s">
        <v>209</v>
      </c>
      <c r="P136" s="11" t="s">
        <v>210</v>
      </c>
      <c r="Q136" s="13">
        <f>(+Q135-Q16)/Q16</f>
        <v>-0.0964752768780335</v>
      </c>
      <c r="R136" s="13"/>
      <c r="S136" s="13"/>
      <c r="AC136" s="11" t="s">
        <v>209</v>
      </c>
      <c r="AD136" s="11" t="s">
        <v>210</v>
      </c>
      <c r="AE136" s="13">
        <f>(+AE135-AE16)/AE16</f>
        <v>-0.12435183993480364</v>
      </c>
      <c r="AF136" s="13"/>
      <c r="AG136" s="13"/>
    </row>
    <row r="137" spans="1:33" ht="12.75">
      <c r="A137" s="11" t="s">
        <v>211</v>
      </c>
      <c r="B137" s="11" t="s">
        <v>212</v>
      </c>
      <c r="C137" s="14">
        <f>C12</f>
        <v>333689.3181818182</v>
      </c>
      <c r="D137" s="14"/>
      <c r="E137" s="14"/>
      <c r="O137" s="11" t="s">
        <v>211</v>
      </c>
      <c r="P137" s="11" t="s">
        <v>212</v>
      </c>
      <c r="Q137" s="14">
        <f>Q12</f>
        <v>344937.2727272727</v>
      </c>
      <c r="R137" s="14"/>
      <c r="S137" s="14"/>
      <c r="AC137" s="11" t="s">
        <v>211</v>
      </c>
      <c r="AD137" s="11" t="s">
        <v>212</v>
      </c>
      <c r="AE137" s="14">
        <f>AE12</f>
        <v>299945.45454545453</v>
      </c>
      <c r="AF137" s="14"/>
      <c r="AG137" s="14"/>
    </row>
    <row r="138" spans="1:33" ht="12.75">
      <c r="A138" s="11" t="s">
        <v>213</v>
      </c>
      <c r="B138" s="11" t="s">
        <v>214</v>
      </c>
      <c r="C138" s="14">
        <f>C75+C135</f>
        <v>235638.9956923857</v>
      </c>
      <c r="D138" s="14"/>
      <c r="E138" s="14">
        <f>SUM(C138:D138)</f>
        <v>235638.9956923857</v>
      </c>
      <c r="O138" s="11" t="s">
        <v>213</v>
      </c>
      <c r="P138" s="11" t="s">
        <v>214</v>
      </c>
      <c r="Q138" s="14">
        <f>Q75+Q135</f>
        <v>244640.0216232144</v>
      </c>
      <c r="R138" s="14"/>
      <c r="S138" s="14">
        <f>SUM(Q138:R138)</f>
        <v>244640.0216232144</v>
      </c>
      <c r="AC138" s="11" t="s">
        <v>213</v>
      </c>
      <c r="AD138" s="11" t="s">
        <v>214</v>
      </c>
      <c r="AE138" s="14">
        <f>AE75+AE135</f>
        <v>208008.0526403542</v>
      </c>
      <c r="AF138" s="14"/>
      <c r="AG138" s="14">
        <f>SUM(AE138:AF138)</f>
        <v>208008.0526403542</v>
      </c>
    </row>
    <row r="139" spans="1:33" ht="12.75">
      <c r="A139" s="11" t="s">
        <v>215</v>
      </c>
      <c r="B139" s="11" t="s">
        <v>216</v>
      </c>
      <c r="C139" s="13">
        <f>(+C138-C137)/C138</f>
        <v>-0.41610397379825875</v>
      </c>
      <c r="D139" s="13"/>
      <c r="E139" s="13"/>
      <c r="O139" s="11" t="s">
        <v>215</v>
      </c>
      <c r="P139" s="11" t="s">
        <v>216</v>
      </c>
      <c r="Q139" s="13">
        <f>(+Q138-Q137)/Q138</f>
        <v>-0.4099789169350732</v>
      </c>
      <c r="R139" s="13"/>
      <c r="S139" s="13"/>
      <c r="AC139" s="11" t="s">
        <v>215</v>
      </c>
      <c r="AD139" s="11" t="s">
        <v>216</v>
      </c>
      <c r="AE139" s="13">
        <f>(+AE138-AE137)/AE138</f>
        <v>-0.44198962846914414</v>
      </c>
      <c r="AF139" s="13"/>
      <c r="AG139" s="13"/>
    </row>
    <row r="140" spans="1:33" ht="12.75">
      <c r="A140" s="11"/>
      <c r="B140" s="11"/>
      <c r="C140" s="13"/>
      <c r="D140" s="13"/>
      <c r="E140" s="13"/>
      <c r="O140" s="11"/>
      <c r="P140" s="11"/>
      <c r="Q140" s="13"/>
      <c r="R140" s="13"/>
      <c r="S140" s="13"/>
      <c r="AC140" s="11"/>
      <c r="AD140" s="11"/>
      <c r="AE140" s="13"/>
      <c r="AF140" s="13"/>
      <c r="AG140" s="13"/>
    </row>
    <row r="141" spans="1:33" ht="12.75">
      <c r="A141" s="26" t="s">
        <v>138</v>
      </c>
      <c r="B141" s="11"/>
      <c r="C141" s="11"/>
      <c r="D141" s="11"/>
      <c r="E141" s="11"/>
      <c r="O141" s="26" t="s">
        <v>138</v>
      </c>
      <c r="P141" s="11"/>
      <c r="Q141" s="11"/>
      <c r="R141" s="11"/>
      <c r="S141" s="11"/>
      <c r="AC141" s="26" t="s">
        <v>138</v>
      </c>
      <c r="AD141" s="11"/>
      <c r="AE141" s="11"/>
      <c r="AF141" s="11"/>
      <c r="AG141" s="11"/>
    </row>
    <row r="142" spans="1:33" ht="12.75">
      <c r="A142" s="11" t="s">
        <v>217</v>
      </c>
      <c r="B142" s="11" t="s">
        <v>218</v>
      </c>
      <c r="C142" s="31">
        <f>C135/C114</f>
        <v>11.976092293034093</v>
      </c>
      <c r="D142" s="31"/>
      <c r="E142" s="31"/>
      <c r="O142" s="11" t="s">
        <v>217</v>
      </c>
      <c r="P142" s="11" t="s">
        <v>218</v>
      </c>
      <c r="Q142" s="31">
        <f>Q135/Q114</f>
        <v>12.466374153414215</v>
      </c>
      <c r="R142" s="31"/>
      <c r="S142" s="31"/>
      <c r="AC142" s="11" t="s">
        <v>217</v>
      </c>
      <c r="AD142" s="11" t="s">
        <v>218</v>
      </c>
      <c r="AE142" s="31">
        <f>AE135/AE114</f>
        <v>10.505867415705852</v>
      </c>
      <c r="AF142" s="31"/>
      <c r="AG142" s="31"/>
    </row>
    <row r="143" spans="1:33" ht="12.75">
      <c r="A143" s="11" t="s">
        <v>219</v>
      </c>
      <c r="B143" s="11" t="s">
        <v>220</v>
      </c>
      <c r="C143" s="31">
        <f>((1-(2.718)^(-0.3*4))*((0.0000144058*(C142)^6)-(0.0000006601*(C142)^7))+((1-(2.718)^(-0.3*4))*(32.9015+0.15119788*(C142)^2-0.00000333*(C142)^6+0.00000014*(C142)^7)))</f>
        <v>48.13699076016913</v>
      </c>
      <c r="D143" s="31"/>
      <c r="E143" s="31"/>
      <c r="O143" s="11" t="s">
        <v>219</v>
      </c>
      <c r="P143" s="11" t="s">
        <v>220</v>
      </c>
      <c r="Q143" s="31">
        <f>((1-(2.718)^(-0.3*4))*((0.0000144058*(Q142)^6)-(0.0000006601*(Q142)^7))+((1-(2.718)^(-0.3*4))*(32.9015+0.15119788*(Q142)^2-0.00000333*(Q142)^6+0.00000014*(Q142)^7)))</f>
        <v>51.45424685723657</v>
      </c>
      <c r="R143" s="31"/>
      <c r="S143" s="31"/>
      <c r="AC143" s="11" t="s">
        <v>219</v>
      </c>
      <c r="AD143" s="11" t="s">
        <v>220</v>
      </c>
      <c r="AE143" s="31">
        <f>((1-(2.718)^(-0.3*4))*((0.0000144058*(AE142)^6)-(0.0000006601*(AE142)^7))+((1-(2.718)^(-0.3*4))*(32.9015+0.15119788*(AE142)^2-0.00000333*(AE142)^6+0.00000014*(AE142)^7)))</f>
        <v>39.924241354960905</v>
      </c>
      <c r="AF143" s="31"/>
      <c r="AG143" s="31"/>
    </row>
    <row r="144" spans="1:33" ht="12.75">
      <c r="A144" s="11" t="s">
        <v>221</v>
      </c>
      <c r="B144" s="11" t="s">
        <v>222</v>
      </c>
      <c r="C144" s="31">
        <f>1/((1/40)+C143/1000)</f>
        <v>13.672971633180815</v>
      </c>
      <c r="D144" s="31"/>
      <c r="E144" s="31"/>
      <c r="O144" s="11" t="s">
        <v>221</v>
      </c>
      <c r="P144" s="11" t="s">
        <v>222</v>
      </c>
      <c r="Q144" s="31">
        <f>1/((1/40)+Q143/1000)</f>
        <v>13.079718146557711</v>
      </c>
      <c r="R144" s="31"/>
      <c r="S144" s="31"/>
      <c r="AC144" s="11" t="s">
        <v>221</v>
      </c>
      <c r="AD144" s="11" t="s">
        <v>222</v>
      </c>
      <c r="AE144" s="31">
        <f>1/((1/40)+AE143/1000)</f>
        <v>15.402567348191111</v>
      </c>
      <c r="AF144" s="31"/>
      <c r="AG144" s="31"/>
    </row>
    <row r="145" spans="1:33" ht="12.75">
      <c r="A145" s="11" t="s">
        <v>223</v>
      </c>
      <c r="B145" s="11" t="s">
        <v>224</v>
      </c>
      <c r="C145" s="14">
        <f>(+C121)/C144</f>
        <v>3456.1523223872073</v>
      </c>
      <c r="D145" s="14"/>
      <c r="E145" s="14"/>
      <c r="O145" s="11" t="s">
        <v>223</v>
      </c>
      <c r="P145" s="11" t="s">
        <v>224</v>
      </c>
      <c r="Q145" s="14">
        <f>(+Q121)/Q144</f>
        <v>3763.8451061015908</v>
      </c>
      <c r="R145" s="14"/>
      <c r="S145" s="14"/>
      <c r="AC145" s="11" t="s">
        <v>223</v>
      </c>
      <c r="AD145" s="11" t="s">
        <v>224</v>
      </c>
      <c r="AE145" s="14">
        <f>(+AE121)/AE144</f>
        <v>2683.5390695652495</v>
      </c>
      <c r="AF145" s="14"/>
      <c r="AG145" s="14"/>
    </row>
    <row r="146" spans="1:33" ht="12.75">
      <c r="A146" s="11" t="s">
        <v>225</v>
      </c>
      <c r="B146" s="11" t="s">
        <v>226</v>
      </c>
      <c r="C146" s="14">
        <f>C121/C116</f>
        <v>3929.1912852641167</v>
      </c>
      <c r="D146" s="14"/>
      <c r="E146" s="14"/>
      <c r="O146" s="11" t="s">
        <v>225</v>
      </c>
      <c r="P146" s="11" t="s">
        <v>226</v>
      </c>
      <c r="Q146" s="14">
        <f>Q121/Q116</f>
        <v>4278.290027937277</v>
      </c>
      <c r="R146" s="14"/>
      <c r="S146" s="14"/>
      <c r="AC146" s="11" t="s">
        <v>225</v>
      </c>
      <c r="AD146" s="11" t="s">
        <v>226</v>
      </c>
      <c r="AE146" s="14">
        <f>AE121/AE116</f>
        <v>3028.8172820996506</v>
      </c>
      <c r="AF146" s="14"/>
      <c r="AG146" s="14"/>
    </row>
    <row r="147" spans="1:33" ht="12.75">
      <c r="A147" s="11" t="s">
        <v>227</v>
      </c>
      <c r="B147" s="11" t="s">
        <v>148</v>
      </c>
      <c r="C147" s="14">
        <f>C146-C145</f>
        <v>473.0389628769094</v>
      </c>
      <c r="D147" s="14"/>
      <c r="E147" s="14"/>
      <c r="O147" s="11" t="s">
        <v>227</v>
      </c>
      <c r="P147" s="11" t="s">
        <v>148</v>
      </c>
      <c r="Q147" s="14">
        <f>Q146-Q145</f>
        <v>514.4449218356863</v>
      </c>
      <c r="R147" s="14"/>
      <c r="S147" s="14"/>
      <c r="AC147" s="11" t="s">
        <v>227</v>
      </c>
      <c r="AD147" s="11" t="s">
        <v>148</v>
      </c>
      <c r="AE147" s="14">
        <f>AE146-AE145</f>
        <v>345.27821253440106</v>
      </c>
      <c r="AF147" s="14"/>
      <c r="AG147" s="14"/>
    </row>
    <row r="148" spans="1:33" ht="12.75">
      <c r="A148" s="11" t="s">
        <v>228</v>
      </c>
      <c r="B148" s="11" t="s">
        <v>150</v>
      </c>
      <c r="C148" s="31">
        <f>(+C147/C121)*60</f>
        <v>0.6006097480084243</v>
      </c>
      <c r="D148" s="31"/>
      <c r="E148" s="31"/>
      <c r="O148" s="11" t="s">
        <v>228</v>
      </c>
      <c r="P148" s="11" t="s">
        <v>150</v>
      </c>
      <c r="Q148" s="31">
        <f>(+Q147/Q121)*60</f>
        <v>0.6269891231929307</v>
      </c>
      <c r="R148" s="31"/>
      <c r="S148" s="31"/>
      <c r="AC148" s="11" t="s">
        <v>228</v>
      </c>
      <c r="AD148" s="11" t="s">
        <v>150</v>
      </c>
      <c r="AE148" s="31">
        <f>(+AE147/AE121)*60</f>
        <v>0.5012096062120973</v>
      </c>
      <c r="AF148" s="31"/>
      <c r="AG148" s="31"/>
    </row>
    <row r="149" spans="1:33" ht="12.75">
      <c r="A149" s="11"/>
      <c r="B149" s="11" t="s">
        <v>151</v>
      </c>
      <c r="C149" s="31">
        <f>+C85</f>
        <v>1.2656846137510938</v>
      </c>
      <c r="D149" s="31"/>
      <c r="E149" s="31"/>
      <c r="O149" s="11"/>
      <c r="P149" s="11" t="s">
        <v>151</v>
      </c>
      <c r="Q149" s="31">
        <f>+Q85</f>
        <v>1.2636269982373995</v>
      </c>
      <c r="R149" s="31"/>
      <c r="S149" s="31"/>
      <c r="AC149" s="11"/>
      <c r="AD149" s="11" t="s">
        <v>151</v>
      </c>
      <c r="AE149" s="31">
        <f>+AE85</f>
        <v>1.2730367673141498</v>
      </c>
      <c r="AF149" s="31"/>
      <c r="AG149" s="31"/>
    </row>
    <row r="150" spans="1:33" ht="12.75">
      <c r="A150" s="11"/>
      <c r="B150" s="11" t="s">
        <v>152</v>
      </c>
      <c r="C150" s="31">
        <f>+C149*C147</f>
        <v>598.7181370180791</v>
      </c>
      <c r="D150" s="31"/>
      <c r="E150" s="31"/>
      <c r="O150" s="11"/>
      <c r="P150" s="11" t="s">
        <v>152</v>
      </c>
      <c r="Q150" s="31">
        <f>+Q149*Q147</f>
        <v>650.0664923377019</v>
      </c>
      <c r="R150" s="31"/>
      <c r="S150" s="31"/>
      <c r="AC150" s="11"/>
      <c r="AD150" s="11" t="s">
        <v>152</v>
      </c>
      <c r="AE150" s="31">
        <f>+AE149*AE147</f>
        <v>439.5518595088019</v>
      </c>
      <c r="AF150" s="31"/>
      <c r="AG150" s="31"/>
    </row>
    <row r="151" spans="1:33" ht="12.75">
      <c r="A151" s="11" t="s">
        <v>229</v>
      </c>
      <c r="B151" s="11" t="s">
        <v>154</v>
      </c>
      <c r="C151" s="38">
        <f>C105</f>
        <v>9</v>
      </c>
      <c r="D151" s="38"/>
      <c r="E151" s="38"/>
      <c r="O151" s="11" t="s">
        <v>229</v>
      </c>
      <c r="P151" s="11" t="s">
        <v>154</v>
      </c>
      <c r="Q151" s="38">
        <f>Q105</f>
        <v>9</v>
      </c>
      <c r="R151" s="38"/>
      <c r="S151" s="38"/>
      <c r="AC151" s="11" t="s">
        <v>229</v>
      </c>
      <c r="AD151" s="11" t="s">
        <v>154</v>
      </c>
      <c r="AE151" s="38">
        <f>AE105</f>
        <v>9</v>
      </c>
      <c r="AF151" s="38"/>
      <c r="AG151" s="38"/>
    </row>
    <row r="152" spans="1:33" ht="12.75">
      <c r="A152" s="11" t="s">
        <v>230</v>
      </c>
      <c r="B152" s="11" t="s">
        <v>156</v>
      </c>
      <c r="C152" s="37">
        <f>C150*C151</f>
        <v>5388.463233162712</v>
      </c>
      <c r="D152" s="37"/>
      <c r="E152" s="37"/>
      <c r="O152" s="11" t="s">
        <v>230</v>
      </c>
      <c r="P152" s="11" t="s">
        <v>156</v>
      </c>
      <c r="Q152" s="37">
        <f>Q150*Q151</f>
        <v>5850.598431039317</v>
      </c>
      <c r="R152" s="37"/>
      <c r="S152" s="37"/>
      <c r="AC152" s="11" t="s">
        <v>230</v>
      </c>
      <c r="AD152" s="11" t="s">
        <v>156</v>
      </c>
      <c r="AE152" s="37">
        <f>AE150*AE151</f>
        <v>3955.966735579217</v>
      </c>
      <c r="AF152" s="37"/>
      <c r="AG152" s="37"/>
    </row>
    <row r="153" spans="1:33" ht="12.75">
      <c r="A153" s="18"/>
      <c r="B153" s="18"/>
      <c r="C153" s="18"/>
      <c r="D153" s="18"/>
      <c r="E153" s="18"/>
      <c r="O153" s="18"/>
      <c r="P153" s="18"/>
      <c r="Q153" s="18"/>
      <c r="R153" s="18"/>
      <c r="S153" s="18"/>
      <c r="AC153" s="18"/>
      <c r="AD153" s="18"/>
      <c r="AE153" s="18"/>
      <c r="AF153" s="18"/>
      <c r="AG153" s="18"/>
    </row>
    <row r="154" spans="1:33" ht="12.75">
      <c r="A154" s="26" t="s">
        <v>166</v>
      </c>
      <c r="B154" s="11"/>
      <c r="C154" s="11"/>
      <c r="D154" s="11"/>
      <c r="E154" s="11"/>
      <c r="O154" s="26" t="s">
        <v>166</v>
      </c>
      <c r="P154" s="11"/>
      <c r="Q154" s="11"/>
      <c r="R154" s="11"/>
      <c r="S154" s="11"/>
      <c r="AC154" s="26" t="s">
        <v>166</v>
      </c>
      <c r="AD154" s="11"/>
      <c r="AE154" s="11"/>
      <c r="AF154" s="11"/>
      <c r="AG154" s="11"/>
    </row>
    <row r="155" spans="1:33" ht="12.75">
      <c r="A155" s="11" t="s">
        <v>231</v>
      </c>
      <c r="B155" s="11" t="s">
        <v>205</v>
      </c>
      <c r="C155" s="14">
        <f>C133</f>
        <v>648.4965081840907</v>
      </c>
      <c r="D155" s="14"/>
      <c r="E155" s="14"/>
      <c r="O155" s="11" t="s">
        <v>231</v>
      </c>
      <c r="P155" s="11" t="s">
        <v>205</v>
      </c>
      <c r="Q155" s="14">
        <f>Q133</f>
        <v>635.4634785474498</v>
      </c>
      <c r="R155" s="14"/>
      <c r="S155" s="14"/>
      <c r="AC155" s="11" t="s">
        <v>231</v>
      </c>
      <c r="AD155" s="11" t="s">
        <v>205</v>
      </c>
      <c r="AE155" s="14">
        <f>AE133</f>
        <v>690.078412342542</v>
      </c>
      <c r="AF155" s="14"/>
      <c r="AG155" s="14"/>
    </row>
    <row r="156" spans="1:33" ht="12.75">
      <c r="A156" s="11" t="s">
        <v>232</v>
      </c>
      <c r="B156" s="11" t="s">
        <v>169</v>
      </c>
      <c r="C156" s="31">
        <f>C148/2</f>
        <v>0.30030487400421213</v>
      </c>
      <c r="D156" s="31"/>
      <c r="E156" s="31"/>
      <c r="O156" s="11" t="s">
        <v>232</v>
      </c>
      <c r="P156" s="11" t="s">
        <v>169</v>
      </c>
      <c r="Q156" s="31">
        <f>Q148/2</f>
        <v>0.3134945615964653</v>
      </c>
      <c r="R156" s="31"/>
      <c r="S156" s="31"/>
      <c r="AC156" s="11" t="s">
        <v>232</v>
      </c>
      <c r="AD156" s="11" t="s">
        <v>169</v>
      </c>
      <c r="AE156" s="31">
        <f>AE148/2</f>
        <v>0.25060480310604866</v>
      </c>
      <c r="AF156" s="31"/>
      <c r="AG156" s="31"/>
    </row>
    <row r="157" spans="1:33" ht="12.75">
      <c r="A157" s="11" t="s">
        <v>233</v>
      </c>
      <c r="B157" s="11" t="s">
        <v>234</v>
      </c>
      <c r="C157" s="31">
        <f>(+C155*C156)/60</f>
        <v>3.245777703039914</v>
      </c>
      <c r="D157" s="31"/>
      <c r="E157" s="31"/>
      <c r="O157" s="11" t="s">
        <v>233</v>
      </c>
      <c r="P157" s="11" t="s">
        <v>234</v>
      </c>
      <c r="Q157" s="31">
        <f>(+Q155*Q156)/60</f>
        <v>3.320239076963294</v>
      </c>
      <c r="R157" s="31"/>
      <c r="S157" s="31"/>
      <c r="AC157" s="11" t="s">
        <v>233</v>
      </c>
      <c r="AD157" s="11" t="s">
        <v>234</v>
      </c>
      <c r="AE157" s="31">
        <f>(+AE155*AE156)/60</f>
        <v>2.882282744213957</v>
      </c>
      <c r="AF157" s="31"/>
      <c r="AG157" s="31"/>
    </row>
    <row r="158" spans="1:33" ht="12.75">
      <c r="A158" s="11"/>
      <c r="B158" s="11" t="s">
        <v>151</v>
      </c>
      <c r="C158" s="31">
        <f>+C85</f>
        <v>1.2656846137510938</v>
      </c>
      <c r="D158" s="31"/>
      <c r="E158" s="31"/>
      <c r="O158" s="11"/>
      <c r="P158" s="11" t="s">
        <v>151</v>
      </c>
      <c r="Q158" s="31">
        <f>+Q85</f>
        <v>1.2636269982373995</v>
      </c>
      <c r="R158" s="31"/>
      <c r="S158" s="31"/>
      <c r="AC158" s="11"/>
      <c r="AD158" s="11" t="s">
        <v>151</v>
      </c>
      <c r="AE158" s="31">
        <f>+AE85</f>
        <v>1.2730367673141498</v>
      </c>
      <c r="AF158" s="31"/>
      <c r="AG158" s="31"/>
    </row>
    <row r="159" spans="1:33" ht="12.75">
      <c r="A159" s="11"/>
      <c r="B159" s="11" t="s">
        <v>152</v>
      </c>
      <c r="C159" s="31">
        <f>+C158*C157</f>
        <v>4.108130898393986</v>
      </c>
      <c r="D159" s="31"/>
      <c r="E159" s="31"/>
      <c r="O159" s="11"/>
      <c r="P159" s="11" t="s">
        <v>152</v>
      </c>
      <c r="Q159" s="31">
        <f>+Q158*Q157</f>
        <v>4.195543738253641</v>
      </c>
      <c r="R159" s="31"/>
      <c r="S159" s="31"/>
      <c r="AC159" s="11"/>
      <c r="AD159" s="11" t="s">
        <v>152</v>
      </c>
      <c r="AE159" s="31">
        <f>+AE158*AE157</f>
        <v>3.6692519071794925</v>
      </c>
      <c r="AF159" s="31"/>
      <c r="AG159" s="31"/>
    </row>
    <row r="160" spans="1:33" ht="12.75">
      <c r="A160" s="11" t="s">
        <v>235</v>
      </c>
      <c r="B160" s="11" t="s">
        <v>154</v>
      </c>
      <c r="C160" s="38">
        <f>C151</f>
        <v>9</v>
      </c>
      <c r="D160" s="38"/>
      <c r="E160" s="38"/>
      <c r="O160" s="11" t="s">
        <v>235</v>
      </c>
      <c r="P160" s="11" t="s">
        <v>154</v>
      </c>
      <c r="Q160" s="38">
        <f>Q151</f>
        <v>9</v>
      </c>
      <c r="R160" s="38"/>
      <c r="S160" s="38"/>
      <c r="AC160" s="11" t="s">
        <v>235</v>
      </c>
      <c r="AD160" s="11" t="s">
        <v>154</v>
      </c>
      <c r="AE160" s="38">
        <f>AE151</f>
        <v>9</v>
      </c>
      <c r="AF160" s="38"/>
      <c r="AG160" s="38"/>
    </row>
    <row r="161" spans="1:33" ht="12.75">
      <c r="A161" s="11" t="s">
        <v>236</v>
      </c>
      <c r="B161" s="11" t="s">
        <v>156</v>
      </c>
      <c r="C161" s="37">
        <f>C159*C160</f>
        <v>36.973178085545875</v>
      </c>
      <c r="D161" s="37"/>
      <c r="E161" s="37"/>
      <c r="O161" s="11" t="s">
        <v>236</v>
      </c>
      <c r="P161" s="11" t="s">
        <v>156</v>
      </c>
      <c r="Q161" s="37">
        <f>Q159*Q160</f>
        <v>37.75989364428277</v>
      </c>
      <c r="R161" s="37"/>
      <c r="S161" s="37"/>
      <c r="AC161" s="11" t="s">
        <v>236</v>
      </c>
      <c r="AD161" s="11" t="s">
        <v>156</v>
      </c>
      <c r="AE161" s="37">
        <f>AE159*AE160</f>
        <v>33.02326716461543</v>
      </c>
      <c r="AF161" s="37"/>
      <c r="AG161" s="37"/>
    </row>
    <row r="162" spans="1:33" ht="12.75">
      <c r="A162" s="18"/>
      <c r="B162" s="18"/>
      <c r="C162" s="18"/>
      <c r="D162" s="18"/>
      <c r="E162" s="18"/>
      <c r="O162" s="18"/>
      <c r="P162" s="18"/>
      <c r="Q162" s="18"/>
      <c r="R162" s="18"/>
      <c r="S162" s="18"/>
      <c r="AC162" s="18"/>
      <c r="AD162" s="18"/>
      <c r="AE162" s="18"/>
      <c r="AF162" s="18"/>
      <c r="AG162" s="18"/>
    </row>
    <row r="163" spans="1:33" ht="12.75">
      <c r="A163" s="18"/>
      <c r="B163" s="11" t="s">
        <v>391</v>
      </c>
      <c r="C163" s="37">
        <f>+C152+C161</f>
        <v>5425.436411248257</v>
      </c>
      <c r="D163" s="37">
        <f>+D143+D152+D161</f>
        <v>0</v>
      </c>
      <c r="E163" s="37">
        <f>SUM(C163:D163)</f>
        <v>5425.436411248257</v>
      </c>
      <c r="O163" s="18"/>
      <c r="P163" s="11" t="s">
        <v>391</v>
      </c>
      <c r="Q163" s="37">
        <f>+Q152+Q161</f>
        <v>5888.3583246836</v>
      </c>
      <c r="R163" s="37">
        <f>+R143+R152+R161</f>
        <v>0</v>
      </c>
      <c r="S163" s="37">
        <f>SUM(Q163:R163)</f>
        <v>5888.3583246836</v>
      </c>
      <c r="AC163" s="18"/>
      <c r="AD163" s="11" t="s">
        <v>391</v>
      </c>
      <c r="AE163" s="37">
        <f>+AE152+AE161</f>
        <v>3988.9900027438325</v>
      </c>
      <c r="AF163" s="37">
        <f>+AF143+AF152+AF161</f>
        <v>0</v>
      </c>
      <c r="AG163" s="37">
        <f>SUM(AE163:AF163)</f>
        <v>3988.9900027438325</v>
      </c>
    </row>
    <row r="164" spans="1:33" ht="12.75">
      <c r="A164" s="18"/>
      <c r="B164" s="18"/>
      <c r="C164" s="18"/>
      <c r="D164" s="18"/>
      <c r="E164" s="18"/>
      <c r="O164" s="18"/>
      <c r="P164" s="18"/>
      <c r="Q164" s="18"/>
      <c r="R164" s="18"/>
      <c r="S164" s="18"/>
      <c r="AC164" s="18"/>
      <c r="AD164" s="18"/>
      <c r="AE164" s="18"/>
      <c r="AF164" s="18"/>
      <c r="AG164" s="18"/>
    </row>
    <row r="165" spans="1:33" ht="12.75">
      <c r="A165" s="20" t="s">
        <v>392</v>
      </c>
      <c r="B165" s="11"/>
      <c r="C165" s="11"/>
      <c r="D165" s="11"/>
      <c r="E165" s="37"/>
      <c r="O165" s="20" t="s">
        <v>392</v>
      </c>
      <c r="P165" s="11"/>
      <c r="Q165" s="11"/>
      <c r="R165" s="11"/>
      <c r="S165" s="37"/>
      <c r="AC165" s="20" t="s">
        <v>392</v>
      </c>
      <c r="AD165" s="11"/>
      <c r="AE165" s="11"/>
      <c r="AF165" s="11"/>
      <c r="AG165" s="37"/>
    </row>
    <row r="166" spans="1:33" ht="12.75">
      <c r="A166" s="18"/>
      <c r="B166" s="18"/>
      <c r="C166" s="39" t="s">
        <v>92</v>
      </c>
      <c r="D166" s="24" t="s">
        <v>551</v>
      </c>
      <c r="E166" s="18"/>
      <c r="O166" s="18"/>
      <c r="P166" s="18"/>
      <c r="Q166" s="39" t="s">
        <v>92</v>
      </c>
      <c r="R166" s="24" t="s">
        <v>551</v>
      </c>
      <c r="S166" s="18"/>
      <c r="AC166" s="18"/>
      <c r="AD166" s="18"/>
      <c r="AE166" s="39" t="s">
        <v>92</v>
      </c>
      <c r="AF166" s="24" t="s">
        <v>551</v>
      </c>
      <c r="AG166" s="18"/>
    </row>
    <row r="167" spans="1:33" ht="12.75">
      <c r="A167" s="11" t="s">
        <v>237</v>
      </c>
      <c r="B167" s="11" t="s">
        <v>238</v>
      </c>
      <c r="C167" s="37">
        <f>C88</f>
        <v>17201.28625907292</v>
      </c>
      <c r="D167" s="37">
        <f>D88</f>
        <v>37072.15494925522</v>
      </c>
      <c r="E167" s="37"/>
      <c r="O167" s="11" t="s">
        <v>237</v>
      </c>
      <c r="P167" s="11" t="s">
        <v>238</v>
      </c>
      <c r="Q167" s="37">
        <f>Q88</f>
        <v>17402.592784470522</v>
      </c>
      <c r="R167" s="37">
        <f>R88</f>
        <v>41735.70223064945</v>
      </c>
      <c r="S167" s="37"/>
      <c r="AC167" s="11" t="s">
        <v>237</v>
      </c>
      <c r="AD167" s="11" t="s">
        <v>238</v>
      </c>
      <c r="AE167" s="37">
        <f>AE88</f>
        <v>14469.085778042217</v>
      </c>
      <c r="AF167" s="37">
        <f>AF88</f>
        <v>23435.3162776885</v>
      </c>
      <c r="AG167" s="37"/>
    </row>
    <row r="168" spans="1:33" ht="12.75">
      <c r="A168" s="11" t="s">
        <v>239</v>
      </c>
      <c r="B168" s="11" t="s">
        <v>240</v>
      </c>
      <c r="C168" s="37">
        <f>C97</f>
        <v>301.09834751643467</v>
      </c>
      <c r="D168" s="37">
        <f>D97</f>
        <v>0</v>
      </c>
      <c r="E168" s="37"/>
      <c r="O168" s="11" t="s">
        <v>239</v>
      </c>
      <c r="P168" s="11" t="s">
        <v>240</v>
      </c>
      <c r="Q168" s="37">
        <f>Q97</f>
        <v>283.4205026329297</v>
      </c>
      <c r="R168" s="37">
        <f>R97</f>
        <v>0</v>
      </c>
      <c r="S168" s="37"/>
      <c r="AC168" s="11" t="s">
        <v>239</v>
      </c>
      <c r="AD168" s="11" t="s">
        <v>240</v>
      </c>
      <c r="AE168" s="37">
        <f>AE97</f>
        <v>316.944577413855</v>
      </c>
      <c r="AF168" s="37">
        <f>AF97</f>
        <v>0</v>
      </c>
      <c r="AG168" s="37"/>
    </row>
    <row r="169" spans="1:33" ht="12.75">
      <c r="A169" s="11" t="s">
        <v>241</v>
      </c>
      <c r="B169" s="11" t="s">
        <v>242</v>
      </c>
      <c r="C169" s="37">
        <f>C106</f>
        <v>312.91972764372616</v>
      </c>
      <c r="D169" s="37">
        <f>D106</f>
        <v>0</v>
      </c>
      <c r="E169" s="37"/>
      <c r="O169" s="11" t="s">
        <v>241</v>
      </c>
      <c r="P169" s="11" t="s">
        <v>242</v>
      </c>
      <c r="Q169" s="37">
        <f>Q106</f>
        <v>277.65516914861945</v>
      </c>
      <c r="R169" s="37">
        <f>R106</f>
        <v>0</v>
      </c>
      <c r="S169" s="37"/>
      <c r="AC169" s="11" t="s">
        <v>241</v>
      </c>
      <c r="AD169" s="11" t="s">
        <v>242</v>
      </c>
      <c r="AE169" s="37">
        <f>AE106</f>
        <v>350.11211781865217</v>
      </c>
      <c r="AF169" s="37">
        <f>AF106</f>
        <v>0</v>
      </c>
      <c r="AG169" s="37"/>
    </row>
    <row r="170" spans="1:33" ht="12.75">
      <c r="A170" s="11" t="s">
        <v>243</v>
      </c>
      <c r="B170" s="11" t="s">
        <v>244</v>
      </c>
      <c r="C170" s="37">
        <f>C152</f>
        <v>5388.463233162712</v>
      </c>
      <c r="D170" s="37">
        <f>D152</f>
        <v>0</v>
      </c>
      <c r="E170" s="37"/>
      <c r="O170" s="11" t="s">
        <v>243</v>
      </c>
      <c r="P170" s="11" t="s">
        <v>244</v>
      </c>
      <c r="Q170" s="37">
        <f>Q152</f>
        <v>5850.598431039317</v>
      </c>
      <c r="R170" s="37">
        <f>R152</f>
        <v>0</v>
      </c>
      <c r="S170" s="37"/>
      <c r="AC170" s="11" t="s">
        <v>243</v>
      </c>
      <c r="AD170" s="11" t="s">
        <v>244</v>
      </c>
      <c r="AE170" s="37">
        <f>AE152</f>
        <v>3955.966735579217</v>
      </c>
      <c r="AF170" s="37">
        <f>AF152</f>
        <v>0</v>
      </c>
      <c r="AG170" s="37"/>
    </row>
    <row r="171" spans="1:33" ht="12.75">
      <c r="A171" s="11" t="s">
        <v>245</v>
      </c>
      <c r="B171" s="11" t="s">
        <v>246</v>
      </c>
      <c r="C171" s="37">
        <f>C161</f>
        <v>36.973178085545875</v>
      </c>
      <c r="D171" s="37">
        <f>D161</f>
        <v>0</v>
      </c>
      <c r="E171" s="37"/>
      <c r="O171" s="11" t="s">
        <v>245</v>
      </c>
      <c r="P171" s="11" t="s">
        <v>246</v>
      </c>
      <c r="Q171" s="37">
        <f>Q161</f>
        <v>37.75989364428277</v>
      </c>
      <c r="R171" s="37">
        <f>R161</f>
        <v>0</v>
      </c>
      <c r="S171" s="37"/>
      <c r="AC171" s="11" t="s">
        <v>245</v>
      </c>
      <c r="AD171" s="11" t="s">
        <v>246</v>
      </c>
      <c r="AE171" s="37">
        <f>AE161</f>
        <v>33.02326716461543</v>
      </c>
      <c r="AF171" s="37">
        <f>AF161</f>
        <v>0</v>
      </c>
      <c r="AG171" s="37"/>
    </row>
    <row r="172" spans="1:33" ht="12.75">
      <c r="A172" s="11" t="s">
        <v>247</v>
      </c>
      <c r="B172" s="11" t="s">
        <v>248</v>
      </c>
      <c r="C172" s="37">
        <f>SUM(C167:C171)</f>
        <v>23240.74074548134</v>
      </c>
      <c r="D172" s="37">
        <f>SUM(D167:D171)</f>
        <v>37072.15494925522</v>
      </c>
      <c r="E172" s="37">
        <f>SUM(C172:D172)</f>
        <v>60312.895694736566</v>
      </c>
      <c r="O172" s="11" t="s">
        <v>247</v>
      </c>
      <c r="P172" s="11" t="s">
        <v>248</v>
      </c>
      <c r="Q172" s="37">
        <f>SUM(Q167:Q171)</f>
        <v>23852.02678093567</v>
      </c>
      <c r="R172" s="37">
        <f>SUM(R167:R171)</f>
        <v>41735.70223064945</v>
      </c>
      <c r="S172" s="37">
        <f>SUM(Q172:R172)</f>
        <v>65587.72901158512</v>
      </c>
      <c r="AC172" s="11" t="s">
        <v>247</v>
      </c>
      <c r="AD172" s="11" t="s">
        <v>248</v>
      </c>
      <c r="AE172" s="37">
        <f>SUM(AE167:AE171)</f>
        <v>19125.132476018556</v>
      </c>
      <c r="AF172" s="37">
        <f>SUM(AF167:AF171)</f>
        <v>23435.3162776885</v>
      </c>
      <c r="AG172" s="37">
        <f>SUM(AE172:AF172)</f>
        <v>42560.44875370705</v>
      </c>
    </row>
    <row r="173" spans="1:33" ht="12.75">
      <c r="A173" s="11"/>
      <c r="B173" s="11"/>
      <c r="C173" s="37"/>
      <c r="D173" s="37"/>
      <c r="E173" s="37"/>
      <c r="O173" s="11"/>
      <c r="P173" s="11"/>
      <c r="Q173" s="37"/>
      <c r="R173" s="37"/>
      <c r="S173" s="37"/>
      <c r="AC173" s="11"/>
      <c r="AD173" s="11"/>
      <c r="AE173" s="37"/>
      <c r="AF173" s="37"/>
      <c r="AG173" s="37"/>
    </row>
    <row r="174" spans="1:33" ht="12.75" hidden="1">
      <c r="A174" s="17"/>
      <c r="B174" s="11"/>
      <c r="C174" s="37"/>
      <c r="D174" s="37"/>
      <c r="E174" s="37"/>
      <c r="O174" s="17"/>
      <c r="P174" s="11"/>
      <c r="Q174" s="37"/>
      <c r="R174" s="37"/>
      <c r="S174" s="37"/>
      <c r="AC174" s="17"/>
      <c r="AD174" s="11"/>
      <c r="AE174" s="37"/>
      <c r="AF174" s="37"/>
      <c r="AG174" s="37"/>
    </row>
    <row r="175" spans="1:33" ht="12.75" hidden="1">
      <c r="A175" s="17" t="s">
        <v>249</v>
      </c>
      <c r="B175" s="11"/>
      <c r="C175" s="11"/>
      <c r="D175" s="11"/>
      <c r="E175" s="11"/>
      <c r="O175" s="17" t="s">
        <v>249</v>
      </c>
      <c r="P175" s="11"/>
      <c r="Q175" s="11"/>
      <c r="R175" s="11"/>
      <c r="S175" s="11"/>
      <c r="AC175" s="17" t="s">
        <v>249</v>
      </c>
      <c r="AD175" s="11"/>
      <c r="AE175" s="11"/>
      <c r="AF175" s="11"/>
      <c r="AG175" s="11"/>
    </row>
    <row r="176" spans="1:33" ht="12.75" hidden="1">
      <c r="A176" s="17"/>
      <c r="B176" s="11"/>
      <c r="C176" s="11"/>
      <c r="D176" s="11"/>
      <c r="E176" s="11"/>
      <c r="O176" s="17"/>
      <c r="P176" s="11"/>
      <c r="Q176" s="11"/>
      <c r="R176" s="11"/>
      <c r="S176" s="11"/>
      <c r="AC176" s="17"/>
      <c r="AD176" s="11"/>
      <c r="AE176" s="11"/>
      <c r="AF176" s="11"/>
      <c r="AG176" s="11"/>
    </row>
    <row r="177" spans="1:33" ht="12.75" hidden="1">
      <c r="A177" s="17"/>
      <c r="B177" s="11"/>
      <c r="C177" s="40" t="s">
        <v>250</v>
      </c>
      <c r="D177" s="23"/>
      <c r="E177" s="23"/>
      <c r="O177" s="17"/>
      <c r="P177" s="11"/>
      <c r="Q177" s="40" t="s">
        <v>250</v>
      </c>
      <c r="R177" s="23"/>
      <c r="S177" s="23"/>
      <c r="AC177" s="17"/>
      <c r="AD177" s="11"/>
      <c r="AE177" s="40" t="s">
        <v>250</v>
      </c>
      <c r="AF177" s="23"/>
      <c r="AG177" s="23"/>
    </row>
    <row r="178" spans="1:33" ht="12.75" hidden="1">
      <c r="A178" s="17"/>
      <c r="B178" s="11"/>
      <c r="C178" s="24" t="s">
        <v>92</v>
      </c>
      <c r="D178" s="24" t="s">
        <v>93</v>
      </c>
      <c r="E178" s="24" t="s">
        <v>40</v>
      </c>
      <c r="O178" s="17"/>
      <c r="P178" s="11"/>
      <c r="Q178" s="24" t="s">
        <v>92</v>
      </c>
      <c r="R178" s="24" t="s">
        <v>93</v>
      </c>
      <c r="S178" s="24" t="s">
        <v>40</v>
      </c>
      <c r="AC178" s="17"/>
      <c r="AD178" s="11"/>
      <c r="AE178" s="24" t="s">
        <v>92</v>
      </c>
      <c r="AF178" s="24" t="s">
        <v>93</v>
      </c>
      <c r="AG178" s="24" t="s">
        <v>40</v>
      </c>
    </row>
    <row r="179" spans="1:33" ht="12.75" hidden="1">
      <c r="A179" s="26" t="s">
        <v>251</v>
      </c>
      <c r="B179" s="11"/>
      <c r="C179" s="17"/>
      <c r="D179" s="17"/>
      <c r="E179" s="17"/>
      <c r="O179" s="26" t="s">
        <v>251</v>
      </c>
      <c r="P179" s="11"/>
      <c r="Q179" s="17"/>
      <c r="R179" s="17"/>
      <c r="S179" s="17"/>
      <c r="AC179" s="26" t="s">
        <v>251</v>
      </c>
      <c r="AD179" s="11"/>
      <c r="AE179" s="17"/>
      <c r="AF179" s="17"/>
      <c r="AG179" s="17"/>
    </row>
    <row r="180" spans="1:33" ht="12.75" hidden="1">
      <c r="A180" s="26"/>
      <c r="B180" s="11"/>
      <c r="C180" s="11"/>
      <c r="D180" s="11"/>
      <c r="E180" s="11"/>
      <c r="O180" s="26"/>
      <c r="P180" s="11"/>
      <c r="Q180" s="11"/>
      <c r="R180" s="11"/>
      <c r="S180" s="11"/>
      <c r="AC180" s="26"/>
      <c r="AD180" s="11"/>
      <c r="AE180" s="11"/>
      <c r="AF180" s="11"/>
      <c r="AG180" s="11"/>
    </row>
    <row r="181" spans="1:33" ht="12.75" hidden="1">
      <c r="A181" s="11" t="s">
        <v>252</v>
      </c>
      <c r="B181" s="11" t="s">
        <v>253</v>
      </c>
      <c r="C181" s="14">
        <f>C15</f>
        <v>280299.0272727273</v>
      </c>
      <c r="D181" s="14">
        <v>0</v>
      </c>
      <c r="E181" s="14"/>
      <c r="O181" s="11" t="s">
        <v>252</v>
      </c>
      <c r="P181" s="11" t="s">
        <v>253</v>
      </c>
      <c r="Q181" s="14">
        <f>Q15</f>
        <v>289747.3090909091</v>
      </c>
      <c r="R181" s="14">
        <v>0</v>
      </c>
      <c r="S181" s="14"/>
      <c r="AC181" s="11" t="s">
        <v>252</v>
      </c>
      <c r="AD181" s="11" t="s">
        <v>253</v>
      </c>
      <c r="AE181" s="14">
        <f>AE15</f>
        <v>251954.1818181818</v>
      </c>
      <c r="AF181" s="14">
        <v>0</v>
      </c>
      <c r="AG181" s="14"/>
    </row>
    <row r="182" spans="1:33" ht="12.75" hidden="1">
      <c r="A182" s="11" t="s">
        <v>254</v>
      </c>
      <c r="B182" s="11" t="s">
        <v>255</v>
      </c>
      <c r="C182" s="14">
        <f>C16</f>
        <v>53390.290909090916</v>
      </c>
      <c r="D182" s="14">
        <f>D16</f>
        <v>0.0028029902868116244</v>
      </c>
      <c r="E182" s="14"/>
      <c r="O182" s="11" t="s">
        <v>254</v>
      </c>
      <c r="P182" s="11" t="s">
        <v>255</v>
      </c>
      <c r="Q182" s="14">
        <f>Q16</f>
        <v>55189.963636363645</v>
      </c>
      <c r="R182" s="14">
        <f>R16</f>
        <v>0.0028974731054681956</v>
      </c>
      <c r="S182" s="14"/>
      <c r="AC182" s="11" t="s">
        <v>254</v>
      </c>
      <c r="AD182" s="11" t="s">
        <v>255</v>
      </c>
      <c r="AE182" s="14">
        <f>AE16</f>
        <v>47991.272727272735</v>
      </c>
      <c r="AF182" s="14">
        <f>AF16</f>
        <v>0.002519541830841909</v>
      </c>
      <c r="AG182" s="14"/>
    </row>
    <row r="183" spans="1:33" ht="12.75" hidden="1">
      <c r="A183" s="11" t="s">
        <v>256</v>
      </c>
      <c r="B183" s="11" t="s">
        <v>257</v>
      </c>
      <c r="C183" s="14">
        <f>C181+C182</f>
        <v>333689.3181818182</v>
      </c>
      <c r="D183" s="14">
        <f>D181+D182</f>
        <v>0.0028029902868116244</v>
      </c>
      <c r="E183" s="14"/>
      <c r="O183" s="11" t="s">
        <v>256</v>
      </c>
      <c r="P183" s="11" t="s">
        <v>257</v>
      </c>
      <c r="Q183" s="14">
        <f>Q181+Q182</f>
        <v>344937.2727272727</v>
      </c>
      <c r="R183" s="14">
        <f>R181+R182</f>
        <v>0.0028974731054681956</v>
      </c>
      <c r="S183" s="14"/>
      <c r="AC183" s="11" t="s">
        <v>256</v>
      </c>
      <c r="AD183" s="11" t="s">
        <v>257</v>
      </c>
      <c r="AE183" s="14">
        <f>AE181+AE182</f>
        <v>299945.45454545453</v>
      </c>
      <c r="AF183" s="14">
        <f>AF181+AF182</f>
        <v>0.002519541830841909</v>
      </c>
      <c r="AG183" s="14"/>
    </row>
    <row r="184" spans="1:33" ht="12.75" hidden="1">
      <c r="A184" s="11"/>
      <c r="B184" s="11"/>
      <c r="C184" s="14"/>
      <c r="D184" s="14"/>
      <c r="E184" s="14"/>
      <c r="O184" s="11"/>
      <c r="P184" s="11"/>
      <c r="Q184" s="14"/>
      <c r="R184" s="14"/>
      <c r="S184" s="14"/>
      <c r="AC184" s="11"/>
      <c r="AD184" s="11"/>
      <c r="AE184" s="14"/>
      <c r="AF184" s="14"/>
      <c r="AG184" s="14"/>
    </row>
    <row r="185" spans="1:33" ht="12.75" hidden="1">
      <c r="A185" s="11" t="s">
        <v>258</v>
      </c>
      <c r="B185" s="11" t="s">
        <v>259</v>
      </c>
      <c r="C185" s="14">
        <f>C75</f>
        <v>187734.62652024932</v>
      </c>
      <c r="D185" s="14">
        <f>D75</f>
        <v>97026.338028169</v>
      </c>
      <c r="E185" s="14"/>
      <c r="O185" s="11" t="s">
        <v>258</v>
      </c>
      <c r="P185" s="11" t="s">
        <v>259</v>
      </c>
      <c r="Q185" s="14">
        <f>Q75</f>
        <v>194774.52500955752</v>
      </c>
      <c r="R185" s="14">
        <f>R75</f>
        <v>98452.39436619719</v>
      </c>
      <c r="S185" s="14"/>
      <c r="AC185" s="11" t="s">
        <v>258</v>
      </c>
      <c r="AD185" s="11" t="s">
        <v>259</v>
      </c>
      <c r="AE185" s="14">
        <f>AE75</f>
        <v>165984.58297753078</v>
      </c>
      <c r="AF185" s="14">
        <f>AF75</f>
        <v>92748.1690140845</v>
      </c>
      <c r="AG185" s="14"/>
    </row>
    <row r="186" spans="1:33" ht="12.75" hidden="1">
      <c r="A186" s="11" t="s">
        <v>260</v>
      </c>
      <c r="B186" s="11" t="s">
        <v>261</v>
      </c>
      <c r="C186" s="14">
        <f>C135</f>
        <v>47904.36917213637</v>
      </c>
      <c r="D186" s="14">
        <f>D135</f>
        <v>0</v>
      </c>
      <c r="E186" s="14"/>
      <c r="O186" s="11" t="s">
        <v>260</v>
      </c>
      <c r="P186" s="11" t="s">
        <v>261</v>
      </c>
      <c r="Q186" s="14">
        <f>Q135</f>
        <v>49865.49661365686</v>
      </c>
      <c r="R186" s="14">
        <f>R135</f>
        <v>0</v>
      </c>
      <c r="S186" s="14"/>
      <c r="AC186" s="11" t="s">
        <v>260</v>
      </c>
      <c r="AD186" s="11" t="s">
        <v>261</v>
      </c>
      <c r="AE186" s="14">
        <f>AE135</f>
        <v>42023.46966282341</v>
      </c>
      <c r="AF186" s="14">
        <f>AF135</f>
        <v>0</v>
      </c>
      <c r="AG186" s="14"/>
    </row>
    <row r="187" spans="1:33" ht="12.75" hidden="1">
      <c r="A187" s="11" t="s">
        <v>262</v>
      </c>
      <c r="B187" s="11" t="s">
        <v>263</v>
      </c>
      <c r="C187" s="14">
        <f>C185+C186</f>
        <v>235638.9956923857</v>
      </c>
      <c r="D187" s="14">
        <f>D185+D186</f>
        <v>97026.338028169</v>
      </c>
      <c r="E187" s="14"/>
      <c r="O187" s="11" t="s">
        <v>262</v>
      </c>
      <c r="P187" s="11" t="s">
        <v>263</v>
      </c>
      <c r="Q187" s="14">
        <f>Q185+Q186</f>
        <v>244640.0216232144</v>
      </c>
      <c r="R187" s="14">
        <f>R185+R186</f>
        <v>98452.39436619719</v>
      </c>
      <c r="S187" s="14"/>
      <c r="AC187" s="11" t="s">
        <v>262</v>
      </c>
      <c r="AD187" s="11" t="s">
        <v>263</v>
      </c>
      <c r="AE187" s="14">
        <f>AE185+AE186</f>
        <v>208008.0526403542</v>
      </c>
      <c r="AF187" s="14">
        <f>AF185+AF186</f>
        <v>92748.1690140845</v>
      </c>
      <c r="AG187" s="14"/>
    </row>
    <row r="188" spans="1:33" ht="12.75" hidden="1">
      <c r="A188" s="11"/>
      <c r="B188" s="11"/>
      <c r="C188" s="14"/>
      <c r="D188" s="14"/>
      <c r="E188" s="14"/>
      <c r="O188" s="11"/>
      <c r="P188" s="11"/>
      <c r="Q188" s="14"/>
      <c r="R188" s="14"/>
      <c r="S188" s="14"/>
      <c r="AC188" s="11"/>
      <c r="AD188" s="11"/>
      <c r="AE188" s="14"/>
      <c r="AF188" s="14"/>
      <c r="AG188" s="14"/>
    </row>
    <row r="189" spans="1:33" ht="12.75" hidden="1">
      <c r="A189" s="11" t="s">
        <v>264</v>
      </c>
      <c r="B189" s="11" t="s">
        <v>265</v>
      </c>
      <c r="C189" s="14">
        <f>C185-C181</f>
        <v>-92564.40075247796</v>
      </c>
      <c r="D189" s="14">
        <f>D185-D181</f>
        <v>97026.338028169</v>
      </c>
      <c r="E189" s="14"/>
      <c r="O189" s="11" t="s">
        <v>264</v>
      </c>
      <c r="P189" s="11" t="s">
        <v>265</v>
      </c>
      <c r="Q189" s="14">
        <f>Q185-Q181</f>
        <v>-94972.78408135156</v>
      </c>
      <c r="R189" s="14">
        <f>R185-R181</f>
        <v>98452.39436619719</v>
      </c>
      <c r="S189" s="14"/>
      <c r="AC189" s="11" t="s">
        <v>264</v>
      </c>
      <c r="AD189" s="11" t="s">
        <v>265</v>
      </c>
      <c r="AE189" s="14">
        <f>AE185-AE181</f>
        <v>-85969.59884065102</v>
      </c>
      <c r="AF189" s="14">
        <f>AF185-AF181</f>
        <v>92748.1690140845</v>
      </c>
      <c r="AG189" s="14"/>
    </row>
    <row r="190" spans="1:33" ht="12.75" hidden="1">
      <c r="A190" s="11" t="s">
        <v>266</v>
      </c>
      <c r="B190" s="11" t="s">
        <v>267</v>
      </c>
      <c r="C190" s="14">
        <f>C186-C182</f>
        <v>-5485.921736954544</v>
      </c>
      <c r="D190" s="14">
        <f>D186-D182</f>
        <v>-0.0028029902868116244</v>
      </c>
      <c r="E190" s="14"/>
      <c r="O190" s="11" t="s">
        <v>266</v>
      </c>
      <c r="P190" s="11" t="s">
        <v>267</v>
      </c>
      <c r="Q190" s="14">
        <f>Q186-Q182</f>
        <v>-5324.467022706784</v>
      </c>
      <c r="R190" s="14">
        <f>R186-R182</f>
        <v>-0.0028974731054681956</v>
      </c>
      <c r="S190" s="14"/>
      <c r="AC190" s="11" t="s">
        <v>266</v>
      </c>
      <c r="AD190" s="11" t="s">
        <v>267</v>
      </c>
      <c r="AE190" s="14">
        <f>AE186-AE182</f>
        <v>-5967.8030644493265</v>
      </c>
      <c r="AF190" s="14">
        <f>AF186-AF182</f>
        <v>-0.002519541830841909</v>
      </c>
      <c r="AG190" s="14"/>
    </row>
    <row r="191" spans="1:33" ht="12.75" hidden="1">
      <c r="A191" s="11" t="s">
        <v>268</v>
      </c>
      <c r="B191" s="11" t="s">
        <v>269</v>
      </c>
      <c r="C191" s="14">
        <f>C189+C190</f>
        <v>-98050.3224894325</v>
      </c>
      <c r="D191" s="14">
        <f>D189+D190</f>
        <v>97026.33522517871</v>
      </c>
      <c r="E191" s="14"/>
      <c r="O191" s="11" t="s">
        <v>268</v>
      </c>
      <c r="P191" s="11" t="s">
        <v>269</v>
      </c>
      <c r="Q191" s="14">
        <f>Q189+Q190</f>
        <v>-100297.25110405835</v>
      </c>
      <c r="R191" s="14">
        <f>R189+R190</f>
        <v>98452.39146872408</v>
      </c>
      <c r="S191" s="14"/>
      <c r="AC191" s="11" t="s">
        <v>268</v>
      </c>
      <c r="AD191" s="11" t="s">
        <v>269</v>
      </c>
      <c r="AE191" s="14">
        <f>AE189+AE190</f>
        <v>-91937.40190510034</v>
      </c>
      <c r="AF191" s="14">
        <f>AF189+AF190</f>
        <v>92748.16649454267</v>
      </c>
      <c r="AG191" s="14"/>
    </row>
    <row r="192" spans="1:33" ht="12.75" hidden="1">
      <c r="A192" s="11"/>
      <c r="B192" s="11"/>
      <c r="C192" s="14"/>
      <c r="D192" s="14"/>
      <c r="E192" s="14"/>
      <c r="O192" s="11"/>
      <c r="P192" s="11"/>
      <c r="Q192" s="14"/>
      <c r="R192" s="14"/>
      <c r="S192" s="14"/>
      <c r="AC192" s="11"/>
      <c r="AD192" s="11"/>
      <c r="AE192" s="14"/>
      <c r="AF192" s="14"/>
      <c r="AG192" s="14"/>
    </row>
    <row r="193" spans="1:33" ht="12.75" hidden="1">
      <c r="A193" s="11" t="s">
        <v>270</v>
      </c>
      <c r="B193" s="11" t="s">
        <v>271</v>
      </c>
      <c r="C193" s="14">
        <f>C25</f>
        <v>12089.724530352732</v>
      </c>
      <c r="D193" s="14">
        <f>D25</f>
        <v>12089.724178296387</v>
      </c>
      <c r="E193" s="14"/>
      <c r="O193" s="11" t="s">
        <v>270</v>
      </c>
      <c r="P193" s="11" t="s">
        <v>271</v>
      </c>
      <c r="Q193" s="14">
        <f>Q25</f>
        <v>13277.214226047648</v>
      </c>
      <c r="R193" s="14">
        <f>R25</f>
        <v>13277.213863405002</v>
      </c>
      <c r="S193" s="14"/>
      <c r="AC193" s="11" t="s">
        <v>270</v>
      </c>
      <c r="AD193" s="11" t="s">
        <v>271</v>
      </c>
      <c r="AE193" s="14">
        <f>AE25</f>
        <v>8710.187808784742</v>
      </c>
      <c r="AF193" s="14">
        <f>AF25</f>
        <v>8710.187533649058</v>
      </c>
      <c r="AG193" s="14"/>
    </row>
    <row r="194" spans="1:33" ht="12.75" hidden="1">
      <c r="A194" s="11" t="s">
        <v>272</v>
      </c>
      <c r="B194" s="11" t="s">
        <v>273</v>
      </c>
      <c r="C194" s="14">
        <f>C32</f>
        <v>4439.250699051017</v>
      </c>
      <c r="D194" s="14">
        <f>D32</f>
        <v>0</v>
      </c>
      <c r="E194" s="14"/>
      <c r="O194" s="11" t="s">
        <v>272</v>
      </c>
      <c r="P194" s="11" t="s">
        <v>273</v>
      </c>
      <c r="Q194" s="14">
        <f>Q32</f>
        <v>4796.232219053345</v>
      </c>
      <c r="R194" s="14">
        <f>R32</f>
        <v>0</v>
      </c>
      <c r="S194" s="14"/>
      <c r="AC194" s="11" t="s">
        <v>272</v>
      </c>
      <c r="AD194" s="11" t="s">
        <v>273</v>
      </c>
      <c r="AE194" s="14">
        <f>AE32</f>
        <v>3516.691755231437</v>
      </c>
      <c r="AF194" s="14">
        <f>AF32</f>
        <v>0</v>
      </c>
      <c r="AG194" s="14"/>
    </row>
    <row r="195" spans="1:33" ht="12.75" hidden="1">
      <c r="A195" s="11" t="s">
        <v>274</v>
      </c>
      <c r="B195" s="11" t="s">
        <v>275</v>
      </c>
      <c r="C195" s="14">
        <f>C193+C194</f>
        <v>16528.97522940375</v>
      </c>
      <c r="D195" s="14">
        <f>D193+D194</f>
        <v>12089.724178296387</v>
      </c>
      <c r="E195" s="14"/>
      <c r="O195" s="11" t="s">
        <v>274</v>
      </c>
      <c r="P195" s="11" t="s">
        <v>275</v>
      </c>
      <c r="Q195" s="14">
        <f>Q193+Q194</f>
        <v>18073.44644510099</v>
      </c>
      <c r="R195" s="14">
        <f>R193+R194</f>
        <v>13277.213863405002</v>
      </c>
      <c r="S195" s="14"/>
      <c r="AC195" s="11" t="s">
        <v>274</v>
      </c>
      <c r="AD195" s="11" t="s">
        <v>275</v>
      </c>
      <c r="AE195" s="14">
        <f>AE193+AE194</f>
        <v>12226.879564016179</v>
      </c>
      <c r="AF195" s="14">
        <f>AF193+AF194</f>
        <v>8710.187533649058</v>
      </c>
      <c r="AG195" s="14"/>
    </row>
    <row r="196" spans="1:33" ht="12.75" hidden="1">
      <c r="A196" s="11" t="s">
        <v>276</v>
      </c>
      <c r="B196" s="11" t="s">
        <v>277</v>
      </c>
      <c r="C196" s="33">
        <f>C183/C195</f>
        <v>20.188143157732554</v>
      </c>
      <c r="D196" s="33">
        <f>D183/D195</f>
        <v>2.3184898559088595E-07</v>
      </c>
      <c r="E196" s="33"/>
      <c r="O196" s="11" t="s">
        <v>276</v>
      </c>
      <c r="P196" s="11" t="s">
        <v>277</v>
      </c>
      <c r="Q196" s="33">
        <f>Q183/Q195</f>
        <v>19.08530693219122</v>
      </c>
      <c r="R196" s="33">
        <f>R183/R195</f>
        <v>2.1822900009574187E-07</v>
      </c>
      <c r="S196" s="33"/>
      <c r="AC196" s="11" t="s">
        <v>276</v>
      </c>
      <c r="AD196" s="11" t="s">
        <v>277</v>
      </c>
      <c r="AE196" s="33">
        <f>AE183/AE195</f>
        <v>24.53164382416891</v>
      </c>
      <c r="AF196" s="33">
        <f>AF183/AF195</f>
        <v>2.892637869286344E-07</v>
      </c>
      <c r="AG196" s="33"/>
    </row>
    <row r="197" spans="1:33" ht="12.75" hidden="1">
      <c r="A197" s="11" t="s">
        <v>278</v>
      </c>
      <c r="B197" s="11" t="s">
        <v>279</v>
      </c>
      <c r="C197" s="41">
        <f>1/C196</f>
        <v>0.04953402560041662</v>
      </c>
      <c r="D197" s="41">
        <f>1/D196</f>
        <v>4313152.362739129</v>
      </c>
      <c r="E197" s="41"/>
      <c r="O197" s="11" t="s">
        <v>278</v>
      </c>
      <c r="P197" s="11" t="s">
        <v>279</v>
      </c>
      <c r="Q197" s="41">
        <f>1/Q196</f>
        <v>0.05239632789521966</v>
      </c>
      <c r="R197" s="41">
        <f>1/R196</f>
        <v>4582342.399778572</v>
      </c>
      <c r="S197" s="41"/>
      <c r="AC197" s="11" t="s">
        <v>278</v>
      </c>
      <c r="AD197" s="11" t="s">
        <v>279</v>
      </c>
      <c r="AE197" s="41">
        <f>1/AE196</f>
        <v>0.04076367679098562</v>
      </c>
      <c r="AF197" s="41">
        <f>1/AF196</f>
        <v>3457052.1620347677</v>
      </c>
      <c r="AG197" s="41"/>
    </row>
    <row r="198" spans="1:33" ht="12.75" hidden="1">
      <c r="A198" s="11"/>
      <c r="B198" s="11"/>
      <c r="C198" s="14"/>
      <c r="D198" s="14"/>
      <c r="E198" s="14"/>
      <c r="O198" s="11"/>
      <c r="P198" s="11"/>
      <c r="Q198" s="14"/>
      <c r="R198" s="14"/>
      <c r="S198" s="14"/>
      <c r="AC198" s="11"/>
      <c r="AD198" s="11"/>
      <c r="AE198" s="14"/>
      <c r="AF198" s="14"/>
      <c r="AG198" s="14"/>
    </row>
    <row r="199" spans="1:33" ht="12.75" hidden="1">
      <c r="A199" s="11" t="s">
        <v>280</v>
      </c>
      <c r="B199" s="11" t="s">
        <v>281</v>
      </c>
      <c r="C199" s="14">
        <f>(1/C81)*C185</f>
        <v>6762.895416908861</v>
      </c>
      <c r="D199" s="14">
        <f>(1/D81)*D185</f>
        <v>1617.1056338028168</v>
      </c>
      <c r="E199" s="14"/>
      <c r="O199" s="11" t="s">
        <v>280</v>
      </c>
      <c r="P199" s="11" t="s">
        <v>281</v>
      </c>
      <c r="Q199" s="14">
        <f>(1/Q81)*Q185</f>
        <v>7587.0641855268905</v>
      </c>
      <c r="R199" s="14">
        <f>(1/R81)*R185</f>
        <v>1640.8732394366198</v>
      </c>
      <c r="S199" s="14"/>
      <c r="AC199" s="11" t="s">
        <v>280</v>
      </c>
      <c r="AD199" s="11" t="s">
        <v>281</v>
      </c>
      <c r="AE199" s="14">
        <f>(1/AE81)*AE185</f>
        <v>4610.25366833496</v>
      </c>
      <c r="AF199" s="14">
        <f>(1/AF81)*AF185</f>
        <v>1545.8028169014083</v>
      </c>
      <c r="AG199" s="14"/>
    </row>
    <row r="200" spans="1:33" ht="12.75" hidden="1">
      <c r="A200" s="11" t="s">
        <v>282</v>
      </c>
      <c r="B200" s="11" t="s">
        <v>283</v>
      </c>
      <c r="C200" s="14">
        <f>(1/C144)*C186</f>
        <v>3503.581405514269</v>
      </c>
      <c r="D200" s="14" t="e">
        <f>(1/D144)*D186</f>
        <v>#DIV/0!</v>
      </c>
      <c r="E200" s="14"/>
      <c r="O200" s="11" t="s">
        <v>282</v>
      </c>
      <c r="P200" s="11" t="s">
        <v>283</v>
      </c>
      <c r="Q200" s="14">
        <f>(1/Q144)*Q186</f>
        <v>3812.4289877592155</v>
      </c>
      <c r="R200" s="14" t="e">
        <f>(1/R144)*R186</f>
        <v>#DIV/0!</v>
      </c>
      <c r="S200" s="14"/>
      <c r="AC200" s="11" t="s">
        <v>282</v>
      </c>
      <c r="AD200" s="11" t="s">
        <v>283</v>
      </c>
      <c r="AE200" s="14">
        <f>(1/AE144)*AE186</f>
        <v>2728.341886962025</v>
      </c>
      <c r="AF200" s="14" t="e">
        <f>(1/AF144)*AF186</f>
        <v>#DIV/0!</v>
      </c>
      <c r="AG200" s="14"/>
    </row>
    <row r="201" spans="1:33" ht="12.75" hidden="1">
      <c r="A201" s="11" t="s">
        <v>284</v>
      </c>
      <c r="B201" s="11" t="s">
        <v>285</v>
      </c>
      <c r="C201" s="14">
        <f>C199+C200</f>
        <v>10266.47682242313</v>
      </c>
      <c r="D201" s="14" t="e">
        <f>D199+D200</f>
        <v>#DIV/0!</v>
      </c>
      <c r="E201" s="14"/>
      <c r="O201" s="11" t="s">
        <v>284</v>
      </c>
      <c r="P201" s="11" t="s">
        <v>285</v>
      </c>
      <c r="Q201" s="14">
        <f>Q199+Q200</f>
        <v>11399.493173286106</v>
      </c>
      <c r="R201" s="14" t="e">
        <f>R199+R200</f>
        <v>#DIV/0!</v>
      </c>
      <c r="S201" s="14"/>
      <c r="AC201" s="11" t="s">
        <v>284</v>
      </c>
      <c r="AD201" s="11" t="s">
        <v>285</v>
      </c>
      <c r="AE201" s="14">
        <f>AE199+AE200</f>
        <v>7338.5955552969845</v>
      </c>
      <c r="AF201" s="14" t="e">
        <f>AF199+AF200</f>
        <v>#DIV/0!</v>
      </c>
      <c r="AG201" s="14"/>
    </row>
    <row r="202" spans="1:33" ht="12.75" hidden="1">
      <c r="A202" s="11" t="s">
        <v>286</v>
      </c>
      <c r="B202" s="11" t="s">
        <v>287</v>
      </c>
      <c r="C202" s="33">
        <f>C187/C201</f>
        <v>22.952274647688668</v>
      </c>
      <c r="D202" s="33" t="e">
        <f>D187/D201</f>
        <v>#DIV/0!</v>
      </c>
      <c r="E202" s="33"/>
      <c r="O202" s="11" t="s">
        <v>286</v>
      </c>
      <c r="P202" s="11" t="s">
        <v>287</v>
      </c>
      <c r="Q202" s="33">
        <f>Q187/Q201</f>
        <v>21.460605125542838</v>
      </c>
      <c r="R202" s="33" t="e">
        <f>R187/R201</f>
        <v>#DIV/0!</v>
      </c>
      <c r="S202" s="33"/>
      <c r="AC202" s="11" t="s">
        <v>286</v>
      </c>
      <c r="AD202" s="11" t="s">
        <v>287</v>
      </c>
      <c r="AE202" s="33">
        <f>AE187/AE201</f>
        <v>28.344395201097353</v>
      </c>
      <c r="AF202" s="33" t="e">
        <f>AF187/AF201</f>
        <v>#DIV/0!</v>
      </c>
      <c r="AG202" s="33"/>
    </row>
    <row r="203" spans="1:33" ht="12.75" hidden="1">
      <c r="A203" s="11" t="s">
        <v>288</v>
      </c>
      <c r="B203" s="11" t="s">
        <v>289</v>
      </c>
      <c r="C203" s="41">
        <f>1/C202</f>
        <v>0.043568666519973945</v>
      </c>
      <c r="D203" s="41" t="e">
        <f>1/D202</f>
        <v>#DIV/0!</v>
      </c>
      <c r="E203" s="41"/>
      <c r="O203" s="11" t="s">
        <v>288</v>
      </c>
      <c r="P203" s="11" t="s">
        <v>289</v>
      </c>
      <c r="Q203" s="41">
        <f>1/Q202</f>
        <v>0.046597008525625414</v>
      </c>
      <c r="R203" s="41" t="e">
        <f>1/R202</f>
        <v>#DIV/0!</v>
      </c>
      <c r="S203" s="41"/>
      <c r="AC203" s="11" t="s">
        <v>288</v>
      </c>
      <c r="AD203" s="11" t="s">
        <v>289</v>
      </c>
      <c r="AE203" s="41">
        <f>1/AE202</f>
        <v>0.03528034353547558</v>
      </c>
      <c r="AF203" s="41" t="e">
        <f>1/AF202</f>
        <v>#DIV/0!</v>
      </c>
      <c r="AG203" s="41"/>
    </row>
    <row r="204" spans="1:33" ht="12.75" hidden="1">
      <c r="A204" s="11"/>
      <c r="B204" s="11"/>
      <c r="C204" s="14"/>
      <c r="D204" s="14"/>
      <c r="E204" s="14"/>
      <c r="O204" s="11"/>
      <c r="P204" s="11"/>
      <c r="Q204" s="14"/>
      <c r="R204" s="14"/>
      <c r="S204" s="14"/>
      <c r="AC204" s="11"/>
      <c r="AD204" s="11"/>
      <c r="AE204" s="14"/>
      <c r="AF204" s="14"/>
      <c r="AG204" s="14"/>
    </row>
    <row r="205" spans="1:33" ht="12.75" hidden="1">
      <c r="A205" s="11" t="s">
        <v>290</v>
      </c>
      <c r="B205" s="11" t="s">
        <v>291</v>
      </c>
      <c r="C205" s="13">
        <f>(C203-C197)/C197</f>
        <v>-0.12042952310325658</v>
      </c>
      <c r="D205" s="13" t="e">
        <f>(D203-D197)/D197</f>
        <v>#DIV/0!</v>
      </c>
      <c r="E205" s="13"/>
      <c r="O205" s="11" t="s">
        <v>290</v>
      </c>
      <c r="P205" s="11" t="s">
        <v>291</v>
      </c>
      <c r="Q205" s="13">
        <f>(Q203-Q197)/Q197</f>
        <v>-0.11068179016650792</v>
      </c>
      <c r="R205" s="13" t="e">
        <f>(R203-R197)/R197</f>
        <v>#DIV/0!</v>
      </c>
      <c r="S205" s="13"/>
      <c r="AC205" s="11" t="s">
        <v>290</v>
      </c>
      <c r="AD205" s="11" t="s">
        <v>291</v>
      </c>
      <c r="AE205" s="13">
        <f>(AE203-AE197)/AE197</f>
        <v>-0.13451517839339297</v>
      </c>
      <c r="AF205" s="13" t="e">
        <f>(AF203-AF197)/AF197</f>
        <v>#DIV/0!</v>
      </c>
      <c r="AG205" s="13"/>
    </row>
    <row r="206" spans="1:33" ht="12.75" hidden="1">
      <c r="A206" s="11" t="s">
        <v>292</v>
      </c>
      <c r="B206" s="11" t="s">
        <v>293</v>
      </c>
      <c r="C206" s="13">
        <f>C191/C183</f>
        <v>-0.2938371627347315</v>
      </c>
      <c r="D206" s="13">
        <f>D191/D183</f>
        <v>34615294.8448299</v>
      </c>
      <c r="E206" s="13"/>
      <c r="O206" s="11" t="s">
        <v>292</v>
      </c>
      <c r="P206" s="11" t="s">
        <v>293</v>
      </c>
      <c r="Q206" s="13">
        <f>Q191/Q183</f>
        <v>-0.2907695370553913</v>
      </c>
      <c r="R206" s="13">
        <f>R191/R183</f>
        <v>33978707.61351395</v>
      </c>
      <c r="S206" s="13"/>
      <c r="AC206" s="11" t="s">
        <v>292</v>
      </c>
      <c r="AD206" s="11" t="s">
        <v>293</v>
      </c>
      <c r="AE206" s="13">
        <f>AE191/AE183</f>
        <v>-0.3065137361205382</v>
      </c>
      <c r="AF206" s="13">
        <f>AF191/AF183</f>
        <v>36811520.79287</v>
      </c>
      <c r="AG206" s="13"/>
    </row>
    <row r="207" spans="1:33" ht="12.75" hidden="1">
      <c r="A207" s="11" t="s">
        <v>294</v>
      </c>
      <c r="B207" s="11" t="s">
        <v>295</v>
      </c>
      <c r="C207" s="33">
        <f>C206/C205</f>
        <v>2.4399097095385387</v>
      </c>
      <c r="D207" s="33" t="e">
        <f>D206/D205</f>
        <v>#DIV/0!</v>
      </c>
      <c r="E207" s="33"/>
      <c r="O207" s="11" t="s">
        <v>294</v>
      </c>
      <c r="P207" s="11" t="s">
        <v>295</v>
      </c>
      <c r="Q207" s="33">
        <f>Q206/Q205</f>
        <v>2.627076564428189</v>
      </c>
      <c r="R207" s="33" t="e">
        <f>R206/R205</f>
        <v>#DIV/0!</v>
      </c>
      <c r="S207" s="33"/>
      <c r="AC207" s="11" t="s">
        <v>294</v>
      </c>
      <c r="AD207" s="11" t="s">
        <v>295</v>
      </c>
      <c r="AE207" s="33">
        <f>AE206/AE205</f>
        <v>2.2786553887928633</v>
      </c>
      <c r="AF207" s="33" t="e">
        <f>AF206/AF205</f>
        <v>#DIV/0!</v>
      </c>
      <c r="AG207" s="33"/>
    </row>
    <row r="208" spans="1:33" ht="12.75" hidden="1">
      <c r="A208" s="11"/>
      <c r="B208" s="11"/>
      <c r="C208" s="14"/>
      <c r="D208" s="14"/>
      <c r="E208" s="14"/>
      <c r="O208" s="11"/>
      <c r="P208" s="11"/>
      <c r="Q208" s="14"/>
      <c r="R208" s="14"/>
      <c r="S208" s="14"/>
      <c r="AC208" s="11"/>
      <c r="AD208" s="11"/>
      <c r="AE208" s="14"/>
      <c r="AF208" s="14"/>
      <c r="AG208" s="14"/>
    </row>
    <row r="209" spans="1:33" ht="12.75" hidden="1">
      <c r="A209" s="26" t="s">
        <v>296</v>
      </c>
      <c r="B209" s="11"/>
      <c r="C209" s="14"/>
      <c r="D209" s="14"/>
      <c r="E209" s="14"/>
      <c r="O209" s="26" t="s">
        <v>296</v>
      </c>
      <c r="P209" s="11"/>
      <c r="Q209" s="14"/>
      <c r="R209" s="14"/>
      <c r="S209" s="14"/>
      <c r="AC209" s="26" t="s">
        <v>296</v>
      </c>
      <c r="AD209" s="11"/>
      <c r="AE209" s="14"/>
      <c r="AF209" s="14"/>
      <c r="AG209" s="14"/>
    </row>
    <row r="210" spans="1:33" ht="12.75" hidden="1">
      <c r="A210" s="11" t="s">
        <v>297</v>
      </c>
      <c r="B210" s="11" t="s">
        <v>298</v>
      </c>
      <c r="C210" s="14">
        <f>C59</f>
        <v>181359.3657380004</v>
      </c>
      <c r="D210" s="14">
        <f>D59</f>
        <v>97026.338028169</v>
      </c>
      <c r="E210" s="14"/>
      <c r="O210" s="11" t="s">
        <v>297</v>
      </c>
      <c r="P210" s="11" t="s">
        <v>298</v>
      </c>
      <c r="Q210" s="14">
        <f>Q59</f>
        <v>188935.83128039222</v>
      </c>
      <c r="R210" s="14">
        <f>R59</f>
        <v>98452.39436619719</v>
      </c>
      <c r="S210" s="14"/>
      <c r="AC210" s="11" t="s">
        <v>297</v>
      </c>
      <c r="AD210" s="11" t="s">
        <v>298</v>
      </c>
      <c r="AE210" s="14">
        <f>AE59</f>
        <v>158629.9691108249</v>
      </c>
      <c r="AF210" s="14">
        <f>AF59</f>
        <v>92748.1690140845</v>
      </c>
      <c r="AG210" s="14"/>
    </row>
    <row r="211" spans="1:33" ht="12.75" hidden="1">
      <c r="A211" s="11" t="s">
        <v>299</v>
      </c>
      <c r="B211" s="11" t="s">
        <v>300</v>
      </c>
      <c r="C211" s="31">
        <f>C62</f>
        <v>29.906788103751367</v>
      </c>
      <c r="D211" s="31">
        <f>D62</f>
        <v>0</v>
      </c>
      <c r="E211" s="31"/>
      <c r="O211" s="11" t="s">
        <v>299</v>
      </c>
      <c r="P211" s="11" t="s">
        <v>300</v>
      </c>
      <c r="Q211" s="31">
        <f>Q62</f>
        <v>27.382160539855107</v>
      </c>
      <c r="R211" s="31">
        <f>R62</f>
        <v>0</v>
      </c>
      <c r="S211" s="31"/>
      <c r="AC211" s="11" t="s">
        <v>299</v>
      </c>
      <c r="AD211" s="11" t="s">
        <v>300</v>
      </c>
      <c r="AE211" s="31">
        <f>AE62</f>
        <v>39.261777975230615</v>
      </c>
      <c r="AF211" s="31">
        <f>AF62</f>
        <v>0</v>
      </c>
      <c r="AG211" s="31"/>
    </row>
    <row r="212" spans="1:33" ht="12.75" hidden="1">
      <c r="A212" s="11" t="s">
        <v>301</v>
      </c>
      <c r="B212" s="11" t="s">
        <v>302</v>
      </c>
      <c r="C212" s="14">
        <f>(1/C211)*C210</f>
        <v>6064.153900741067</v>
      </c>
      <c r="D212" s="14" t="e">
        <f>(1/D211)*D210</f>
        <v>#DIV/0!</v>
      </c>
      <c r="E212" s="14"/>
      <c r="O212" s="11" t="s">
        <v>301</v>
      </c>
      <c r="P212" s="11" t="s">
        <v>302</v>
      </c>
      <c r="Q212" s="14">
        <f>(1/Q211)*Q210</f>
        <v>6899.960688105438</v>
      </c>
      <c r="R212" s="14" t="e">
        <f>(1/R211)*R210</f>
        <v>#DIV/0!</v>
      </c>
      <c r="S212" s="14"/>
      <c r="AC212" s="11" t="s">
        <v>301</v>
      </c>
      <c r="AD212" s="11" t="s">
        <v>302</v>
      </c>
      <c r="AE212" s="14">
        <f>(1/AE211)*AE210</f>
        <v>4040.3154745284596</v>
      </c>
      <c r="AF212" s="14" t="e">
        <f>(1/AF211)*AF210</f>
        <v>#DIV/0!</v>
      </c>
      <c r="AG212" s="14"/>
    </row>
    <row r="213" spans="1:33" ht="12.75" hidden="1">
      <c r="A213" s="11" t="s">
        <v>303</v>
      </c>
      <c r="B213" s="11" t="s">
        <v>304</v>
      </c>
      <c r="C213" s="14">
        <f>C121</f>
        <v>47255.87266395228</v>
      </c>
      <c r="D213" s="14">
        <f>D121</f>
        <v>0</v>
      </c>
      <c r="E213" s="14"/>
      <c r="O213" s="11" t="s">
        <v>303</v>
      </c>
      <c r="P213" s="11" t="s">
        <v>304</v>
      </c>
      <c r="Q213" s="14">
        <f>Q121</f>
        <v>49230.033135109414</v>
      </c>
      <c r="R213" s="14">
        <f>R121</f>
        <v>0</v>
      </c>
      <c r="S213" s="14"/>
      <c r="AC213" s="11" t="s">
        <v>303</v>
      </c>
      <c r="AD213" s="11" t="s">
        <v>304</v>
      </c>
      <c r="AE213" s="14">
        <f>AE121</f>
        <v>41333.39125048087</v>
      </c>
      <c r="AF213" s="14">
        <f>AF121</f>
        <v>0</v>
      </c>
      <c r="AG213" s="14"/>
    </row>
    <row r="214" spans="1:33" ht="12.75" hidden="1">
      <c r="A214" s="11" t="s">
        <v>305</v>
      </c>
      <c r="B214" s="11" t="s">
        <v>306</v>
      </c>
      <c r="C214" s="31">
        <f>C125</f>
        <v>13.86866579350813</v>
      </c>
      <c r="D214" s="31">
        <f>D125</f>
        <v>0</v>
      </c>
      <c r="E214" s="31"/>
      <c r="O214" s="11" t="s">
        <v>305</v>
      </c>
      <c r="P214" s="11" t="s">
        <v>306</v>
      </c>
      <c r="Q214" s="31">
        <f>Q125</f>
        <v>13.271924975588407</v>
      </c>
      <c r="R214" s="31">
        <f>R125</f>
        <v>0</v>
      </c>
      <c r="S214" s="31"/>
      <c r="AC214" s="11" t="s">
        <v>305</v>
      </c>
      <c r="AD214" s="11" t="s">
        <v>306</v>
      </c>
      <c r="AE214" s="31">
        <f>AE125</f>
        <v>15.595244593992811</v>
      </c>
      <c r="AF214" s="31">
        <f>AF125</f>
        <v>0</v>
      </c>
      <c r="AG214" s="31"/>
    </row>
    <row r="215" spans="1:33" ht="12.75" hidden="1">
      <c r="A215" s="11" t="s">
        <v>307</v>
      </c>
      <c r="B215" s="11" t="s">
        <v>308</v>
      </c>
      <c r="C215" s="14">
        <f>(1/C214)*C213</f>
        <v>3407.3841974094275</v>
      </c>
      <c r="D215" s="14" t="e">
        <f>(1/D214)*D213</f>
        <v>#DIV/0!</v>
      </c>
      <c r="E215" s="14"/>
      <c r="O215" s="11" t="s">
        <v>307</v>
      </c>
      <c r="P215" s="11" t="s">
        <v>308</v>
      </c>
      <c r="Q215" s="14">
        <f>(1/Q214)*Q213</f>
        <v>3709.336303939347</v>
      </c>
      <c r="R215" s="14" t="e">
        <f>(1/R214)*R213</f>
        <v>#DIV/0!</v>
      </c>
      <c r="S215" s="14"/>
      <c r="AC215" s="11" t="s">
        <v>307</v>
      </c>
      <c r="AD215" s="11" t="s">
        <v>308</v>
      </c>
      <c r="AE215" s="14">
        <f>(1/AE214)*AE213</f>
        <v>2650.3842887082533</v>
      </c>
      <c r="AF215" s="14" t="e">
        <f>(1/AF214)*AF213</f>
        <v>#DIV/0!</v>
      </c>
      <c r="AG215" s="14"/>
    </row>
    <row r="216" spans="1:33" ht="12.75" hidden="1">
      <c r="A216" s="11" t="s">
        <v>309</v>
      </c>
      <c r="B216" s="11" t="s">
        <v>310</v>
      </c>
      <c r="C216" s="14">
        <f>C210+C213</f>
        <v>228615.23840195267</v>
      </c>
      <c r="D216" s="14">
        <f>D210+D213</f>
        <v>97026.338028169</v>
      </c>
      <c r="E216" s="14"/>
      <c r="O216" s="11" t="s">
        <v>309</v>
      </c>
      <c r="P216" s="11" t="s">
        <v>310</v>
      </c>
      <c r="Q216" s="14">
        <f>Q210+Q213</f>
        <v>238165.86441550162</v>
      </c>
      <c r="R216" s="14">
        <f>R210+R213</f>
        <v>98452.39436619719</v>
      </c>
      <c r="S216" s="14"/>
      <c r="AC216" s="11" t="s">
        <v>309</v>
      </c>
      <c r="AD216" s="11" t="s">
        <v>310</v>
      </c>
      <c r="AE216" s="14">
        <f>AE210+AE213</f>
        <v>199963.36036130576</v>
      </c>
      <c r="AF216" s="14">
        <f>AF210+AF213</f>
        <v>92748.1690140845</v>
      </c>
      <c r="AG216" s="14"/>
    </row>
    <row r="217" spans="1:33" ht="12.75" hidden="1">
      <c r="A217" s="11" t="s">
        <v>311</v>
      </c>
      <c r="B217" s="11" t="s">
        <v>312</v>
      </c>
      <c r="C217" s="14">
        <f>C212+C215</f>
        <v>9471.538098150495</v>
      </c>
      <c r="D217" s="14" t="e">
        <f>D212+D215</f>
        <v>#DIV/0!</v>
      </c>
      <c r="E217" s="14"/>
      <c r="O217" s="11" t="s">
        <v>311</v>
      </c>
      <c r="P217" s="11" t="s">
        <v>312</v>
      </c>
      <c r="Q217" s="14">
        <f>Q212+Q215</f>
        <v>10609.296992044785</v>
      </c>
      <c r="R217" s="14" t="e">
        <f>R212+R215</f>
        <v>#DIV/0!</v>
      </c>
      <c r="S217" s="14"/>
      <c r="AC217" s="11" t="s">
        <v>311</v>
      </c>
      <c r="AD217" s="11" t="s">
        <v>312</v>
      </c>
      <c r="AE217" s="14">
        <f>AE212+AE215</f>
        <v>6690.699763236713</v>
      </c>
      <c r="AF217" s="14" t="e">
        <f>AF212+AF215</f>
        <v>#DIV/0!</v>
      </c>
      <c r="AG217" s="14"/>
    </row>
    <row r="218" spans="1:33" ht="12.75" hidden="1">
      <c r="A218" s="11" t="s">
        <v>313</v>
      </c>
      <c r="B218" s="11" t="s">
        <v>314</v>
      </c>
      <c r="C218" s="33">
        <f>C216/C217</f>
        <v>24.137076368472226</v>
      </c>
      <c r="D218" s="33" t="e">
        <f>D216/D217</f>
        <v>#DIV/0!</v>
      </c>
      <c r="E218" s="33"/>
      <c r="O218" s="11" t="s">
        <v>313</v>
      </c>
      <c r="P218" s="11" t="s">
        <v>314</v>
      </c>
      <c r="Q218" s="33">
        <f>Q216/Q217</f>
        <v>22.448788510123393</v>
      </c>
      <c r="R218" s="33" t="e">
        <f>R216/R217</f>
        <v>#DIV/0!</v>
      </c>
      <c r="S218" s="33"/>
      <c r="AC218" s="11" t="s">
        <v>313</v>
      </c>
      <c r="AD218" s="11" t="s">
        <v>314</v>
      </c>
      <c r="AE218" s="33">
        <f>AE216/AE217</f>
        <v>29.8867633337908</v>
      </c>
      <c r="AF218" s="33" t="e">
        <f>AF216/AF217</f>
        <v>#DIV/0!</v>
      </c>
      <c r="AG218" s="33"/>
    </row>
    <row r="219" spans="1:33" ht="12.75" hidden="1">
      <c r="A219" s="11" t="s">
        <v>315</v>
      </c>
      <c r="B219" s="11" t="s">
        <v>316</v>
      </c>
      <c r="C219" s="42">
        <f>1/C218</f>
        <v>0.04143003836646086</v>
      </c>
      <c r="D219" s="42" t="e">
        <f>1/D218</f>
        <v>#DIV/0!</v>
      </c>
      <c r="E219" s="42"/>
      <c r="O219" s="11" t="s">
        <v>315</v>
      </c>
      <c r="P219" s="11" t="s">
        <v>316</v>
      </c>
      <c r="Q219" s="42">
        <f>1/Q218</f>
        <v>0.044545833711651966</v>
      </c>
      <c r="R219" s="42" t="e">
        <f>1/R218</f>
        <v>#DIV/0!</v>
      </c>
      <c r="S219" s="42"/>
      <c r="AC219" s="11" t="s">
        <v>315</v>
      </c>
      <c r="AD219" s="11" t="s">
        <v>316</v>
      </c>
      <c r="AE219" s="42">
        <f>1/AE218</f>
        <v>0.03345962855968992</v>
      </c>
      <c r="AF219" s="42" t="e">
        <f>1/AF218</f>
        <v>#DIV/0!</v>
      </c>
      <c r="AG219" s="42"/>
    </row>
    <row r="220" spans="1:33" ht="12.75" hidden="1">
      <c r="A220" s="11" t="s">
        <v>317</v>
      </c>
      <c r="B220" s="11" t="s">
        <v>289</v>
      </c>
      <c r="C220" s="42">
        <f>C203</f>
        <v>0.043568666519973945</v>
      </c>
      <c r="D220" s="42" t="e">
        <f>D203</f>
        <v>#DIV/0!</v>
      </c>
      <c r="E220" s="42"/>
      <c r="O220" s="11" t="s">
        <v>317</v>
      </c>
      <c r="P220" s="11" t="s">
        <v>289</v>
      </c>
      <c r="Q220" s="42">
        <f>Q203</f>
        <v>0.046597008525625414</v>
      </c>
      <c r="R220" s="42" t="e">
        <f>R203</f>
        <v>#DIV/0!</v>
      </c>
      <c r="S220" s="42"/>
      <c r="AC220" s="11" t="s">
        <v>317</v>
      </c>
      <c r="AD220" s="11" t="s">
        <v>289</v>
      </c>
      <c r="AE220" s="42">
        <f>AE203</f>
        <v>0.03528034353547558</v>
      </c>
      <c r="AF220" s="42" t="e">
        <f>AF203</f>
        <v>#DIV/0!</v>
      </c>
      <c r="AG220" s="42"/>
    </row>
    <row r="221" spans="1:33" ht="12.75" hidden="1">
      <c r="A221" s="11" t="s">
        <v>318</v>
      </c>
      <c r="B221" s="11" t="s">
        <v>291</v>
      </c>
      <c r="C221" s="13">
        <f>(C220-C219)/C219</f>
        <v>0.05162023106511014</v>
      </c>
      <c r="D221" s="13" t="e">
        <f>(D220-D219)/D219</f>
        <v>#DIV/0!</v>
      </c>
      <c r="E221" s="13"/>
      <c r="O221" s="11" t="s">
        <v>318</v>
      </c>
      <c r="P221" s="11" t="s">
        <v>291</v>
      </c>
      <c r="Q221" s="13">
        <f>(Q220-Q219)/Q219</f>
        <v>0.046046389596181604</v>
      </c>
      <c r="R221" s="13" t="e">
        <f>(R220-R219)/R219</f>
        <v>#DIV/0!</v>
      </c>
      <c r="S221" s="13"/>
      <c r="AC221" s="11" t="s">
        <v>318</v>
      </c>
      <c r="AD221" s="11" t="s">
        <v>291</v>
      </c>
      <c r="AE221" s="13">
        <f>(AE220-AE219)/AE219</f>
        <v>0.05441527757959471</v>
      </c>
      <c r="AF221" s="13" t="e">
        <f>(AF220-AF219)/AF219</f>
        <v>#DIV/0!</v>
      </c>
      <c r="AG221" s="13"/>
    </row>
    <row r="222" spans="1:33" ht="12.75" hidden="1">
      <c r="A222" s="11" t="s">
        <v>319</v>
      </c>
      <c r="B222" s="11" t="s">
        <v>293</v>
      </c>
      <c r="C222" s="13">
        <f>C206</f>
        <v>-0.2938371627347315</v>
      </c>
      <c r="D222" s="13">
        <f>D206</f>
        <v>34615294.8448299</v>
      </c>
      <c r="E222" s="13"/>
      <c r="O222" s="11" t="s">
        <v>319</v>
      </c>
      <c r="P222" s="11" t="s">
        <v>293</v>
      </c>
      <c r="Q222" s="13">
        <f>Q206</f>
        <v>-0.2907695370553913</v>
      </c>
      <c r="R222" s="13">
        <f>R206</f>
        <v>33978707.61351395</v>
      </c>
      <c r="S222" s="13"/>
      <c r="AC222" s="11" t="s">
        <v>319</v>
      </c>
      <c r="AD222" s="11" t="s">
        <v>293</v>
      </c>
      <c r="AE222" s="13">
        <f>AE206</f>
        <v>-0.3065137361205382</v>
      </c>
      <c r="AF222" s="13">
        <f>AF206</f>
        <v>36811520.79287</v>
      </c>
      <c r="AG222" s="13"/>
    </row>
    <row r="223" spans="1:33" ht="12.75" hidden="1">
      <c r="A223" s="11" t="s">
        <v>320</v>
      </c>
      <c r="B223" s="11" t="s">
        <v>321</v>
      </c>
      <c r="C223" s="42">
        <f>C221/C222</f>
        <v>-0.17567631876336737</v>
      </c>
      <c r="D223" s="42" t="e">
        <f>D221/D222</f>
        <v>#DIV/0!</v>
      </c>
      <c r="E223" s="42"/>
      <c r="O223" s="11" t="s">
        <v>320</v>
      </c>
      <c r="P223" s="11" t="s">
        <v>321</v>
      </c>
      <c r="Q223" s="42">
        <f>Q221/Q222</f>
        <v>-0.15836043232895408</v>
      </c>
      <c r="R223" s="42" t="e">
        <f>R221/R222</f>
        <v>#DIV/0!</v>
      </c>
      <c r="S223" s="42"/>
      <c r="AC223" s="11" t="s">
        <v>320</v>
      </c>
      <c r="AD223" s="11" t="s">
        <v>321</v>
      </c>
      <c r="AE223" s="42">
        <f>AE221/AE222</f>
        <v>-0.17752965419532</v>
      </c>
      <c r="AF223" s="42" t="e">
        <f>AF221/AF222</f>
        <v>#DIV/0!</v>
      </c>
      <c r="AG223" s="42"/>
    </row>
    <row r="224" spans="1:33" ht="12.75" hidden="1">
      <c r="A224" s="11"/>
      <c r="B224" s="11"/>
      <c r="C224" s="14"/>
      <c r="D224" s="14"/>
      <c r="E224" s="14"/>
      <c r="O224" s="11"/>
      <c r="P224" s="11"/>
      <c r="Q224" s="14"/>
      <c r="R224" s="14"/>
      <c r="S224" s="14"/>
      <c r="AC224" s="11"/>
      <c r="AD224" s="11"/>
      <c r="AE224" s="14"/>
      <c r="AF224" s="14"/>
      <c r="AG224" s="14"/>
    </row>
    <row r="225" spans="1:33" ht="12.75" hidden="1">
      <c r="A225" s="18"/>
      <c r="B225" s="18"/>
      <c r="C225" s="18"/>
      <c r="D225" s="18"/>
      <c r="E225" s="18"/>
      <c r="O225" s="18"/>
      <c r="P225" s="18"/>
      <c r="Q225" s="18"/>
      <c r="R225" s="18"/>
      <c r="S225" s="18"/>
      <c r="AC225" s="18"/>
      <c r="AD225" s="18"/>
      <c r="AE225" s="18"/>
      <c r="AF225" s="18"/>
      <c r="AG225" s="18"/>
    </row>
    <row r="226" spans="1:33" ht="12.75">
      <c r="A226" s="21" t="s">
        <v>322</v>
      </c>
      <c r="B226" s="17"/>
      <c r="C226" s="11"/>
      <c r="D226" s="11"/>
      <c r="E226" s="11"/>
      <c r="O226" s="21" t="s">
        <v>322</v>
      </c>
      <c r="P226" s="17"/>
      <c r="Q226" s="11"/>
      <c r="R226" s="11"/>
      <c r="S226" s="11"/>
      <c r="AC226" s="21" t="s">
        <v>322</v>
      </c>
      <c r="AD226" s="17"/>
      <c r="AE226" s="11"/>
      <c r="AF226" s="11"/>
      <c r="AG226" s="11"/>
    </row>
    <row r="227" spans="1:33" ht="12.75">
      <c r="A227" s="17"/>
      <c r="B227" s="17"/>
      <c r="C227" s="11"/>
      <c r="D227" s="11"/>
      <c r="E227" s="11"/>
      <c r="O227" s="17"/>
      <c r="P227" s="17"/>
      <c r="Q227" s="11"/>
      <c r="R227" s="11"/>
      <c r="S227" s="11"/>
      <c r="AC227" s="17"/>
      <c r="AD227" s="17"/>
      <c r="AE227" s="11"/>
      <c r="AF227" s="11"/>
      <c r="AG227" s="11"/>
    </row>
    <row r="228" spans="1:33" ht="12.75">
      <c r="A228" s="17" t="s">
        <v>323</v>
      </c>
      <c r="B228" s="17"/>
      <c r="C228" s="11"/>
      <c r="D228" s="11"/>
      <c r="E228" s="11"/>
      <c r="O228" s="17" t="s">
        <v>323</v>
      </c>
      <c r="P228" s="17"/>
      <c r="Q228" s="11"/>
      <c r="R228" s="11"/>
      <c r="S228" s="11"/>
      <c r="AC228" s="17" t="s">
        <v>323</v>
      </c>
      <c r="AD228" s="17"/>
      <c r="AE228" s="11"/>
      <c r="AF228" s="11"/>
      <c r="AG228" s="11"/>
    </row>
    <row r="229" spans="1:33" ht="12.75">
      <c r="A229" s="11"/>
      <c r="B229" s="11"/>
      <c r="C229" s="24" t="s">
        <v>92</v>
      </c>
      <c r="D229" s="24" t="s">
        <v>551</v>
      </c>
      <c r="E229" s="24" t="s">
        <v>40</v>
      </c>
      <c r="O229" s="11"/>
      <c r="P229" s="11"/>
      <c r="Q229" s="24" t="s">
        <v>92</v>
      </c>
      <c r="R229" s="24" t="s">
        <v>551</v>
      </c>
      <c r="S229" s="24" t="s">
        <v>40</v>
      </c>
      <c r="AC229" s="11"/>
      <c r="AD229" s="11"/>
      <c r="AE229" s="24" t="s">
        <v>92</v>
      </c>
      <c r="AF229" s="24" t="s">
        <v>551</v>
      </c>
      <c r="AG229" s="24" t="s">
        <v>40</v>
      </c>
    </row>
    <row r="230" spans="1:33" ht="12.75">
      <c r="A230" s="11"/>
      <c r="B230" s="11" t="s">
        <v>324</v>
      </c>
      <c r="C230" s="11"/>
      <c r="D230" s="11"/>
      <c r="E230" s="11"/>
      <c r="O230" s="11"/>
      <c r="P230" s="11" t="s">
        <v>324</v>
      </c>
      <c r="Q230" s="11"/>
      <c r="R230" s="11"/>
      <c r="S230" s="11"/>
      <c r="AC230" s="11"/>
      <c r="AD230" s="11" t="s">
        <v>324</v>
      </c>
      <c r="AE230" s="11"/>
      <c r="AF230" s="11"/>
      <c r="AG230" s="11"/>
    </row>
    <row r="231" spans="1:33" ht="12.75">
      <c r="A231" s="11"/>
      <c r="B231" s="11" t="s">
        <v>325</v>
      </c>
      <c r="C231" s="14">
        <f>+C43</f>
        <v>175224.94749286177</v>
      </c>
      <c r="D231" s="14">
        <f>+D43</f>
        <v>97026.338028169</v>
      </c>
      <c r="E231" s="14">
        <f>SUM(C231:D231)</f>
        <v>272251.2855210308</v>
      </c>
      <c r="O231" s="11"/>
      <c r="P231" s="11" t="s">
        <v>325</v>
      </c>
      <c r="Q231" s="14">
        <f>+Q43</f>
        <v>182975.90077913797</v>
      </c>
      <c r="R231" s="14">
        <f>+R43</f>
        <v>98452.39436619719</v>
      </c>
      <c r="S231" s="14">
        <f>SUM(Q231:R231)</f>
        <v>281428.29514533514</v>
      </c>
      <c r="AC231" s="11"/>
      <c r="AD231" s="11" t="s">
        <v>325</v>
      </c>
      <c r="AE231" s="14">
        <f>+AE43</f>
        <v>151972.08763403303</v>
      </c>
      <c r="AF231" s="14">
        <f>+AF43</f>
        <v>92748.1690140845</v>
      </c>
      <c r="AG231" s="14">
        <f>SUM(AE231:AF231)</f>
        <v>244720.25664811753</v>
      </c>
    </row>
    <row r="232" spans="1:33" ht="12.75">
      <c r="A232" s="11"/>
      <c r="B232" s="11" t="s">
        <v>326</v>
      </c>
      <c r="C232" s="14">
        <f>C58</f>
        <v>6134.418245138633</v>
      </c>
      <c r="D232" s="14">
        <f>D58</f>
        <v>0</v>
      </c>
      <c r="E232" s="14"/>
      <c r="O232" s="11"/>
      <c r="P232" s="11" t="s">
        <v>326</v>
      </c>
      <c r="Q232" s="14">
        <f>Q58</f>
        <v>5959.930501254234</v>
      </c>
      <c r="R232" s="14">
        <f>R58</f>
        <v>0</v>
      </c>
      <c r="S232" s="14"/>
      <c r="AC232" s="11"/>
      <c r="AD232" s="11" t="s">
        <v>326</v>
      </c>
      <c r="AE232" s="14">
        <f>AE58</f>
        <v>6657.881476791864</v>
      </c>
      <c r="AF232" s="14">
        <f>AF58</f>
        <v>0</v>
      </c>
      <c r="AG232" s="14"/>
    </row>
    <row r="233" spans="1:33" ht="12.75">
      <c r="A233" s="11"/>
      <c r="B233" s="11" t="s">
        <v>327</v>
      </c>
      <c r="C233" s="14">
        <f>C73</f>
        <v>6375.260782248932</v>
      </c>
      <c r="D233" s="14">
        <f>D73</f>
        <v>0</v>
      </c>
      <c r="E233" s="14"/>
      <c r="O233" s="11"/>
      <c r="P233" s="11" t="s">
        <v>327</v>
      </c>
      <c r="Q233" s="14">
        <f>Q73</f>
        <v>5838.693729165288</v>
      </c>
      <c r="R233" s="14">
        <f>R73</f>
        <v>0</v>
      </c>
      <c r="S233" s="14"/>
      <c r="AC233" s="11"/>
      <c r="AD233" s="11" t="s">
        <v>327</v>
      </c>
      <c r="AE233" s="14">
        <f>AE73</f>
        <v>7354.613866705886</v>
      </c>
      <c r="AF233" s="14">
        <f>AF73</f>
        <v>0</v>
      </c>
      <c r="AG233" s="14"/>
    </row>
    <row r="234" spans="1:33" ht="12.75">
      <c r="A234" s="11"/>
      <c r="B234" s="11" t="s">
        <v>328</v>
      </c>
      <c r="C234" s="14">
        <f>C231+C232+C233</f>
        <v>187734.62652024932</v>
      </c>
      <c r="D234" s="14">
        <f>D231+D232+D233</f>
        <v>97026.338028169</v>
      </c>
      <c r="E234" s="14">
        <f>SUM(C234:D234)</f>
        <v>284760.9645484183</v>
      </c>
      <c r="O234" s="11"/>
      <c r="P234" s="11" t="s">
        <v>328</v>
      </c>
      <c r="Q234" s="14">
        <f>Q231+Q232+Q233</f>
        <v>194774.52500955752</v>
      </c>
      <c r="R234" s="14">
        <f>R231+R232+R233</f>
        <v>98452.39436619719</v>
      </c>
      <c r="S234" s="14">
        <f>SUM(Q234:R234)</f>
        <v>293226.9193757547</v>
      </c>
      <c r="AC234" s="11"/>
      <c r="AD234" s="11" t="s">
        <v>328</v>
      </c>
      <c r="AE234" s="14">
        <f>AE231+AE232+AE233</f>
        <v>165984.58297753078</v>
      </c>
      <c r="AF234" s="14">
        <f>AF231+AF232+AF233</f>
        <v>92748.1690140845</v>
      </c>
      <c r="AG234" s="14">
        <f>SUM(AE234:AF234)</f>
        <v>258732.75199161528</v>
      </c>
    </row>
    <row r="235" spans="1:33" ht="12.75">
      <c r="A235" s="11"/>
      <c r="B235" s="11" t="s">
        <v>293</v>
      </c>
      <c r="C235" s="13">
        <f>(+C234-C231)/C231</f>
        <v>0.0713921117191213</v>
      </c>
      <c r="D235" s="13">
        <f>(+D234-D231)/D231</f>
        <v>0</v>
      </c>
      <c r="E235" s="13">
        <f>(+E234-E231)/E231</f>
        <v>0.045949017296453426</v>
      </c>
      <c r="O235" s="11"/>
      <c r="P235" s="11" t="s">
        <v>293</v>
      </c>
      <c r="Q235" s="13">
        <f>(+Q234-Q231)/Q231</f>
        <v>0.06448184804763518</v>
      </c>
      <c r="R235" s="13">
        <f>(+R234-R231)/R231</f>
        <v>0</v>
      </c>
      <c r="S235" s="13">
        <f>(+S234-S231)/S231</f>
        <v>0.041924086646392585</v>
      </c>
      <c r="AC235" s="11"/>
      <c r="AD235" s="11" t="s">
        <v>293</v>
      </c>
      <c r="AE235" s="13">
        <f>(+AE234-AE231)/AE231</f>
        <v>0.09220440122689844</v>
      </c>
      <c r="AF235" s="13">
        <f>(+AF234-AF231)/AF231</f>
        <v>0</v>
      </c>
      <c r="AG235" s="13">
        <f>(+AG234-AG231)/AG231</f>
        <v>0.057259237692146886</v>
      </c>
    </row>
    <row r="236" spans="1:33" ht="12.75">
      <c r="A236" s="11"/>
      <c r="B236" s="11"/>
      <c r="C236" s="14"/>
      <c r="D236" s="14"/>
      <c r="E236" s="14"/>
      <c r="O236" s="11"/>
      <c r="P236" s="11"/>
      <c r="Q236" s="14"/>
      <c r="R236" s="14"/>
      <c r="S236" s="14"/>
      <c r="AC236" s="11"/>
      <c r="AD236" s="11"/>
      <c r="AE236" s="14"/>
      <c r="AF236" s="14"/>
      <c r="AG236" s="14"/>
    </row>
    <row r="237" spans="1:33" ht="12.75">
      <c r="A237" s="11"/>
      <c r="B237" s="11" t="s">
        <v>329</v>
      </c>
      <c r="C237" s="14"/>
      <c r="D237" s="14"/>
      <c r="E237" s="14"/>
      <c r="O237" s="11"/>
      <c r="P237" s="11" t="s">
        <v>329</v>
      </c>
      <c r="Q237" s="14"/>
      <c r="R237" s="14"/>
      <c r="S237" s="14"/>
      <c r="AC237" s="11"/>
      <c r="AD237" s="11" t="s">
        <v>329</v>
      </c>
      <c r="AE237" s="14"/>
      <c r="AF237" s="14"/>
      <c r="AG237" s="14"/>
    </row>
    <row r="238" spans="1:33" ht="12.75">
      <c r="A238" s="11"/>
      <c r="B238" s="11" t="s">
        <v>325</v>
      </c>
      <c r="C238" s="14">
        <f>C16</f>
        <v>53390.290909090916</v>
      </c>
      <c r="D238" s="14">
        <f>D16</f>
        <v>0.0028029902868116244</v>
      </c>
      <c r="E238" s="14">
        <f>SUM(C238:D238)</f>
        <v>53390.293712081206</v>
      </c>
      <c r="O238" s="11"/>
      <c r="P238" s="11" t="s">
        <v>325</v>
      </c>
      <c r="Q238" s="14">
        <f>Q16</f>
        <v>55189.963636363645</v>
      </c>
      <c r="R238" s="14">
        <f>R16</f>
        <v>0.0028974731054681956</v>
      </c>
      <c r="S238" s="14">
        <f>SUM(Q238:R238)</f>
        <v>55189.96653383675</v>
      </c>
      <c r="AC238" s="11"/>
      <c r="AD238" s="11" t="s">
        <v>325</v>
      </c>
      <c r="AE238" s="14">
        <f>AE16</f>
        <v>47991.272727272735</v>
      </c>
      <c r="AF238" s="14">
        <f>AF16</f>
        <v>0.002519541830841909</v>
      </c>
      <c r="AG238" s="14">
        <f>SUM(AE238:AF238)</f>
        <v>47991.27524681456</v>
      </c>
    </row>
    <row r="239" spans="1:33" ht="12.75">
      <c r="A239" s="11"/>
      <c r="B239" s="11" t="s">
        <v>326</v>
      </c>
      <c r="C239" s="14">
        <f>-C120</f>
        <v>-6134.418245138633</v>
      </c>
      <c r="D239" s="14">
        <f>-D120</f>
        <v>0</v>
      </c>
      <c r="E239" s="14"/>
      <c r="O239" s="11"/>
      <c r="P239" s="11" t="s">
        <v>326</v>
      </c>
      <c r="Q239" s="14">
        <f>-Q120</f>
        <v>-5959.930501254234</v>
      </c>
      <c r="R239" s="14">
        <f>-R120</f>
        <v>0</v>
      </c>
      <c r="S239" s="14"/>
      <c r="AC239" s="11"/>
      <c r="AD239" s="11" t="s">
        <v>326</v>
      </c>
      <c r="AE239" s="14">
        <f>-AE120</f>
        <v>-6657.881476791864</v>
      </c>
      <c r="AF239" s="14">
        <f>-AF120</f>
        <v>0</v>
      </c>
      <c r="AG239" s="14"/>
    </row>
    <row r="240" spans="1:33" ht="12.75">
      <c r="A240" s="11"/>
      <c r="B240" s="11" t="s">
        <v>327</v>
      </c>
      <c r="C240" s="14">
        <f>C133</f>
        <v>648.4965081840907</v>
      </c>
      <c r="D240" s="14">
        <f>D133</f>
        <v>0</v>
      </c>
      <c r="E240" s="14"/>
      <c r="O240" s="11"/>
      <c r="P240" s="11" t="s">
        <v>327</v>
      </c>
      <c r="Q240" s="14">
        <f>Q133</f>
        <v>635.4634785474498</v>
      </c>
      <c r="R240" s="14">
        <f>R133</f>
        <v>0</v>
      </c>
      <c r="S240" s="14"/>
      <c r="AC240" s="11"/>
      <c r="AD240" s="11" t="s">
        <v>327</v>
      </c>
      <c r="AE240" s="14">
        <f>AE133</f>
        <v>690.078412342542</v>
      </c>
      <c r="AF240" s="14">
        <f>AF133</f>
        <v>0</v>
      </c>
      <c r="AG240" s="14"/>
    </row>
    <row r="241" spans="1:33" ht="12.75">
      <c r="A241" s="11"/>
      <c r="B241" s="11" t="s">
        <v>328</v>
      </c>
      <c r="C241" s="14">
        <f>C238+C239+C240</f>
        <v>47904.36917213637</v>
      </c>
      <c r="D241" s="14">
        <f>D238+D239+D240</f>
        <v>0.0028029902868116244</v>
      </c>
      <c r="E241" s="14">
        <f>SUM(C241:D241)</f>
        <v>47904.37197512666</v>
      </c>
      <c r="O241" s="11"/>
      <c r="P241" s="11" t="s">
        <v>328</v>
      </c>
      <c r="Q241" s="14">
        <f>Q238+Q239+Q240</f>
        <v>49865.49661365686</v>
      </c>
      <c r="R241" s="14">
        <f>R238+R239+R240</f>
        <v>0.0028974731054681956</v>
      </c>
      <c r="S241" s="14">
        <f>SUM(Q241:R241)</f>
        <v>49865.499511129965</v>
      </c>
      <c r="AC241" s="11"/>
      <c r="AD241" s="11" t="s">
        <v>328</v>
      </c>
      <c r="AE241" s="14">
        <f>AE238+AE239+AE240</f>
        <v>42023.46966282341</v>
      </c>
      <c r="AF241" s="14">
        <f>AF238+AF239+AF240</f>
        <v>0.002519541830841909</v>
      </c>
      <c r="AG241" s="14">
        <f>SUM(AE241:AF241)</f>
        <v>42023.472182365236</v>
      </c>
    </row>
    <row r="242" spans="1:33" ht="12.75">
      <c r="A242" s="11"/>
      <c r="B242" s="11" t="s">
        <v>293</v>
      </c>
      <c r="C242" s="13">
        <f>(+C241-C238)/C238</f>
        <v>-0.10275129885123815</v>
      </c>
      <c r="D242" s="13">
        <f>(+D241-D238)/D238</f>
        <v>0</v>
      </c>
      <c r="E242" s="13">
        <f>(+E241-E238)/E238</f>
        <v>-0.1027512934567952</v>
      </c>
      <c r="O242" s="11"/>
      <c r="P242" s="11" t="s">
        <v>293</v>
      </c>
      <c r="Q242" s="13">
        <f>(+Q241-Q238)/Q238</f>
        <v>-0.0964752768780335</v>
      </c>
      <c r="R242" s="13">
        <f>(+R241-R238)/R238</f>
        <v>0</v>
      </c>
      <c r="S242" s="13">
        <f>(+S241-S238)/S238</f>
        <v>-0.09647527181308171</v>
      </c>
      <c r="AC242" s="11"/>
      <c r="AD242" s="11" t="s">
        <v>293</v>
      </c>
      <c r="AE242" s="13">
        <f>(+AE241-AE238)/AE238</f>
        <v>-0.12435183993480364</v>
      </c>
      <c r="AF242" s="13">
        <f>(+AF241-AF238)/AF238</f>
        <v>0</v>
      </c>
      <c r="AG242" s="13">
        <f>(+AG241-AG238)/AG238</f>
        <v>-0.12435183340633237</v>
      </c>
    </row>
    <row r="243" spans="1:33" ht="12.75">
      <c r="A243" s="11"/>
      <c r="B243" s="11"/>
      <c r="C243" s="14"/>
      <c r="D243" s="14"/>
      <c r="E243" s="14"/>
      <c r="O243" s="11"/>
      <c r="P243" s="11"/>
      <c r="Q243" s="14"/>
      <c r="R243" s="14"/>
      <c r="S243" s="14"/>
      <c r="AC243" s="11"/>
      <c r="AD243" s="11"/>
      <c r="AE243" s="14"/>
      <c r="AF243" s="14"/>
      <c r="AG243" s="14"/>
    </row>
    <row r="244" spans="1:33" ht="12.75">
      <c r="A244" s="11"/>
      <c r="B244" s="11" t="s">
        <v>330</v>
      </c>
      <c r="C244" s="14"/>
      <c r="D244" s="14"/>
      <c r="E244" s="14"/>
      <c r="O244" s="11"/>
      <c r="P244" s="11" t="s">
        <v>330</v>
      </c>
      <c r="Q244" s="14"/>
      <c r="R244" s="14"/>
      <c r="S244" s="14"/>
      <c r="AC244" s="11"/>
      <c r="AD244" s="11" t="s">
        <v>330</v>
      </c>
      <c r="AE244" s="14"/>
      <c r="AF244" s="14"/>
      <c r="AG244" s="14"/>
    </row>
    <row r="245" spans="1:33" ht="12.75">
      <c r="A245" s="11"/>
      <c r="B245" s="11" t="s">
        <v>325</v>
      </c>
      <c r="C245" s="14">
        <f aca="true" t="shared" si="0" ref="C245:D247">C231+C238</f>
        <v>228615.2384019527</v>
      </c>
      <c r="D245" s="14">
        <f t="shared" si="0"/>
        <v>97026.3408311593</v>
      </c>
      <c r="E245" s="14">
        <f>SUM(C245:D245)</f>
        <v>325641.579233112</v>
      </c>
      <c r="O245" s="11"/>
      <c r="P245" s="11" t="s">
        <v>325</v>
      </c>
      <c r="Q245" s="14">
        <f aca="true" t="shared" si="1" ref="Q245:R247">Q231+Q238</f>
        <v>238165.86441550162</v>
      </c>
      <c r="R245" s="14">
        <f t="shared" si="1"/>
        <v>98452.3972636703</v>
      </c>
      <c r="S245" s="14">
        <f>SUM(Q245:R245)</f>
        <v>336618.26167917193</v>
      </c>
      <c r="AC245" s="11"/>
      <c r="AD245" s="11" t="s">
        <v>325</v>
      </c>
      <c r="AE245" s="14">
        <f aca="true" t="shared" si="2" ref="AE245:AF247">AE231+AE238</f>
        <v>199963.36036130576</v>
      </c>
      <c r="AF245" s="14">
        <f t="shared" si="2"/>
        <v>92748.17153362633</v>
      </c>
      <c r="AG245" s="14">
        <f>SUM(AE245:AF245)</f>
        <v>292711.5318949321</v>
      </c>
    </row>
    <row r="246" spans="1:33" ht="12.75">
      <c r="A246" s="11"/>
      <c r="B246" s="11" t="s">
        <v>326</v>
      </c>
      <c r="C246" s="14">
        <f t="shared" si="0"/>
        <v>0</v>
      </c>
      <c r="D246" s="14">
        <f t="shared" si="0"/>
        <v>0</v>
      </c>
      <c r="E246" s="14"/>
      <c r="O246" s="11"/>
      <c r="P246" s="11" t="s">
        <v>326</v>
      </c>
      <c r="Q246" s="14">
        <f t="shared" si="1"/>
        <v>0</v>
      </c>
      <c r="R246" s="14">
        <f t="shared" si="1"/>
        <v>0</v>
      </c>
      <c r="S246" s="14"/>
      <c r="AC246" s="11"/>
      <c r="AD246" s="11" t="s">
        <v>326</v>
      </c>
      <c r="AE246" s="14">
        <f t="shared" si="2"/>
        <v>0</v>
      </c>
      <c r="AF246" s="14">
        <f t="shared" si="2"/>
        <v>0</v>
      </c>
      <c r="AG246" s="14"/>
    </row>
    <row r="247" spans="1:33" ht="12.75">
      <c r="A247" s="11"/>
      <c r="B247" s="11" t="s">
        <v>327</v>
      </c>
      <c r="C247" s="14">
        <f t="shared" si="0"/>
        <v>7023.757290433023</v>
      </c>
      <c r="D247" s="14">
        <f t="shared" si="0"/>
        <v>0</v>
      </c>
      <c r="E247" s="14"/>
      <c r="O247" s="11"/>
      <c r="P247" s="11" t="s">
        <v>327</v>
      </c>
      <c r="Q247" s="14">
        <f t="shared" si="1"/>
        <v>6474.1572077127375</v>
      </c>
      <c r="R247" s="14">
        <f t="shared" si="1"/>
        <v>0</v>
      </c>
      <c r="S247" s="14"/>
      <c r="AC247" s="11"/>
      <c r="AD247" s="11" t="s">
        <v>327</v>
      </c>
      <c r="AE247" s="14">
        <f t="shared" si="2"/>
        <v>8044.692279048428</v>
      </c>
      <c r="AF247" s="14">
        <f t="shared" si="2"/>
        <v>0</v>
      </c>
      <c r="AG247" s="14"/>
    </row>
    <row r="248" spans="1:33" ht="12.75">
      <c r="A248" s="11"/>
      <c r="B248" s="11" t="s">
        <v>328</v>
      </c>
      <c r="C248" s="14">
        <f>C245+C246+C247</f>
        <v>235638.9956923857</v>
      </c>
      <c r="D248" s="14">
        <f>D245+D246+D247</f>
        <v>97026.3408311593</v>
      </c>
      <c r="E248" s="14">
        <f>SUM(C248:D248)</f>
        <v>332665.336523545</v>
      </c>
      <c r="O248" s="11"/>
      <c r="P248" s="11" t="s">
        <v>328</v>
      </c>
      <c r="Q248" s="14">
        <f>Q245+Q246+Q247</f>
        <v>244640.02162321436</v>
      </c>
      <c r="R248" s="14">
        <f>R245+R246+R247</f>
        <v>98452.3972636703</v>
      </c>
      <c r="S248" s="14">
        <f>SUM(Q248:R248)</f>
        <v>343092.41888688464</v>
      </c>
      <c r="AC248" s="11"/>
      <c r="AD248" s="11" t="s">
        <v>328</v>
      </c>
      <c r="AE248" s="14">
        <f>AE245+AE246+AE247</f>
        <v>208008.0526403542</v>
      </c>
      <c r="AF248" s="14">
        <f>AF245+AF246+AF247</f>
        <v>92748.17153362633</v>
      </c>
      <c r="AG248" s="14">
        <f>SUM(AE248:AF248)</f>
        <v>300756.22417398053</v>
      </c>
    </row>
    <row r="249" spans="1:33" ht="12.75">
      <c r="A249" s="11"/>
      <c r="B249" s="11" t="s">
        <v>293</v>
      </c>
      <c r="C249" s="13">
        <f>(+C248-C245)/C245</f>
        <v>0.03072304951992659</v>
      </c>
      <c r="D249" s="13">
        <f>D139</f>
        <v>0</v>
      </c>
      <c r="E249" s="13">
        <f>(+E248-E245)/E245</f>
        <v>0.021568981783511736</v>
      </c>
      <c r="O249" s="11"/>
      <c r="P249" s="11" t="s">
        <v>293</v>
      </c>
      <c r="Q249" s="13">
        <f>(+Q248-Q245)/Q245</f>
        <v>0.027183396846569032</v>
      </c>
      <c r="R249" s="13">
        <f>R139</f>
        <v>0</v>
      </c>
      <c r="S249" s="13">
        <f>(+S248-S245)/S245</f>
        <v>0.01923293518128607</v>
      </c>
      <c r="AC249" s="11"/>
      <c r="AD249" s="11" t="s">
        <v>293</v>
      </c>
      <c r="AE249" s="13">
        <f>(+AE248-AE245)/AE245</f>
        <v>0.04023083161091515</v>
      </c>
      <c r="AF249" s="13">
        <f>AF139</f>
        <v>0</v>
      </c>
      <c r="AG249" s="13">
        <f>(+AG248-AG245)/AG245</f>
        <v>0.027483345896792532</v>
      </c>
    </row>
    <row r="250" spans="1:33" ht="12.75">
      <c r="A250" s="17"/>
      <c r="B250" s="17"/>
      <c r="C250" s="11"/>
      <c r="D250" s="11"/>
      <c r="E250" s="11"/>
      <c r="O250" s="17"/>
      <c r="P250" s="17"/>
      <c r="Q250" s="11"/>
      <c r="R250" s="11"/>
      <c r="S250" s="11"/>
      <c r="AC250" s="17"/>
      <c r="AD250" s="17"/>
      <c r="AE250" s="11"/>
      <c r="AF250" s="11"/>
      <c r="AG250" s="11"/>
    </row>
    <row r="251" spans="1:33" ht="12.75">
      <c r="A251" s="17" t="s">
        <v>331</v>
      </c>
      <c r="B251" s="17"/>
      <c r="C251" s="11"/>
      <c r="D251" s="11"/>
      <c r="E251" s="11"/>
      <c r="O251" s="17" t="s">
        <v>331</v>
      </c>
      <c r="P251" s="17"/>
      <c r="Q251" s="11"/>
      <c r="R251" s="11"/>
      <c r="S251" s="11"/>
      <c r="AC251" s="17" t="s">
        <v>331</v>
      </c>
      <c r="AD251" s="17"/>
      <c r="AE251" s="11"/>
      <c r="AF251" s="11"/>
      <c r="AG251" s="11"/>
    </row>
    <row r="252" spans="1:33" ht="12.75">
      <c r="A252" s="11"/>
      <c r="B252" s="11"/>
      <c r="C252" s="24" t="s">
        <v>92</v>
      </c>
      <c r="D252" s="24" t="s">
        <v>551</v>
      </c>
      <c r="E252" s="24" t="s">
        <v>40</v>
      </c>
      <c r="O252" s="11"/>
      <c r="P252" s="11"/>
      <c r="Q252" s="24" t="s">
        <v>92</v>
      </c>
      <c r="R252" s="24" t="s">
        <v>551</v>
      </c>
      <c r="S252" s="24" t="s">
        <v>40</v>
      </c>
      <c r="AC252" s="11"/>
      <c r="AD252" s="11"/>
      <c r="AE252" s="24" t="s">
        <v>92</v>
      </c>
      <c r="AF252" s="24" t="s">
        <v>551</v>
      </c>
      <c r="AG252" s="24" t="s">
        <v>40</v>
      </c>
    </row>
    <row r="253" spans="1:33" ht="12.75">
      <c r="A253" s="11"/>
      <c r="B253" s="11" t="s">
        <v>324</v>
      </c>
      <c r="C253" s="11"/>
      <c r="D253" s="11"/>
      <c r="E253" s="11"/>
      <c r="O253" s="11"/>
      <c r="P253" s="11" t="s">
        <v>324</v>
      </c>
      <c r="Q253" s="11"/>
      <c r="R253" s="11"/>
      <c r="S253" s="11"/>
      <c r="AC253" s="11"/>
      <c r="AD253" s="11" t="s">
        <v>324</v>
      </c>
      <c r="AE253" s="11"/>
      <c r="AF253" s="11"/>
      <c r="AG253" s="11"/>
    </row>
    <row r="254" spans="1:33" ht="12.75">
      <c r="A254" s="11"/>
      <c r="B254" s="11" t="s">
        <v>332</v>
      </c>
      <c r="C254" s="33">
        <f>C24</f>
        <v>23.184897767438976</v>
      </c>
      <c r="D254" s="33">
        <f>D24</f>
        <v>23.18489821074108</v>
      </c>
      <c r="E254" s="33"/>
      <c r="O254" s="11"/>
      <c r="P254" s="11" t="s">
        <v>332</v>
      </c>
      <c r="Q254" s="33">
        <f>Q24</f>
        <v>21.822899303867064</v>
      </c>
      <c r="R254" s="33">
        <f>R24</f>
        <v>21.822899681690366</v>
      </c>
      <c r="S254" s="33"/>
      <c r="AC254" s="11"/>
      <c r="AD254" s="11" t="s">
        <v>332</v>
      </c>
      <c r="AE254" s="33">
        <f>AE24</f>
        <v>28.926377633794647</v>
      </c>
      <c r="AF254" s="33">
        <f>AF24</f>
        <v>28.92637825825157</v>
      </c>
      <c r="AG254" s="33"/>
    </row>
    <row r="255" spans="1:33" ht="12.75">
      <c r="A255" s="11"/>
      <c r="B255" s="11" t="s">
        <v>333</v>
      </c>
      <c r="C255" s="33">
        <f>C81</f>
        <v>27.759504612605383</v>
      </c>
      <c r="D255" s="33">
        <f>D81</f>
        <v>60</v>
      </c>
      <c r="E255" s="33"/>
      <c r="O255" s="11"/>
      <c r="P255" s="11" t="s">
        <v>333</v>
      </c>
      <c r="Q255" s="33">
        <f>Q81</f>
        <v>25.671922662933323</v>
      </c>
      <c r="R255" s="33">
        <f>R81</f>
        <v>60</v>
      </c>
      <c r="S255" s="33"/>
      <c r="AC255" s="11"/>
      <c r="AD255" s="11" t="s">
        <v>333</v>
      </c>
      <c r="AE255" s="33">
        <f>AE81</f>
        <v>36.003351424581766</v>
      </c>
      <c r="AF255" s="33">
        <f>AF81</f>
        <v>60</v>
      </c>
      <c r="AG255" s="33"/>
    </row>
    <row r="256" spans="1:33" ht="12.75">
      <c r="A256" s="11"/>
      <c r="B256" s="11"/>
      <c r="C256" s="33"/>
      <c r="D256" s="33"/>
      <c r="E256" s="33"/>
      <c r="O256" s="11"/>
      <c r="P256" s="11"/>
      <c r="Q256" s="33"/>
      <c r="R256" s="33"/>
      <c r="S256" s="33"/>
      <c r="AC256" s="11"/>
      <c r="AD256" s="11"/>
      <c r="AE256" s="33"/>
      <c r="AF256" s="33"/>
      <c r="AG256" s="33"/>
    </row>
    <row r="257" spans="1:33" ht="12.75">
      <c r="A257" s="11"/>
      <c r="B257" s="11" t="s">
        <v>329</v>
      </c>
      <c r="C257" s="33"/>
      <c r="D257" s="33"/>
      <c r="E257" s="33"/>
      <c r="O257" s="11"/>
      <c r="P257" s="11" t="s">
        <v>329</v>
      </c>
      <c r="Q257" s="33"/>
      <c r="R257" s="33"/>
      <c r="S257" s="33"/>
      <c r="AC257" s="11"/>
      <c r="AD257" s="11" t="s">
        <v>329</v>
      </c>
      <c r="AE257" s="33"/>
      <c r="AF257" s="33"/>
      <c r="AG257" s="33"/>
    </row>
    <row r="258" spans="1:33" ht="12.75">
      <c r="A258" s="11"/>
      <c r="B258" s="11" t="s">
        <v>332</v>
      </c>
      <c r="C258" s="33">
        <f>C116</f>
        <v>12.02686996715554</v>
      </c>
      <c r="D258" s="33">
        <f>D116</f>
        <v>0</v>
      </c>
      <c r="E258" s="33"/>
      <c r="O258" s="11"/>
      <c r="P258" s="11" t="s">
        <v>332</v>
      </c>
      <c r="Q258" s="33">
        <f>Q116</f>
        <v>11.506941514866172</v>
      </c>
      <c r="R258" s="33">
        <f>R116</f>
        <v>0</v>
      </c>
      <c r="S258" s="33"/>
      <c r="AC258" s="11"/>
      <c r="AD258" s="11" t="s">
        <v>332</v>
      </c>
      <c r="AE258" s="33">
        <f>AE116</f>
        <v>13.646710052389674</v>
      </c>
      <c r="AF258" s="33">
        <f>AF116</f>
        <v>0</v>
      </c>
      <c r="AG258" s="33"/>
    </row>
    <row r="259" spans="1:33" ht="12.75">
      <c r="A259" s="11"/>
      <c r="B259" s="11" t="s">
        <v>333</v>
      </c>
      <c r="C259" s="33">
        <f>C144</f>
        <v>13.672971633180815</v>
      </c>
      <c r="D259" s="33">
        <f>D144</f>
        <v>0</v>
      </c>
      <c r="E259" s="33"/>
      <c r="O259" s="11"/>
      <c r="P259" s="11" t="s">
        <v>333</v>
      </c>
      <c r="Q259" s="33">
        <f>Q144</f>
        <v>13.079718146557711</v>
      </c>
      <c r="R259" s="33">
        <f>R144</f>
        <v>0</v>
      </c>
      <c r="S259" s="33"/>
      <c r="AC259" s="11"/>
      <c r="AD259" s="11" t="s">
        <v>333</v>
      </c>
      <c r="AE259" s="33">
        <f>AE144</f>
        <v>15.402567348191111</v>
      </c>
      <c r="AF259" s="33">
        <f>AF144</f>
        <v>0</v>
      </c>
      <c r="AG259" s="33"/>
    </row>
    <row r="260" spans="1:33" ht="12.75">
      <c r="A260" s="18"/>
      <c r="B260" s="18"/>
      <c r="C260" s="18"/>
      <c r="D260" s="18"/>
      <c r="E260" s="18"/>
      <c r="O260" s="18"/>
      <c r="P260" s="18"/>
      <c r="Q260" s="18"/>
      <c r="R260" s="18"/>
      <c r="S260" s="18"/>
      <c r="AC260" s="18"/>
      <c r="AD260" s="18"/>
      <c r="AE260" s="18"/>
      <c r="AF260" s="18"/>
      <c r="AG260" s="18"/>
    </row>
    <row r="261" spans="1:33" ht="12.75">
      <c r="A261" s="11"/>
      <c r="B261" s="11" t="s">
        <v>334</v>
      </c>
      <c r="C261" s="11"/>
      <c r="D261" s="11"/>
      <c r="E261" s="11"/>
      <c r="O261" s="11"/>
      <c r="P261" s="11" t="s">
        <v>334</v>
      </c>
      <c r="Q261" s="11"/>
      <c r="R261" s="11"/>
      <c r="S261" s="11"/>
      <c r="AC261" s="11"/>
      <c r="AD261" s="11" t="s">
        <v>334</v>
      </c>
      <c r="AE261" s="11"/>
      <c r="AF261" s="11"/>
      <c r="AG261" s="11"/>
    </row>
    <row r="262" spans="1:33" ht="12.75">
      <c r="A262" s="11"/>
      <c r="B262" s="11" t="s">
        <v>238</v>
      </c>
      <c r="C262" s="37">
        <f aca="true" t="shared" si="3" ref="C262:D266">C167</f>
        <v>17201.28625907292</v>
      </c>
      <c r="D262" s="37">
        <f t="shared" si="3"/>
        <v>37072.15494925522</v>
      </c>
      <c r="E262" s="37"/>
      <c r="O262" s="11"/>
      <c r="P262" s="11" t="s">
        <v>238</v>
      </c>
      <c r="Q262" s="37">
        <f aca="true" t="shared" si="4" ref="Q262:R266">Q167</f>
        <v>17402.592784470522</v>
      </c>
      <c r="R262" s="37">
        <f t="shared" si="4"/>
        <v>41735.70223064945</v>
      </c>
      <c r="S262" s="37"/>
      <c r="AC262" s="11"/>
      <c r="AD262" s="11" t="s">
        <v>238</v>
      </c>
      <c r="AE262" s="37">
        <f aca="true" t="shared" si="5" ref="AE262:AF266">AE167</f>
        <v>14469.085778042217</v>
      </c>
      <c r="AF262" s="37">
        <f t="shared" si="5"/>
        <v>23435.3162776885</v>
      </c>
      <c r="AG262" s="37"/>
    </row>
    <row r="263" spans="1:33" ht="12.75">
      <c r="A263" s="11"/>
      <c r="B263" s="11" t="s">
        <v>240</v>
      </c>
      <c r="C263" s="37">
        <f t="shared" si="3"/>
        <v>301.09834751643467</v>
      </c>
      <c r="D263" s="37">
        <f t="shared" si="3"/>
        <v>0</v>
      </c>
      <c r="E263" s="37"/>
      <c r="O263" s="11"/>
      <c r="P263" s="11" t="s">
        <v>240</v>
      </c>
      <c r="Q263" s="37">
        <f t="shared" si="4"/>
        <v>283.4205026329297</v>
      </c>
      <c r="R263" s="37">
        <f t="shared" si="4"/>
        <v>0</v>
      </c>
      <c r="S263" s="37"/>
      <c r="AC263" s="11"/>
      <c r="AD263" s="11" t="s">
        <v>240</v>
      </c>
      <c r="AE263" s="37">
        <f t="shared" si="5"/>
        <v>316.944577413855</v>
      </c>
      <c r="AF263" s="37">
        <f t="shared" si="5"/>
        <v>0</v>
      </c>
      <c r="AG263" s="37"/>
    </row>
    <row r="264" spans="1:33" ht="12.75">
      <c r="A264" s="11"/>
      <c r="B264" s="11" t="s">
        <v>242</v>
      </c>
      <c r="C264" s="37">
        <f t="shared" si="3"/>
        <v>312.91972764372616</v>
      </c>
      <c r="D264" s="37">
        <f t="shared" si="3"/>
        <v>0</v>
      </c>
      <c r="E264" s="37"/>
      <c r="O264" s="11"/>
      <c r="P264" s="11" t="s">
        <v>242</v>
      </c>
      <c r="Q264" s="37">
        <f t="shared" si="4"/>
        <v>277.65516914861945</v>
      </c>
      <c r="R264" s="37">
        <f t="shared" si="4"/>
        <v>0</v>
      </c>
      <c r="S264" s="37"/>
      <c r="AC264" s="11"/>
      <c r="AD264" s="11" t="s">
        <v>242</v>
      </c>
      <c r="AE264" s="37">
        <f t="shared" si="5"/>
        <v>350.11211781865217</v>
      </c>
      <c r="AF264" s="37">
        <f t="shared" si="5"/>
        <v>0</v>
      </c>
      <c r="AG264" s="37"/>
    </row>
    <row r="265" spans="1:33" ht="12.75">
      <c r="A265" s="11"/>
      <c r="B265" s="11" t="s">
        <v>244</v>
      </c>
      <c r="C265" s="37">
        <f t="shared" si="3"/>
        <v>5388.463233162712</v>
      </c>
      <c r="D265" s="37">
        <f t="shared" si="3"/>
        <v>0</v>
      </c>
      <c r="E265" s="37"/>
      <c r="O265" s="11"/>
      <c r="P265" s="11" t="s">
        <v>244</v>
      </c>
      <c r="Q265" s="37">
        <f t="shared" si="4"/>
        <v>5850.598431039317</v>
      </c>
      <c r="R265" s="37">
        <f t="shared" si="4"/>
        <v>0</v>
      </c>
      <c r="S265" s="37"/>
      <c r="AC265" s="11"/>
      <c r="AD265" s="11" t="s">
        <v>244</v>
      </c>
      <c r="AE265" s="37">
        <f t="shared" si="5"/>
        <v>3955.966735579217</v>
      </c>
      <c r="AF265" s="37">
        <f t="shared" si="5"/>
        <v>0</v>
      </c>
      <c r="AG265" s="37"/>
    </row>
    <row r="266" spans="1:33" ht="12.75">
      <c r="A266" s="11"/>
      <c r="B266" s="11" t="s">
        <v>246</v>
      </c>
      <c r="C266" s="37">
        <f t="shared" si="3"/>
        <v>36.973178085545875</v>
      </c>
      <c r="D266" s="37">
        <f t="shared" si="3"/>
        <v>0</v>
      </c>
      <c r="E266" s="37"/>
      <c r="O266" s="11"/>
      <c r="P266" s="11" t="s">
        <v>246</v>
      </c>
      <c r="Q266" s="37">
        <f t="shared" si="4"/>
        <v>37.75989364428277</v>
      </c>
      <c r="R266" s="37">
        <f t="shared" si="4"/>
        <v>0</v>
      </c>
      <c r="S266" s="37"/>
      <c r="AC266" s="11"/>
      <c r="AD266" s="11" t="s">
        <v>246</v>
      </c>
      <c r="AE266" s="37">
        <f t="shared" si="5"/>
        <v>33.02326716461543</v>
      </c>
      <c r="AF266" s="37">
        <f t="shared" si="5"/>
        <v>0</v>
      </c>
      <c r="AG266" s="37"/>
    </row>
    <row r="267" spans="1:33" ht="12.75">
      <c r="A267" s="11"/>
      <c r="B267" s="11" t="s">
        <v>248</v>
      </c>
      <c r="C267" s="37">
        <f>SUM(C262:C266)</f>
        <v>23240.74074548134</v>
      </c>
      <c r="D267" s="37">
        <f>D172</f>
        <v>37072.15494925522</v>
      </c>
      <c r="E267" s="37">
        <f>SUM(C267:D267)</f>
        <v>60312.895694736566</v>
      </c>
      <c r="O267" s="11"/>
      <c r="P267" s="11" t="s">
        <v>248</v>
      </c>
      <c r="Q267" s="37">
        <f>SUM(Q262:Q266)</f>
        <v>23852.02678093567</v>
      </c>
      <c r="R267" s="37">
        <f>R172</f>
        <v>41735.70223064945</v>
      </c>
      <c r="S267" s="37">
        <f>SUM(Q267:R267)</f>
        <v>65587.72901158512</v>
      </c>
      <c r="AC267" s="11"/>
      <c r="AD267" s="11" t="s">
        <v>248</v>
      </c>
      <c r="AE267" s="37">
        <f>SUM(AE262:AE266)</f>
        <v>19125.132476018556</v>
      </c>
      <c r="AF267" s="37">
        <f>AF172</f>
        <v>23435.3162776885</v>
      </c>
      <c r="AG267" s="37">
        <f>SUM(AE267:AF267)</f>
        <v>42560.44875370705</v>
      </c>
    </row>
    <row r="268" spans="1:33" ht="12.75">
      <c r="A268" s="18"/>
      <c r="B268" s="18"/>
      <c r="C268" s="18"/>
      <c r="D268" s="18"/>
      <c r="E268" s="18"/>
      <c r="O268" s="18"/>
      <c r="P268" s="18"/>
      <c r="Q268" s="18"/>
      <c r="R268" s="18"/>
      <c r="S268" s="18"/>
      <c r="AC268" s="18"/>
      <c r="AD268" s="18"/>
      <c r="AE268" s="18"/>
      <c r="AF268" s="18"/>
      <c r="AG268" s="18"/>
    </row>
    <row r="269" spans="1:33" ht="12.75">
      <c r="A269" s="20" t="s">
        <v>386</v>
      </c>
      <c r="B269" s="11"/>
      <c r="C269" s="11"/>
      <c r="D269" s="11"/>
      <c r="E269" s="11"/>
      <c r="O269" s="20" t="s">
        <v>386</v>
      </c>
      <c r="P269" s="11"/>
      <c r="Q269" s="11"/>
      <c r="R269" s="11"/>
      <c r="S269" s="11"/>
      <c r="AC269" s="20" t="s">
        <v>386</v>
      </c>
      <c r="AD269" s="11"/>
      <c r="AE269" s="11"/>
      <c r="AF269" s="11"/>
      <c r="AG269" s="11"/>
    </row>
    <row r="270" spans="1:33" ht="12.75">
      <c r="A270" s="18"/>
      <c r="B270" s="18"/>
      <c r="C270" s="18"/>
      <c r="D270" s="18"/>
      <c r="E270" s="18"/>
      <c r="O270" s="18"/>
      <c r="P270" s="18"/>
      <c r="Q270" s="18"/>
      <c r="R270" s="18"/>
      <c r="S270" s="18"/>
      <c r="AC270" s="18"/>
      <c r="AD270" s="18"/>
      <c r="AE270" s="18"/>
      <c r="AF270" s="18"/>
      <c r="AG270" s="18"/>
    </row>
    <row r="271" spans="1:33" ht="12.75">
      <c r="A271" s="11"/>
      <c r="B271" s="11" t="s">
        <v>335</v>
      </c>
      <c r="C271" s="33">
        <f>60/C255</f>
        <v>2.161421856669389</v>
      </c>
      <c r="D271" s="33">
        <f>60/D255</f>
        <v>1</v>
      </c>
      <c r="E271" s="11"/>
      <c r="O271" s="11"/>
      <c r="P271" s="11" t="s">
        <v>335</v>
      </c>
      <c r="Q271" s="33">
        <f>60/Q255</f>
        <v>2.337183731338971</v>
      </c>
      <c r="R271" s="33">
        <f>60/R255</f>
        <v>1</v>
      </c>
      <c r="S271" s="11"/>
      <c r="AC271" s="11"/>
      <c r="AD271" s="11" t="s">
        <v>335</v>
      </c>
      <c r="AE271" s="33">
        <f>60/AE255</f>
        <v>1.6665115225643745</v>
      </c>
      <c r="AF271" s="33">
        <f>60/AF255</f>
        <v>1</v>
      </c>
      <c r="AG271" s="11"/>
    </row>
    <row r="272" spans="1:33" ht="12.75">
      <c r="A272" s="11"/>
      <c r="B272" s="11" t="s">
        <v>385</v>
      </c>
      <c r="C272" s="33"/>
      <c r="D272" s="33">
        <f>+C271-D271</f>
        <v>1.161421856669389</v>
      </c>
      <c r="E272" s="11"/>
      <c r="O272" s="11"/>
      <c r="P272" s="11" t="s">
        <v>385</v>
      </c>
      <c r="Q272" s="33"/>
      <c r="R272" s="33">
        <f>+Q271-R271</f>
        <v>1.3371837313389712</v>
      </c>
      <c r="S272" s="11"/>
      <c r="AC272" s="11"/>
      <c r="AD272" s="11" t="s">
        <v>385</v>
      </c>
      <c r="AE272" s="33"/>
      <c r="AF272" s="33">
        <f>+AE271-AF271</f>
        <v>0.6665115225643745</v>
      </c>
      <c r="AG272" s="11"/>
    </row>
    <row r="273" spans="1:33" ht="12.75">
      <c r="A273" s="11"/>
      <c r="B273" s="11" t="s">
        <v>461</v>
      </c>
      <c r="C273" s="33"/>
      <c r="D273" s="79">
        <f>+'Sensitivity Anal'!F18</f>
        <v>14</v>
      </c>
      <c r="E273" s="11"/>
      <c r="O273" s="11"/>
      <c r="P273" s="11" t="s">
        <v>461</v>
      </c>
      <c r="Q273" s="33"/>
      <c r="R273" s="79">
        <f>+D273</f>
        <v>14</v>
      </c>
      <c r="S273" s="11"/>
      <c r="AC273" s="11"/>
      <c r="AD273" s="11" t="s">
        <v>461</v>
      </c>
      <c r="AE273" s="33"/>
      <c r="AF273" s="79">
        <f>+D273</f>
        <v>14</v>
      </c>
      <c r="AG273" s="11"/>
    </row>
    <row r="274" spans="1:33" ht="12.75">
      <c r="A274" s="11"/>
      <c r="B274" s="11" t="s">
        <v>336</v>
      </c>
      <c r="C274" s="33"/>
      <c r="D274" s="38">
        <f>+D272*D273/60</f>
        <v>0.27099843322285744</v>
      </c>
      <c r="E274" s="11"/>
      <c r="O274" s="11"/>
      <c r="P274" s="11" t="s">
        <v>336</v>
      </c>
      <c r="Q274" s="33"/>
      <c r="R274" s="38">
        <f>+R272*R273/60</f>
        <v>0.3120095373124266</v>
      </c>
      <c r="S274" s="11"/>
      <c r="AC274" s="11"/>
      <c r="AD274" s="11" t="s">
        <v>336</v>
      </c>
      <c r="AE274" s="33"/>
      <c r="AF274" s="38">
        <f>+AF272*AF273/60</f>
        <v>0.15551935526502073</v>
      </c>
      <c r="AG274" s="11"/>
    </row>
    <row r="275" spans="1:33" ht="12.75">
      <c r="A275" s="11"/>
      <c r="B275" s="11" t="s">
        <v>464</v>
      </c>
      <c r="C275" s="33"/>
      <c r="D275" s="30">
        <f>+'mode ch'!E135</f>
        <v>34099.12654172531</v>
      </c>
      <c r="E275" s="11"/>
      <c r="O275" s="11"/>
      <c r="P275" s="11" t="s">
        <v>464</v>
      </c>
      <c r="Q275" s="33"/>
      <c r="R275" s="30">
        <f>+'mode ch'!S135</f>
        <v>33404.04091953626</v>
      </c>
      <c r="S275" s="11"/>
      <c r="AC275" s="11"/>
      <c r="AD275" s="11" t="s">
        <v>464</v>
      </c>
      <c r="AE275" s="33"/>
      <c r="AF275" s="30">
        <f>+'mode ch'!AG135</f>
        <v>36184.3834082924</v>
      </c>
      <c r="AG275" s="11"/>
    </row>
    <row r="276" spans="1:33" ht="12.75">
      <c r="A276" s="11"/>
      <c r="B276" s="11" t="s">
        <v>465</v>
      </c>
      <c r="C276" s="33"/>
      <c r="D276" s="30">
        <f>+'mode ch'!E138</f>
        <v>42306.33802816901</v>
      </c>
      <c r="E276" s="11"/>
      <c r="O276" s="11"/>
      <c r="P276" s="11" t="s">
        <v>465</v>
      </c>
      <c r="Q276" s="33"/>
      <c r="R276" s="30">
        <f>+'mode ch'!S138</f>
        <v>43732.394366197186</v>
      </c>
      <c r="S276" s="11"/>
      <c r="AC276" s="11"/>
      <c r="AD276" s="11" t="s">
        <v>465</v>
      </c>
      <c r="AE276" s="33"/>
      <c r="AF276" s="30">
        <f>+'mode ch'!AG138</f>
        <v>38028.16901408451</v>
      </c>
      <c r="AG276" s="11"/>
    </row>
    <row r="277" spans="1:33" ht="12.75">
      <c r="A277" s="11"/>
      <c r="B277" s="11" t="s">
        <v>337</v>
      </c>
      <c r="C277" s="33"/>
      <c r="D277" s="37">
        <f>+(D275+D276)*D274</f>
        <v>20705.761188105906</v>
      </c>
      <c r="E277" s="11"/>
      <c r="O277" s="11"/>
      <c r="P277" s="11" t="s">
        <v>337</v>
      </c>
      <c r="Q277" s="33"/>
      <c r="R277" s="37">
        <f>+(R275+R276)*R274</f>
        <v>24067.303483431628</v>
      </c>
      <c r="S277" s="11"/>
      <c r="AC277" s="11"/>
      <c r="AD277" s="11" t="s">
        <v>337</v>
      </c>
      <c r="AE277" s="33"/>
      <c r="AF277" s="37">
        <f>+(AF275+AF276)*AF274</f>
        <v>11541.488305299608</v>
      </c>
      <c r="AG277" s="11"/>
    </row>
    <row r="278" spans="1:33" ht="12.75">
      <c r="A278" s="11"/>
      <c r="B278" s="11" t="s">
        <v>338</v>
      </c>
      <c r="C278" s="33"/>
      <c r="D278" s="43">
        <f>+Inputs!B5</f>
        <v>9</v>
      </c>
      <c r="E278" s="11"/>
      <c r="O278" s="11"/>
      <c r="P278" s="11" t="s">
        <v>338</v>
      </c>
      <c r="Q278" s="33"/>
      <c r="R278" s="43">
        <f>+Inputs!P5</f>
        <v>6</v>
      </c>
      <c r="S278" s="11"/>
      <c r="AC278" s="11"/>
      <c r="AD278" s="11" t="s">
        <v>338</v>
      </c>
      <c r="AE278" s="33"/>
      <c r="AF278" s="43">
        <f>+Inputs!AD5</f>
        <v>5</v>
      </c>
      <c r="AG278" s="11"/>
    </row>
    <row r="279" spans="1:33" ht="12.75">
      <c r="A279" s="11"/>
      <c r="B279" s="11" t="s">
        <v>339</v>
      </c>
      <c r="C279" s="33"/>
      <c r="D279" s="37">
        <f>+D278*D277</f>
        <v>186351.85069295316</v>
      </c>
      <c r="E279" s="11"/>
      <c r="O279" s="11"/>
      <c r="P279" s="11" t="s">
        <v>339</v>
      </c>
      <c r="Q279" s="33"/>
      <c r="R279" s="37">
        <f>+R278*R277</f>
        <v>144403.82090058975</v>
      </c>
      <c r="S279" s="11"/>
      <c r="AC279" s="11"/>
      <c r="AD279" s="11" t="s">
        <v>339</v>
      </c>
      <c r="AE279" s="33"/>
      <c r="AF279" s="37">
        <f>+AF278*AF277</f>
        <v>57707.44152649804</v>
      </c>
      <c r="AG279" s="11"/>
    </row>
    <row r="280" spans="1:33" ht="12.75">
      <c r="A280" s="11"/>
      <c r="B280" s="11" t="s">
        <v>340</v>
      </c>
      <c r="C280" s="33"/>
      <c r="D280" s="44">
        <v>250</v>
      </c>
      <c r="E280" s="11"/>
      <c r="O280" s="11"/>
      <c r="P280" s="11" t="s">
        <v>340</v>
      </c>
      <c r="Q280" s="33"/>
      <c r="R280" s="44">
        <v>250</v>
      </c>
      <c r="S280" s="11"/>
      <c r="AC280" s="11"/>
      <c r="AD280" s="11" t="s">
        <v>340</v>
      </c>
      <c r="AE280" s="33"/>
      <c r="AF280" s="44">
        <v>250</v>
      </c>
      <c r="AG280" s="11"/>
    </row>
    <row r="281" spans="1:33" ht="12.75">
      <c r="A281" s="11"/>
      <c r="B281" s="11" t="s">
        <v>467</v>
      </c>
      <c r="C281" s="33"/>
      <c r="D281" s="37">
        <f>+D280*D279*1.1</f>
        <v>51246758.94056213</v>
      </c>
      <c r="E281" s="11"/>
      <c r="O281" s="11"/>
      <c r="P281" s="11" t="s">
        <v>467</v>
      </c>
      <c r="Q281" s="33"/>
      <c r="R281" s="37">
        <f>+R280*R279*1.1</f>
        <v>39711050.74766219</v>
      </c>
      <c r="S281" s="11"/>
      <c r="AC281" s="11"/>
      <c r="AD281" s="11" t="s">
        <v>467</v>
      </c>
      <c r="AE281" s="33"/>
      <c r="AF281" s="37">
        <f>+AF280*AF279*1.1</f>
        <v>15869546.419786964</v>
      </c>
      <c r="AG281" s="11"/>
    </row>
    <row r="282" spans="1:33" ht="12.75">
      <c r="A282" s="11"/>
      <c r="B282" s="11" t="s">
        <v>466</v>
      </c>
      <c r="C282" s="33"/>
      <c r="D282" s="45">
        <f>+(D275+D276)*250*1.2*0.6*0.1</f>
        <v>1375298.3622580976</v>
      </c>
      <c r="E282" s="11"/>
      <c r="O282" s="11"/>
      <c r="P282" s="11" t="s">
        <v>466</v>
      </c>
      <c r="Q282" s="33"/>
      <c r="R282" s="45">
        <f>+(R275+R276)*250*1.2*6/5*0.1</f>
        <v>2776911.670286404</v>
      </c>
      <c r="S282" s="11"/>
      <c r="AC282" s="11"/>
      <c r="AD282" s="11" t="s">
        <v>466</v>
      </c>
      <c r="AE282" s="33"/>
      <c r="AF282" s="45">
        <f>+(AF275+AF276)*250*1.2*5/5*0.1</f>
        <v>2226376.572671307</v>
      </c>
      <c r="AG282" s="11"/>
    </row>
    <row r="283" spans="1:33" ht="12.75">
      <c r="A283" s="17"/>
      <c r="B283" s="11"/>
      <c r="C283" s="11"/>
      <c r="D283" s="37"/>
      <c r="E283" s="11"/>
      <c r="O283" s="17"/>
      <c r="P283" s="11"/>
      <c r="Q283" s="11"/>
      <c r="R283" s="37"/>
      <c r="S283" s="11"/>
      <c r="AC283" s="17"/>
      <c r="AD283" s="11"/>
      <c r="AE283" s="11"/>
      <c r="AF283" s="37"/>
      <c r="AG283" s="11"/>
    </row>
    <row r="284" spans="1:33" ht="12.75">
      <c r="A284" s="17" t="s">
        <v>342</v>
      </c>
      <c r="B284" s="17"/>
      <c r="C284" s="11"/>
      <c r="D284" s="11"/>
      <c r="E284" s="11"/>
      <c r="O284" s="17" t="s">
        <v>342</v>
      </c>
      <c r="P284" s="17"/>
      <c r="Q284" s="11"/>
      <c r="R284" s="11"/>
      <c r="S284" s="11"/>
      <c r="AC284" s="17" t="s">
        <v>342</v>
      </c>
      <c r="AD284" s="17"/>
      <c r="AE284" s="11"/>
      <c r="AF284" s="11"/>
      <c r="AG284" s="11"/>
    </row>
    <row r="285" spans="1:33" ht="12.75">
      <c r="A285" s="11"/>
      <c r="B285" s="11"/>
      <c r="C285" s="24"/>
      <c r="D285" s="24"/>
      <c r="E285" s="24" t="s">
        <v>40</v>
      </c>
      <c r="O285" s="11"/>
      <c r="P285" s="11"/>
      <c r="Q285" s="24"/>
      <c r="R285" s="24"/>
      <c r="S285" s="24" t="s">
        <v>40</v>
      </c>
      <c r="AC285" s="11"/>
      <c r="AD285" s="11"/>
      <c r="AE285" s="24"/>
      <c r="AF285" s="24"/>
      <c r="AG285" s="24" t="s">
        <v>40</v>
      </c>
    </row>
    <row r="286" spans="1:33" ht="12.75">
      <c r="A286" s="46"/>
      <c r="B286" s="46"/>
      <c r="C286" s="46"/>
      <c r="D286" s="46"/>
      <c r="E286" s="46"/>
      <c r="O286" s="46"/>
      <c r="P286" s="46"/>
      <c r="Q286" s="46"/>
      <c r="R286" s="46"/>
      <c r="S286" s="46"/>
      <c r="AC286" s="46"/>
      <c r="AD286" s="46"/>
      <c r="AE286" s="46"/>
      <c r="AF286" s="46"/>
      <c r="AG286" s="46"/>
    </row>
    <row r="287" spans="1:33" ht="12.75">
      <c r="A287" s="11"/>
      <c r="B287" s="11" t="s">
        <v>343</v>
      </c>
      <c r="C287" s="14"/>
      <c r="D287" s="14"/>
      <c r="E287" s="14">
        <f>+E248-C12</f>
        <v>-1023.9816582732019</v>
      </c>
      <c r="O287" s="11"/>
      <c r="P287" s="11" t="s">
        <v>343</v>
      </c>
      <c r="Q287" s="14"/>
      <c r="R287" s="14"/>
      <c r="S287" s="14">
        <f>+S248-Q12</f>
        <v>-1844.8538403880666</v>
      </c>
      <c r="AC287" s="11"/>
      <c r="AD287" s="11" t="s">
        <v>343</v>
      </c>
      <c r="AE287" s="14"/>
      <c r="AF287" s="14"/>
      <c r="AG287" s="14">
        <f>+AG248-AE12</f>
        <v>810.7696285260026</v>
      </c>
    </row>
    <row r="288" spans="1:33" ht="12.75">
      <c r="A288" s="18"/>
      <c r="B288" s="11" t="s">
        <v>597</v>
      </c>
      <c r="C288" s="19"/>
      <c r="D288" s="19"/>
      <c r="E288" s="66">
        <f>+Inputs!B69</f>
        <v>0.06</v>
      </c>
      <c r="O288" s="18"/>
      <c r="P288" s="11" t="s">
        <v>597</v>
      </c>
      <c r="Q288" s="19"/>
      <c r="R288" s="19"/>
      <c r="S288" s="66">
        <f>+Inputs!P69</f>
        <v>0.06</v>
      </c>
      <c r="AC288" s="18"/>
      <c r="AD288" s="11" t="s">
        <v>597</v>
      </c>
      <c r="AE288" s="19"/>
      <c r="AF288" s="19"/>
      <c r="AG288" s="66">
        <f>+Inputs!AD69</f>
        <v>0.06</v>
      </c>
    </row>
    <row r="289" spans="1:33" ht="12.75" hidden="1">
      <c r="A289" s="11"/>
      <c r="B289" s="11" t="s">
        <v>344</v>
      </c>
      <c r="C289" s="11"/>
      <c r="D289" s="11"/>
      <c r="E289" s="64"/>
      <c r="O289" s="11"/>
      <c r="P289" s="11" t="s">
        <v>344</v>
      </c>
      <c r="Q289" s="11"/>
      <c r="R289" s="11"/>
      <c r="S289" s="64"/>
      <c r="AC289" s="11"/>
      <c r="AD289" s="11" t="s">
        <v>344</v>
      </c>
      <c r="AE289" s="11"/>
      <c r="AF289" s="11"/>
      <c r="AG289" s="64"/>
    </row>
    <row r="290" spans="1:33" ht="12.75" hidden="1">
      <c r="A290" s="11"/>
      <c r="B290" s="11" t="s">
        <v>345</v>
      </c>
      <c r="C290" s="37"/>
      <c r="D290" s="37"/>
      <c r="E290" s="67">
        <f>SUM(C290:D290)</f>
        <v>0</v>
      </c>
      <c r="O290" s="11"/>
      <c r="P290" s="11" t="s">
        <v>345</v>
      </c>
      <c r="Q290" s="37"/>
      <c r="R290" s="37"/>
      <c r="S290" s="67">
        <f>SUM(Q290:R290)</f>
        <v>0</v>
      </c>
      <c r="AC290" s="11"/>
      <c r="AD290" s="11" t="s">
        <v>345</v>
      </c>
      <c r="AE290" s="37"/>
      <c r="AF290" s="37"/>
      <c r="AG290" s="67">
        <f>SUM(AE290:AF290)</f>
        <v>0</v>
      </c>
    </row>
    <row r="291" spans="1:33" ht="12.75">
      <c r="A291" s="11"/>
      <c r="B291" s="11" t="s">
        <v>598</v>
      </c>
      <c r="C291" s="37"/>
      <c r="D291" s="37"/>
      <c r="E291" s="67">
        <f>+E287*E288</f>
        <v>-61.43889949639211</v>
      </c>
      <c r="O291" s="11"/>
      <c r="P291" s="11" t="s">
        <v>598</v>
      </c>
      <c r="Q291" s="37"/>
      <c r="R291" s="37"/>
      <c r="S291" s="67">
        <f>+S287*S288</f>
        <v>-110.691230423284</v>
      </c>
      <c r="AC291" s="11"/>
      <c r="AD291" s="11" t="s">
        <v>598</v>
      </c>
      <c r="AE291" s="37"/>
      <c r="AF291" s="37"/>
      <c r="AG291" s="67">
        <f>+AG287*AG288</f>
        <v>48.646177711560156</v>
      </c>
    </row>
    <row r="292" spans="1:33" ht="12.75" hidden="1">
      <c r="A292" s="11"/>
      <c r="B292" s="11" t="s">
        <v>346</v>
      </c>
      <c r="C292" s="37">
        <f>0.86*C287</f>
        <v>0</v>
      </c>
      <c r="D292" s="37">
        <f>0.86*D287</f>
        <v>0</v>
      </c>
      <c r="E292" s="37">
        <f>SUM(C292:D292)</f>
        <v>0</v>
      </c>
      <c r="O292" s="11"/>
      <c r="P292" s="11" t="s">
        <v>346</v>
      </c>
      <c r="Q292" s="37">
        <f>0.86*Q287</f>
        <v>0</v>
      </c>
      <c r="R292" s="37">
        <f>0.86*R287</f>
        <v>0</v>
      </c>
      <c r="S292" s="37">
        <f>SUM(Q292:R292)</f>
        <v>0</v>
      </c>
      <c r="AC292" s="11"/>
      <c r="AD292" s="11" t="s">
        <v>346</v>
      </c>
      <c r="AE292" s="37">
        <f>0.86*AE287</f>
        <v>0</v>
      </c>
      <c r="AF292" s="37">
        <f>0.86*AF287</f>
        <v>0</v>
      </c>
      <c r="AG292" s="37">
        <f>SUM(AE292:AF292)</f>
        <v>0</v>
      </c>
    </row>
    <row r="293" spans="1:33" ht="12.75">
      <c r="A293" s="18"/>
      <c r="B293" s="18"/>
      <c r="C293" s="18"/>
      <c r="D293" s="18"/>
      <c r="E293" s="18"/>
      <c r="O293" s="18"/>
      <c r="P293" s="18"/>
      <c r="Q293" s="18"/>
      <c r="R293" s="18"/>
      <c r="S293" s="18"/>
      <c r="AC293" s="18"/>
      <c r="AD293" s="18"/>
      <c r="AE293" s="18"/>
      <c r="AF293" s="18"/>
      <c r="AG293" s="18"/>
    </row>
    <row r="294" spans="1:33" ht="12.75">
      <c r="A294" s="17" t="s">
        <v>347</v>
      </c>
      <c r="B294" s="17"/>
      <c r="C294" s="11"/>
      <c r="D294" s="11"/>
      <c r="E294" s="11"/>
      <c r="O294" s="17" t="s">
        <v>347</v>
      </c>
      <c r="P294" s="17"/>
      <c r="Q294" s="11"/>
      <c r="R294" s="11"/>
      <c r="S294" s="11"/>
      <c r="AC294" s="17" t="s">
        <v>347</v>
      </c>
      <c r="AD294" s="17"/>
      <c r="AE294" s="11"/>
      <c r="AF294" s="11"/>
      <c r="AG294" s="11"/>
    </row>
    <row r="295" spans="1:33" ht="12.75">
      <c r="A295" s="11"/>
      <c r="B295" s="11"/>
      <c r="C295" s="24" t="s">
        <v>92</v>
      </c>
      <c r="D295" s="24" t="s">
        <v>551</v>
      </c>
      <c r="E295" s="24" t="s">
        <v>40</v>
      </c>
      <c r="O295" s="11"/>
      <c r="P295" s="11"/>
      <c r="Q295" s="24" t="s">
        <v>92</v>
      </c>
      <c r="R295" s="24" t="s">
        <v>551</v>
      </c>
      <c r="S295" s="24" t="s">
        <v>40</v>
      </c>
      <c r="AC295" s="11"/>
      <c r="AD295" s="11"/>
      <c r="AE295" s="24" t="s">
        <v>92</v>
      </c>
      <c r="AF295" s="24" t="s">
        <v>551</v>
      </c>
      <c r="AG295" s="24" t="s">
        <v>40</v>
      </c>
    </row>
    <row r="296" spans="1:33" ht="12.75">
      <c r="A296" s="26" t="s">
        <v>348</v>
      </c>
      <c r="B296" s="11"/>
      <c r="C296" s="17"/>
      <c r="D296" s="24"/>
      <c r="E296" s="11"/>
      <c r="O296" s="26" t="s">
        <v>348</v>
      </c>
      <c r="P296" s="11"/>
      <c r="Q296" s="17"/>
      <c r="R296" s="24"/>
      <c r="S296" s="11"/>
      <c r="AC296" s="26" t="s">
        <v>348</v>
      </c>
      <c r="AD296" s="11"/>
      <c r="AE296" s="17"/>
      <c r="AF296" s="24"/>
      <c r="AG296" s="11"/>
    </row>
    <row r="297" spans="1:33" ht="12.75">
      <c r="A297" s="26"/>
      <c r="B297" s="11" t="s">
        <v>349</v>
      </c>
      <c r="C297" s="37">
        <f>+C267</f>
        <v>23240.74074548134</v>
      </c>
      <c r="D297" s="37">
        <f>+D267</f>
        <v>37072.15494925522</v>
      </c>
      <c r="E297" s="37">
        <f>SUM(C297:D297)</f>
        <v>60312.895694736566</v>
      </c>
      <c r="O297" s="26"/>
      <c r="P297" s="11" t="s">
        <v>349</v>
      </c>
      <c r="Q297" s="37">
        <f>+Q267</f>
        <v>23852.02678093567</v>
      </c>
      <c r="R297" s="37">
        <f>+R267</f>
        <v>41735.70223064945</v>
      </c>
      <c r="S297" s="37">
        <f>+S267</f>
        <v>65587.72901158512</v>
      </c>
      <c r="AC297" s="26"/>
      <c r="AD297" s="11" t="s">
        <v>349</v>
      </c>
      <c r="AE297" s="37">
        <f>+AE267</f>
        <v>19125.132476018556</v>
      </c>
      <c r="AF297" s="37">
        <f>+AF267</f>
        <v>23435.3162776885</v>
      </c>
      <c r="AG297" s="37">
        <f>+AG267</f>
        <v>42560.44875370705</v>
      </c>
    </row>
    <row r="298" spans="1:33" ht="12.75">
      <c r="A298" s="26"/>
      <c r="B298" s="11" t="s">
        <v>589</v>
      </c>
      <c r="C298" s="37"/>
      <c r="D298" s="37"/>
      <c r="E298" s="37"/>
      <c r="O298" s="26"/>
      <c r="P298" s="11" t="s">
        <v>589</v>
      </c>
      <c r="Q298" s="37"/>
      <c r="R298" s="37"/>
      <c r="S298" s="37"/>
      <c r="AC298" s="26"/>
      <c r="AD298" s="11" t="s">
        <v>589</v>
      </c>
      <c r="AE298" s="37"/>
      <c r="AF298" s="37"/>
      <c r="AG298" s="37"/>
    </row>
    <row r="299" spans="1:33" ht="12.75">
      <c r="A299" s="26"/>
      <c r="B299" s="11" t="s">
        <v>590</v>
      </c>
      <c r="C299" s="37">
        <f>+Inputs!B68</f>
        <v>1.6</v>
      </c>
      <c r="D299" s="37">
        <f>+Inputs!C68</f>
        <v>1.6</v>
      </c>
      <c r="E299" s="37"/>
      <c r="O299" s="26"/>
      <c r="P299" s="11" t="s">
        <v>590</v>
      </c>
      <c r="Q299" s="37">
        <f>+Inputs!P68</f>
        <v>1.6</v>
      </c>
      <c r="R299" s="37">
        <f>+Inputs!Q68</f>
        <v>1.6</v>
      </c>
      <c r="S299" s="37"/>
      <c r="AC299" s="26"/>
      <c r="AD299" s="11" t="s">
        <v>590</v>
      </c>
      <c r="AE299" s="37">
        <f>+Inputs!AD68</f>
        <v>1.6</v>
      </c>
      <c r="AF299" s="37">
        <f>+Inputs!AE68</f>
        <v>1.6</v>
      </c>
      <c r="AG299" s="37"/>
    </row>
    <row r="300" spans="1:33" ht="12.75">
      <c r="A300" s="26"/>
      <c r="B300" s="11" t="s">
        <v>591</v>
      </c>
      <c r="C300" s="31">
        <v>0.05</v>
      </c>
      <c r="D300" s="31">
        <v>0.05</v>
      </c>
      <c r="E300" s="37"/>
      <c r="O300" s="26"/>
      <c r="P300" s="11" t="s">
        <v>591</v>
      </c>
      <c r="Q300" s="31">
        <v>0.05</v>
      </c>
      <c r="R300" s="31">
        <v>0.05</v>
      </c>
      <c r="S300" s="37"/>
      <c r="AC300" s="26"/>
      <c r="AD300" s="11" t="s">
        <v>591</v>
      </c>
      <c r="AE300" s="31">
        <v>0.05</v>
      </c>
      <c r="AF300" s="31">
        <v>0.05</v>
      </c>
      <c r="AG300" s="37"/>
    </row>
    <row r="301" spans="1:33" ht="12.75">
      <c r="A301" s="26"/>
      <c r="B301" s="11" t="s">
        <v>592</v>
      </c>
      <c r="C301" s="38">
        <f>+C300*C299*60</f>
        <v>4.800000000000001</v>
      </c>
      <c r="D301" s="38">
        <f>+D300*D299*60</f>
        <v>4.800000000000001</v>
      </c>
      <c r="E301" s="37"/>
      <c r="O301" s="26"/>
      <c r="P301" s="11" t="s">
        <v>592</v>
      </c>
      <c r="Q301" s="38">
        <f>+Q300*Q299*60</f>
        <v>4.800000000000001</v>
      </c>
      <c r="R301" s="38">
        <f>+R300*R299*60</f>
        <v>4.800000000000001</v>
      </c>
      <c r="S301" s="37"/>
      <c r="AC301" s="26"/>
      <c r="AD301" s="11" t="s">
        <v>592</v>
      </c>
      <c r="AE301" s="38">
        <f>+AE300*AE299*60</f>
        <v>4.800000000000001</v>
      </c>
      <c r="AF301" s="38">
        <f>+AF300*AF299*60</f>
        <v>4.800000000000001</v>
      </c>
      <c r="AG301" s="37"/>
    </row>
    <row r="302" spans="1:33" ht="12.75">
      <c r="A302" s="26"/>
      <c r="B302" s="11" t="s">
        <v>593</v>
      </c>
      <c r="C302" s="130">
        <f>+C301/(+'Sensitivity Anal'!B5*'mode ch'!B152)</f>
        <v>0.39992727258771965</v>
      </c>
      <c r="D302" s="130">
        <f>+D301/(+'Sensitivity Anal'!B5*'mode ch'!B152)</f>
        <v>0.39992727258771965</v>
      </c>
      <c r="E302" s="37"/>
      <c r="O302" s="26"/>
      <c r="P302" s="11" t="s">
        <v>593</v>
      </c>
      <c r="Q302" s="130">
        <f>+Q301/(+'Sensitivity Anal'!B5*'mode ch'!B152)</f>
        <v>0.39992727258771965</v>
      </c>
      <c r="R302" s="130">
        <f>+R301/(+'Sensitivity Anal'!B5*'mode ch'!B152)</f>
        <v>0.39992727258771965</v>
      </c>
      <c r="S302" s="37"/>
      <c r="AC302" s="26"/>
      <c r="AD302" s="11" t="s">
        <v>593</v>
      </c>
      <c r="AE302" s="130">
        <f>+AE301/(+'Sensitivity Anal'!B5*'mode ch'!B152)</f>
        <v>0.39992727258771965</v>
      </c>
      <c r="AF302" s="130">
        <f>+AF301/(+'Sensitivity Anal'!B5*'mode ch'!B152)</f>
        <v>0.39992727258771965</v>
      </c>
      <c r="AG302" s="37"/>
    </row>
    <row r="303" spans="1:33" ht="12.75">
      <c r="A303" s="26"/>
      <c r="B303" s="11" t="s">
        <v>594</v>
      </c>
      <c r="C303" s="37">
        <f>+C297*C302</f>
        <v>9294.606059258638</v>
      </c>
      <c r="D303" s="37">
        <f>+D297*D302</f>
        <v>14826.165817804973</v>
      </c>
      <c r="E303" s="37">
        <f>SUM(C303:D303)</f>
        <v>24120.771877063613</v>
      </c>
      <c r="F303" s="75">
        <f>SUM(C303:D303)</f>
        <v>24120.771877063613</v>
      </c>
      <c r="O303" s="26"/>
      <c r="P303" s="11" t="s">
        <v>594</v>
      </c>
      <c r="Q303" s="37">
        <f>+Q297*Q302</f>
        <v>9539.076016188848</v>
      </c>
      <c r="R303" s="37">
        <f>+R297*R302</f>
        <v>16691.24556263684</v>
      </c>
      <c r="S303" s="37">
        <f>SUM(Q303:R303)</f>
        <v>26230.321578825686</v>
      </c>
      <c r="AC303" s="26"/>
      <c r="AD303" s="11" t="s">
        <v>594</v>
      </c>
      <c r="AE303" s="37">
        <f>+AE297*AE302</f>
        <v>7648.662069012923</v>
      </c>
      <c r="AF303" s="37">
        <f>+AF297*AF302</f>
        <v>9372.422121166552</v>
      </c>
      <c r="AG303" s="37">
        <f>SUM(AE303:AF303)</f>
        <v>17021.084190179474</v>
      </c>
    </row>
    <row r="304" spans="1:33" ht="12.75">
      <c r="A304" s="11"/>
      <c r="B304" s="11" t="s">
        <v>351</v>
      </c>
      <c r="C304" s="37">
        <f>C297+C303</f>
        <v>32535.34680473998</v>
      </c>
      <c r="D304" s="37">
        <f>D297+D303</f>
        <v>51898.3207670602</v>
      </c>
      <c r="E304" s="37">
        <f>SUM(C304:D304)</f>
        <v>84433.66757180018</v>
      </c>
      <c r="O304" s="11"/>
      <c r="P304" s="11" t="s">
        <v>351</v>
      </c>
      <c r="Q304" s="37">
        <f>Q297+Q303</f>
        <v>33391.10279712452</v>
      </c>
      <c r="R304" s="37">
        <f>R297+R303</f>
        <v>58426.94779328629</v>
      </c>
      <c r="S304" s="37">
        <f>SUM(Q304:R304)</f>
        <v>91818.0505904108</v>
      </c>
      <c r="AC304" s="11"/>
      <c r="AD304" s="11" t="s">
        <v>351</v>
      </c>
      <c r="AE304" s="37">
        <f>AE297+AE303</f>
        <v>26773.79454503148</v>
      </c>
      <c r="AF304" s="37">
        <f>AF297+AF303</f>
        <v>32807.73839885505</v>
      </c>
      <c r="AG304" s="37">
        <f>SUM(AE304:AF304)</f>
        <v>59581.53294388653</v>
      </c>
    </row>
    <row r="305" spans="1:33" ht="12.75">
      <c r="A305" s="11"/>
      <c r="B305" s="11"/>
      <c r="C305" s="37"/>
      <c r="D305" s="37"/>
      <c r="E305" s="37"/>
      <c r="O305" s="11"/>
      <c r="P305" s="11"/>
      <c r="Q305" s="37"/>
      <c r="R305" s="37"/>
      <c r="S305" s="37"/>
      <c r="AC305" s="11"/>
      <c r="AD305" s="11"/>
      <c r="AE305" s="37"/>
      <c r="AF305" s="37"/>
      <c r="AG305" s="37"/>
    </row>
    <row r="306" spans="1:33" ht="12.75">
      <c r="A306" s="11"/>
      <c r="B306" s="11" t="s">
        <v>352</v>
      </c>
      <c r="C306" s="37">
        <f>+C291</f>
        <v>0</v>
      </c>
      <c r="D306" s="37">
        <f>+D291</f>
        <v>0</v>
      </c>
      <c r="E306" s="37">
        <f>+E291</f>
        <v>-61.43889949639211</v>
      </c>
      <c r="O306" s="11"/>
      <c r="P306" s="11" t="s">
        <v>352</v>
      </c>
      <c r="Q306" s="37">
        <f>+Q291</f>
        <v>0</v>
      </c>
      <c r="R306" s="37">
        <f>+R291</f>
        <v>0</v>
      </c>
      <c r="S306" s="37">
        <f>+S291</f>
        <v>-110.691230423284</v>
      </c>
      <c r="AC306" s="11"/>
      <c r="AD306" s="11" t="s">
        <v>352</v>
      </c>
      <c r="AE306" s="37">
        <f>+AE291</f>
        <v>0</v>
      </c>
      <c r="AF306" s="37">
        <f>+AF291</f>
        <v>0</v>
      </c>
      <c r="AG306" s="37">
        <f>+AG291</f>
        <v>48.646177711560156</v>
      </c>
    </row>
    <row r="307" spans="1:33" ht="12.75">
      <c r="A307" s="11"/>
      <c r="B307" s="11"/>
      <c r="C307" s="37"/>
      <c r="D307" s="37"/>
      <c r="E307" s="37"/>
      <c r="O307" s="11"/>
      <c r="P307" s="11"/>
      <c r="Q307" s="37"/>
      <c r="R307" s="37"/>
      <c r="S307" s="37"/>
      <c r="AC307" s="11"/>
      <c r="AD307" s="11"/>
      <c r="AE307" s="37"/>
      <c r="AF307" s="37"/>
      <c r="AG307" s="37"/>
    </row>
    <row r="308" spans="1:33" ht="12.75">
      <c r="A308" s="11"/>
      <c r="B308" s="11" t="s">
        <v>353</v>
      </c>
      <c r="C308" s="37">
        <f>C304-C306</f>
        <v>32535.34680473998</v>
      </c>
      <c r="D308" s="37">
        <f>D304-D306</f>
        <v>51898.3207670602</v>
      </c>
      <c r="E308" s="37">
        <f>+E304-E306</f>
        <v>84495.10647129657</v>
      </c>
      <c r="O308" s="11"/>
      <c r="P308" s="11" t="s">
        <v>353</v>
      </c>
      <c r="Q308" s="37">
        <f>Q304-Q306</f>
        <v>33391.10279712452</v>
      </c>
      <c r="R308" s="37">
        <f>R304-R306</f>
        <v>58426.94779328629</v>
      </c>
      <c r="S308" s="37">
        <f>+S304-S306</f>
        <v>91928.74182083408</v>
      </c>
      <c r="AC308" s="11"/>
      <c r="AD308" s="11" t="s">
        <v>353</v>
      </c>
      <c r="AE308" s="37">
        <f>AE304-AE306</f>
        <v>26773.79454503148</v>
      </c>
      <c r="AF308" s="37">
        <f>AF304-AF306</f>
        <v>32807.73839885505</v>
      </c>
      <c r="AG308" s="37">
        <f>+AG304-AG306</f>
        <v>59532.88676617497</v>
      </c>
    </row>
    <row r="309" spans="1:33" ht="12.75">
      <c r="A309" s="11"/>
      <c r="B309" s="11" t="s">
        <v>354</v>
      </c>
      <c r="C309" s="14">
        <v>250</v>
      </c>
      <c r="D309" s="14">
        <v>250</v>
      </c>
      <c r="E309" s="14">
        <v>250</v>
      </c>
      <c r="O309" s="11"/>
      <c r="P309" s="11" t="s">
        <v>354</v>
      </c>
      <c r="Q309" s="14">
        <v>250</v>
      </c>
      <c r="R309" s="14">
        <v>250</v>
      </c>
      <c r="S309" s="14">
        <v>250</v>
      </c>
      <c r="AC309" s="11"/>
      <c r="AD309" s="11" t="s">
        <v>354</v>
      </c>
      <c r="AE309" s="14">
        <v>250</v>
      </c>
      <c r="AF309" s="14">
        <v>250</v>
      </c>
      <c r="AG309" s="14">
        <v>250</v>
      </c>
    </row>
    <row r="310" spans="1:33" ht="12.75">
      <c r="A310" s="11"/>
      <c r="B310" s="11" t="s">
        <v>355</v>
      </c>
      <c r="C310" s="37">
        <f>+C308*C309</f>
        <v>8133836.7011849955</v>
      </c>
      <c r="D310" s="37">
        <f>+D308*D309</f>
        <v>12974580.19176505</v>
      </c>
      <c r="E310" s="37">
        <f>+E308*E309</f>
        <v>21123776.617824145</v>
      </c>
      <c r="O310" s="11"/>
      <c r="P310" s="11" t="s">
        <v>355</v>
      </c>
      <c r="Q310" s="37">
        <f>+Q308*Q309</f>
        <v>8347775.69928113</v>
      </c>
      <c r="R310" s="37">
        <f>+R308*R309</f>
        <v>14606736.948321572</v>
      </c>
      <c r="S310" s="37">
        <f>+S308*S309</f>
        <v>22982185.45520852</v>
      </c>
      <c r="AC310" s="11"/>
      <c r="AD310" s="11" t="s">
        <v>355</v>
      </c>
      <c r="AE310" s="37">
        <f>+AE308*AE309</f>
        <v>6693448.63625787</v>
      </c>
      <c r="AF310" s="37">
        <f>+AF308*AF309</f>
        <v>8201934.599713762</v>
      </c>
      <c r="AG310" s="37">
        <f>+AG308*AG309</f>
        <v>14883221.691543741</v>
      </c>
    </row>
    <row r="311" spans="1:33" ht="12.75">
      <c r="A311" s="11"/>
      <c r="B311" s="11" t="s">
        <v>504</v>
      </c>
      <c r="C311" s="47">
        <v>12.409</v>
      </c>
      <c r="D311" s="47">
        <v>12.409</v>
      </c>
      <c r="E311" s="47">
        <v>12.409</v>
      </c>
      <c r="O311" s="11"/>
      <c r="P311" s="11" t="s">
        <v>504</v>
      </c>
      <c r="Q311" s="47">
        <v>12.409</v>
      </c>
      <c r="R311" s="47">
        <v>12.409</v>
      </c>
      <c r="S311" s="47">
        <v>12.409</v>
      </c>
      <c r="AC311" s="11"/>
      <c r="AD311" s="11" t="s">
        <v>504</v>
      </c>
      <c r="AE311" s="47">
        <v>12.409</v>
      </c>
      <c r="AF311" s="47">
        <v>12.409</v>
      </c>
      <c r="AG311" s="47">
        <v>12.409</v>
      </c>
    </row>
    <row r="312" spans="1:33" ht="12.75">
      <c r="A312" s="11"/>
      <c r="B312" s="11" t="s">
        <v>505</v>
      </c>
      <c r="C312" s="38">
        <f>+C310*C311/1000000</f>
        <v>100.93277962500461</v>
      </c>
      <c r="D312" s="38">
        <f>+D310*D311/1000000</f>
        <v>161.0015655996125</v>
      </c>
      <c r="E312" s="38">
        <f>+E310*E311/1000000</f>
        <v>262.1249440505798</v>
      </c>
      <c r="O312" s="11"/>
      <c r="P312" s="11" t="s">
        <v>505</v>
      </c>
      <c r="Q312" s="38">
        <f>+Q310*Q311/1000000</f>
        <v>103.58754865237954</v>
      </c>
      <c r="R312" s="38">
        <f>+R310*R311/1000000</f>
        <v>181.2549987917224</v>
      </c>
      <c r="S312" s="38">
        <f>+S310*S311/1000000</f>
        <v>285.1859393136826</v>
      </c>
      <c r="AC312" s="11"/>
      <c r="AD312" s="11" t="s">
        <v>505</v>
      </c>
      <c r="AE312" s="38">
        <f>+AE310*AE311/1000000</f>
        <v>83.05900412732392</v>
      </c>
      <c r="AF312" s="38">
        <f>+AF310*AF311/1000000</f>
        <v>101.77780644784808</v>
      </c>
      <c r="AG312" s="38">
        <f>+AG310*AG311/1000000</f>
        <v>184.6858979703663</v>
      </c>
    </row>
    <row r="313" spans="1:33" ht="12.75">
      <c r="A313" s="26"/>
      <c r="B313" s="11"/>
      <c r="C313" s="37"/>
      <c r="D313" s="37"/>
      <c r="E313" s="37"/>
      <c r="O313" s="26"/>
      <c r="P313" s="11"/>
      <c r="Q313" s="37"/>
      <c r="R313" s="37"/>
      <c r="S313" s="37"/>
      <c r="AC313" s="26"/>
      <c r="AD313" s="11"/>
      <c r="AE313" s="37"/>
      <c r="AF313" s="37"/>
      <c r="AG313" s="37"/>
    </row>
    <row r="314" spans="1:5" ht="12.75">
      <c r="A314" s="26"/>
      <c r="B314" s="11"/>
      <c r="C314" s="37"/>
      <c r="D314" s="37"/>
      <c r="E314" s="37"/>
    </row>
    <row r="315" spans="1:5" ht="12.75">
      <c r="A315" s="11"/>
      <c r="B315" s="11"/>
      <c r="C315" s="44"/>
      <c r="D315" s="44"/>
      <c r="E315" s="44"/>
    </row>
    <row r="316" spans="1:5" ht="12.75">
      <c r="A316" s="11"/>
      <c r="B316" s="11"/>
      <c r="C316" s="37"/>
      <c r="D316" s="37"/>
      <c r="E316" s="37"/>
    </row>
    <row r="317" spans="1:5" ht="12.75">
      <c r="A317" s="11"/>
      <c r="B317" s="11"/>
      <c r="C317" s="38"/>
      <c r="D317" s="38"/>
      <c r="E317" s="37"/>
    </row>
    <row r="318" spans="1:5" ht="12.75">
      <c r="A318" s="26"/>
      <c r="B318" s="11"/>
      <c r="C318" s="38"/>
      <c r="D318" s="38"/>
      <c r="E318" s="48"/>
    </row>
    <row r="319" spans="1:5" ht="12.75">
      <c r="A319" s="11"/>
      <c r="B319" s="11"/>
      <c r="C319" s="45"/>
      <c r="D319" s="45"/>
      <c r="E319" s="37"/>
    </row>
    <row r="320" spans="1:5" ht="12.75">
      <c r="A320" s="11"/>
      <c r="B320" s="11"/>
      <c r="C320" s="37"/>
      <c r="D320" s="37"/>
      <c r="E320" s="37"/>
    </row>
    <row r="321" spans="1:5" ht="12.75">
      <c r="A321" s="17"/>
      <c r="B321" s="11"/>
      <c r="C321" s="31"/>
      <c r="D321" s="31"/>
      <c r="E321" s="31"/>
    </row>
  </sheetData>
  <printOptions/>
  <pageMargins left="0.75" right="0.75" top="1" bottom="1" header="0.5" footer="0.5"/>
  <pageSetup fitToHeight="0" fitToWidth="1" horizontalDpi="600" verticalDpi="600" orientation="portrait" scale="83" r:id="rId1"/>
  <rowBreaks count="4" manualBreakCount="4">
    <brk id="58" max="4" man="1"/>
    <brk id="109" max="4" man="1"/>
    <brk id="164" max="4" man="1"/>
    <brk id="2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T. DeCorla-Souza</dc:creator>
  <cp:keywords/>
  <dc:description/>
  <cp:lastModifiedBy>pdecorla</cp:lastModifiedBy>
  <cp:lastPrinted>2004-07-19T22:54:53Z</cp:lastPrinted>
  <dcterms:created xsi:type="dcterms:W3CDTF">2002-06-27T12:34:39Z</dcterms:created>
  <dcterms:modified xsi:type="dcterms:W3CDTF">2004-11-15T13:31:21Z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-863974530</vt:i4>
  </property>
  <property fmtid="{D5CDD505-2E9C-101B-9397-08002B2CF9AE}" pid="4" name="_EmailSubje">
    <vt:lpwstr>Website Update Follow Up</vt:lpwstr>
  </property>
  <property fmtid="{D5CDD505-2E9C-101B-9397-08002B2CF9AE}" pid="5" name="_AuthorEma">
    <vt:lpwstr>Patrick.DeCorla-Souza@fhwa.dot.gov</vt:lpwstr>
  </property>
  <property fmtid="{D5CDD505-2E9C-101B-9397-08002B2CF9AE}" pid="6" name="_AuthorEmailDisplayNa">
    <vt:lpwstr>DeCorla-Souza, Patrick</vt:lpwstr>
  </property>
</Properties>
</file>